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Desktop\"/>
    </mc:Choice>
  </mc:AlternateContent>
  <xr:revisionPtr revIDLastSave="0" documentId="13_ncr:1_{0D5BE935-8731-49B6-A86E-82B084AB04CA}" xr6:coauthVersionLast="47" xr6:coauthVersionMax="47" xr10:uidLastSave="{00000000-0000-0000-0000-000000000000}"/>
  <bookViews>
    <workbookView xWindow="-108" yWindow="-108" windowWidth="23256" windowHeight="12456" firstSheet="9" activeTab="14" xr2:uid="{00000000-000D-0000-FFFF-FFFF00000000}"/>
  </bookViews>
  <sheets>
    <sheet name="LAFAYETE" sheetId="1" r:id="rId1"/>
    <sheet name="COMPOSIÇAO LAFAYETE" sheetId="3" r:id="rId2"/>
    <sheet name="MEMÓRIA DE CÁLCULO LAFAYETE" sheetId="2" r:id="rId3"/>
    <sheet name="MOCINHA BARBALHO" sheetId="4" r:id="rId4"/>
    <sheet name="COMPOSIÇÃO MOCINHA BARBALHO" sheetId="5" r:id="rId5"/>
    <sheet name="MEMÓRIA DE CÁLCULO MOCINHA BARB" sheetId="6" r:id="rId6"/>
    <sheet name="VOVÓ PESSOINHA" sheetId="7" r:id="rId7"/>
    <sheet name="COMPOSIÇÃO VOVÓ PESSOINHA" sheetId="8" r:id="rId8"/>
    <sheet name="MEMÓRIA DE CÁLCULO VOVÓ PESSOIN" sheetId="9" r:id="rId9"/>
    <sheet name="JANDUÍ" sheetId="10" r:id="rId10"/>
    <sheet name="COMPOSIÇÃO JANDUÍ" sheetId="11" r:id="rId11"/>
    <sheet name="MEMÓRIA DE CÁLCULO JANDUÍ" sheetId="12" r:id="rId12"/>
    <sheet name="BDI" sheetId="13" r:id="rId13"/>
    <sheet name="ENCARGOS SOCIAIS" sheetId="14" r:id="rId14"/>
    <sheet name="CRONOGRAMA" sheetId="15" r:id="rId15"/>
  </sheets>
  <externalReferences>
    <externalReference r:id="rId16"/>
    <externalReference r:id="rId17"/>
    <externalReference r:id="rId18"/>
    <externalReference r:id="rId19"/>
  </externalReferences>
  <definedNames>
    <definedName name="_xlnm.Print_Area" localSheetId="14">CRONOGRAMA!$A$1:$K$21</definedName>
    <definedName name="_xlnm.Print_Titles" localSheetId="0">'[1]repeated header'!$4:$4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5" l="1"/>
  <c r="E13" i="15"/>
  <c r="I58" i="10"/>
  <c r="D4" i="12"/>
  <c r="H435" i="8"/>
  <c r="H436" i="8"/>
  <c r="J17" i="8"/>
  <c r="I17" i="8"/>
  <c r="H298" i="5"/>
  <c r="H297" i="5"/>
  <c r="I13" i="3"/>
  <c r="J13" i="3" s="1"/>
  <c r="J6" i="3"/>
  <c r="I6" i="3"/>
  <c r="I344" i="11"/>
  <c r="H630" i="11"/>
  <c r="I626" i="11"/>
  <c r="H622" i="11"/>
  <c r="I614" i="11"/>
  <c r="J614" i="11" s="1"/>
  <c r="H611" i="11"/>
  <c r="I603" i="11"/>
  <c r="J603" i="11" s="1"/>
  <c r="H600" i="11"/>
  <c r="I593" i="11"/>
  <c r="H590" i="11"/>
  <c r="I581" i="11"/>
  <c r="H577" i="11"/>
  <c r="I570" i="11"/>
  <c r="H567" i="11"/>
  <c r="I563" i="11"/>
  <c r="J563" i="11" s="1"/>
  <c r="H560" i="11"/>
  <c r="I555" i="11"/>
  <c r="J555" i="11" s="1"/>
  <c r="H552" i="11"/>
  <c r="I547" i="11"/>
  <c r="H544" i="11"/>
  <c r="I539" i="11"/>
  <c r="J539" i="11" s="1"/>
  <c r="H536" i="11"/>
  <c r="I531" i="11"/>
  <c r="J531" i="11" s="1"/>
  <c r="H527" i="11"/>
  <c r="I520" i="11"/>
  <c r="J520" i="11" s="1"/>
  <c r="H517" i="11"/>
  <c r="I510" i="11"/>
  <c r="J510" i="11" s="1"/>
  <c r="H507" i="11"/>
  <c r="I500" i="11"/>
  <c r="J500" i="11" s="1"/>
  <c r="H497" i="11"/>
  <c r="I491" i="11"/>
  <c r="J491" i="11" s="1"/>
  <c r="H488" i="11"/>
  <c r="I482" i="11"/>
  <c r="J482" i="11" s="1"/>
  <c r="H479" i="11"/>
  <c r="I468" i="11"/>
  <c r="H464" i="11"/>
  <c r="I458" i="11"/>
  <c r="J458" i="11" s="1"/>
  <c r="H455" i="11"/>
  <c r="I448" i="11"/>
  <c r="J448" i="11" s="1"/>
  <c r="H445" i="11"/>
  <c r="I439" i="11"/>
  <c r="J439" i="11" s="1"/>
  <c r="H436" i="11"/>
  <c r="I430" i="11"/>
  <c r="J430" i="11" s="1"/>
  <c r="H427" i="11"/>
  <c r="I422" i="11"/>
  <c r="J422" i="11" s="1"/>
  <c r="H419" i="11"/>
  <c r="I414" i="11"/>
  <c r="J414" i="11" s="1"/>
  <c r="H411" i="11"/>
  <c r="I404" i="11"/>
  <c r="J404" i="11" s="1"/>
  <c r="H401" i="11"/>
  <c r="I396" i="11"/>
  <c r="J396" i="11" s="1"/>
  <c r="H393" i="11"/>
  <c r="I390" i="11"/>
  <c r="J390" i="11" s="1"/>
  <c r="H387" i="11"/>
  <c r="I384" i="11"/>
  <c r="J384" i="11" s="1"/>
  <c r="D301" i="11"/>
  <c r="D382" i="11"/>
  <c r="I375" i="11"/>
  <c r="H380" i="11"/>
  <c r="H372" i="11"/>
  <c r="I367" i="11"/>
  <c r="J367" i="11" s="1"/>
  <c r="J364" i="11"/>
  <c r="H364" i="11"/>
  <c r="I354" i="11"/>
  <c r="H351" i="11"/>
  <c r="H341" i="11"/>
  <c r="I336" i="11"/>
  <c r="J336" i="11" s="1"/>
  <c r="J333" i="11"/>
  <c r="H333" i="11"/>
  <c r="I323" i="11"/>
  <c r="H320" i="11"/>
  <c r="I313" i="11"/>
  <c r="J313" i="11" s="1"/>
  <c r="H310" i="11"/>
  <c r="I303" i="11"/>
  <c r="J303" i="11" s="1"/>
  <c r="H299" i="11"/>
  <c r="I295" i="11"/>
  <c r="H292" i="11"/>
  <c r="I288" i="11"/>
  <c r="H285" i="11"/>
  <c r="I281" i="11"/>
  <c r="H278" i="11"/>
  <c r="I274" i="11"/>
  <c r="J274" i="11" s="1"/>
  <c r="H271" i="11"/>
  <c r="I267" i="11"/>
  <c r="H264" i="11"/>
  <c r="I260" i="11"/>
  <c r="J260" i="11" s="1"/>
  <c r="H257" i="11"/>
  <c r="I252" i="11"/>
  <c r="J252" i="11" s="1"/>
  <c r="H249" i="11"/>
  <c r="I244" i="11"/>
  <c r="H241" i="11"/>
  <c r="I238" i="11"/>
  <c r="J238" i="11" s="1"/>
  <c r="H234" i="11"/>
  <c r="I224" i="11"/>
  <c r="H221" i="11"/>
  <c r="I215" i="11"/>
  <c r="H212" i="11"/>
  <c r="I207" i="11"/>
  <c r="J207" i="11" s="1"/>
  <c r="H203" i="11"/>
  <c r="I197" i="11"/>
  <c r="J197" i="11" s="1"/>
  <c r="H194" i="11"/>
  <c r="I190" i="11"/>
  <c r="J190" i="11" s="1"/>
  <c r="H187" i="11"/>
  <c r="I183" i="11"/>
  <c r="J183" i="11" s="1"/>
  <c r="H179" i="11"/>
  <c r="I172" i="11"/>
  <c r="H169" i="11"/>
  <c r="I164" i="11"/>
  <c r="J164" i="11" s="1"/>
  <c r="H160" i="11"/>
  <c r="I153" i="11"/>
  <c r="J153" i="11" s="1"/>
  <c r="H150" i="11"/>
  <c r="I143" i="11"/>
  <c r="H140" i="11"/>
  <c r="I134" i="11"/>
  <c r="J134" i="11" s="1"/>
  <c r="H131" i="11"/>
  <c r="I120" i="11"/>
  <c r="H117" i="11"/>
  <c r="I108" i="11"/>
  <c r="J108" i="11" s="1"/>
  <c r="H104" i="11"/>
  <c r="I98" i="11"/>
  <c r="J98" i="11" s="1"/>
  <c r="H95" i="11"/>
  <c r="I84" i="11"/>
  <c r="J84" i="11" s="1"/>
  <c r="H81" i="11"/>
  <c r="I75" i="11"/>
  <c r="J75" i="11" s="1"/>
  <c r="I68" i="11"/>
  <c r="H72" i="11"/>
  <c r="H65" i="11"/>
  <c r="I54" i="11"/>
  <c r="J54" i="11" s="1"/>
  <c r="H51" i="11"/>
  <c r="I45" i="11"/>
  <c r="J45" i="11" s="1"/>
  <c r="H42" i="11"/>
  <c r="H35" i="11"/>
  <c r="H25" i="11"/>
  <c r="H18" i="11"/>
  <c r="H13" i="11"/>
  <c r="I6" i="11"/>
  <c r="J6" i="11" s="1"/>
  <c r="J627" i="11"/>
  <c r="J628" i="11"/>
  <c r="J629" i="11"/>
  <c r="J626" i="11"/>
  <c r="J615" i="11"/>
  <c r="J616" i="11"/>
  <c r="J617" i="11"/>
  <c r="J618" i="11"/>
  <c r="J619" i="11"/>
  <c r="J620" i="11"/>
  <c r="J621" i="11"/>
  <c r="J604" i="11"/>
  <c r="J605" i="11"/>
  <c r="J606" i="11"/>
  <c r="J607" i="11"/>
  <c r="J608" i="11"/>
  <c r="J609" i="11"/>
  <c r="J610" i="11"/>
  <c r="J594" i="11"/>
  <c r="J595" i="11"/>
  <c r="J596" i="11"/>
  <c r="J597" i="11"/>
  <c r="J598" i="11"/>
  <c r="J599" i="11"/>
  <c r="J593" i="11"/>
  <c r="J582" i="11"/>
  <c r="J583" i="11"/>
  <c r="J584" i="11"/>
  <c r="J585" i="11"/>
  <c r="J586" i="11"/>
  <c r="J587" i="11"/>
  <c r="J588" i="11"/>
  <c r="J589" i="11"/>
  <c r="J581" i="11"/>
  <c r="J571" i="11"/>
  <c r="J572" i="11"/>
  <c r="J573" i="11"/>
  <c r="J574" i="11"/>
  <c r="J575" i="11"/>
  <c r="J576" i="11"/>
  <c r="J570" i="11"/>
  <c r="J564" i="11"/>
  <c r="J565" i="11"/>
  <c r="J566" i="11"/>
  <c r="J556" i="11"/>
  <c r="J557" i="11"/>
  <c r="J558" i="11"/>
  <c r="J559" i="11"/>
  <c r="J548" i="11"/>
  <c r="J549" i="11"/>
  <c r="J550" i="11"/>
  <c r="J551" i="11"/>
  <c r="J547" i="11"/>
  <c r="J540" i="11"/>
  <c r="J541" i="11"/>
  <c r="J542" i="11"/>
  <c r="J543" i="11"/>
  <c r="J532" i="11"/>
  <c r="J533" i="11"/>
  <c r="J534" i="11"/>
  <c r="J535" i="11"/>
  <c r="J521" i="11"/>
  <c r="J522" i="11"/>
  <c r="J523" i="11"/>
  <c r="J524" i="11"/>
  <c r="J525" i="11"/>
  <c r="J526" i="11"/>
  <c r="J511" i="11"/>
  <c r="J512" i="11"/>
  <c r="J513" i="11"/>
  <c r="J514" i="11"/>
  <c r="J515" i="11"/>
  <c r="J516" i="11"/>
  <c r="J501" i="11"/>
  <c r="J502" i="11"/>
  <c r="J503" i="11"/>
  <c r="J504" i="11"/>
  <c r="J505" i="11"/>
  <c r="J506" i="11"/>
  <c r="J492" i="11"/>
  <c r="J493" i="11"/>
  <c r="J494" i="11"/>
  <c r="J495" i="11"/>
  <c r="J496" i="11"/>
  <c r="J483" i="11"/>
  <c r="J484" i="11"/>
  <c r="J485" i="11"/>
  <c r="J486" i="11"/>
  <c r="J487" i="11"/>
  <c r="J469" i="11"/>
  <c r="J470" i="11"/>
  <c r="J471" i="11"/>
  <c r="J472" i="11"/>
  <c r="J473" i="11"/>
  <c r="J474" i="11"/>
  <c r="J475" i="11"/>
  <c r="J476" i="11"/>
  <c r="J477" i="11"/>
  <c r="J478" i="11"/>
  <c r="J468" i="11"/>
  <c r="J459" i="11"/>
  <c r="J460" i="11"/>
  <c r="J461" i="11"/>
  <c r="J462" i="11"/>
  <c r="J463" i="11"/>
  <c r="J449" i="11"/>
  <c r="J450" i="11"/>
  <c r="J451" i="11"/>
  <c r="J452" i="11"/>
  <c r="J453" i="11"/>
  <c r="J454" i="11"/>
  <c r="J440" i="11"/>
  <c r="J441" i="11"/>
  <c r="J442" i="11"/>
  <c r="J443" i="11"/>
  <c r="J444" i="11"/>
  <c r="J431" i="11"/>
  <c r="J432" i="11"/>
  <c r="J433" i="11"/>
  <c r="J434" i="11"/>
  <c r="J435" i="11"/>
  <c r="J423" i="11"/>
  <c r="J424" i="11"/>
  <c r="J425" i="11"/>
  <c r="J426" i="11"/>
  <c r="J418" i="11"/>
  <c r="J415" i="11"/>
  <c r="J416" i="11"/>
  <c r="J417" i="11"/>
  <c r="J405" i="11"/>
  <c r="J406" i="11"/>
  <c r="J407" i="11"/>
  <c r="J408" i="11"/>
  <c r="J409" i="11"/>
  <c r="J410" i="11"/>
  <c r="J397" i="11"/>
  <c r="J398" i="11"/>
  <c r="J399" i="11"/>
  <c r="J400" i="11"/>
  <c r="J391" i="11"/>
  <c r="J392" i="11"/>
  <c r="J385" i="11"/>
  <c r="J386" i="11"/>
  <c r="J376" i="11"/>
  <c r="J377" i="11"/>
  <c r="J378" i="11"/>
  <c r="J379" i="11"/>
  <c r="J375" i="11"/>
  <c r="J368" i="11"/>
  <c r="J369" i="11"/>
  <c r="J370" i="11"/>
  <c r="J371" i="11"/>
  <c r="J355" i="11"/>
  <c r="J356" i="11"/>
  <c r="J357" i="11"/>
  <c r="J358" i="11"/>
  <c r="J359" i="11"/>
  <c r="J360" i="11"/>
  <c r="J361" i="11"/>
  <c r="J362" i="11"/>
  <c r="J363" i="11"/>
  <c r="J354" i="11"/>
  <c r="J345" i="11"/>
  <c r="J346" i="11"/>
  <c r="J347" i="11"/>
  <c r="J348" i="11"/>
  <c r="J349" i="11"/>
  <c r="J350" i="11"/>
  <c r="J344" i="11"/>
  <c r="J337" i="11"/>
  <c r="J338" i="11"/>
  <c r="J339" i="11"/>
  <c r="J340" i="11"/>
  <c r="J324" i="11"/>
  <c r="J325" i="11"/>
  <c r="J326" i="11"/>
  <c r="J327" i="11"/>
  <c r="J328" i="11"/>
  <c r="J329" i="11"/>
  <c r="J330" i="11"/>
  <c r="J331" i="11"/>
  <c r="J332" i="11"/>
  <c r="J323" i="11"/>
  <c r="J314" i="11"/>
  <c r="J315" i="11"/>
  <c r="J316" i="11"/>
  <c r="J317" i="11"/>
  <c r="J318" i="11"/>
  <c r="J319" i="11"/>
  <c r="J304" i="11"/>
  <c r="J305" i="11"/>
  <c r="J306" i="11"/>
  <c r="J307" i="11"/>
  <c r="J308" i="11"/>
  <c r="J309" i="11"/>
  <c r="J296" i="11"/>
  <c r="J297" i="11"/>
  <c r="J298" i="11"/>
  <c r="J295" i="11"/>
  <c r="J289" i="11"/>
  <c r="J290" i="11"/>
  <c r="J291" i="11"/>
  <c r="J288" i="11"/>
  <c r="J282" i="11"/>
  <c r="J283" i="11"/>
  <c r="J284" i="11"/>
  <c r="J281" i="11"/>
  <c r="J275" i="11"/>
  <c r="J276" i="11"/>
  <c r="J277" i="11"/>
  <c r="J268" i="11"/>
  <c r="J269" i="11"/>
  <c r="J270" i="11"/>
  <c r="J267" i="11"/>
  <c r="J261" i="11"/>
  <c r="J262" i="11"/>
  <c r="J263" i="11"/>
  <c r="J253" i="11"/>
  <c r="J254" i="11"/>
  <c r="J255" i="11"/>
  <c r="J256" i="11"/>
  <c r="J245" i="11"/>
  <c r="J246" i="11"/>
  <c r="J247" i="11"/>
  <c r="J248" i="11"/>
  <c r="J244" i="11"/>
  <c r="J239" i="11"/>
  <c r="J240" i="11"/>
  <c r="J225" i="11"/>
  <c r="J226" i="11"/>
  <c r="J227" i="11"/>
  <c r="J228" i="11"/>
  <c r="J229" i="11"/>
  <c r="J230" i="11"/>
  <c r="J231" i="11"/>
  <c r="J232" i="11"/>
  <c r="J233" i="11"/>
  <c r="J224" i="11"/>
  <c r="J216" i="11"/>
  <c r="J217" i="11"/>
  <c r="J218" i="11"/>
  <c r="J219" i="11"/>
  <c r="J220" i="11"/>
  <c r="J215" i="11"/>
  <c r="J208" i="11"/>
  <c r="J209" i="11"/>
  <c r="J210" i="11"/>
  <c r="J211" i="11"/>
  <c r="J198" i="11"/>
  <c r="J199" i="11"/>
  <c r="J200" i="11"/>
  <c r="J201" i="11"/>
  <c r="J202" i="11"/>
  <c r="J191" i="11"/>
  <c r="J192" i="11"/>
  <c r="J193" i="11"/>
  <c r="J184" i="11"/>
  <c r="J185" i="11"/>
  <c r="J186" i="11"/>
  <c r="J173" i="11"/>
  <c r="J174" i="11"/>
  <c r="J175" i="11"/>
  <c r="J176" i="11"/>
  <c r="J177" i="11"/>
  <c r="J178" i="11"/>
  <c r="J172" i="11"/>
  <c r="J165" i="11"/>
  <c r="J166" i="11"/>
  <c r="J167" i="11"/>
  <c r="J168" i="11"/>
  <c r="J154" i="11"/>
  <c r="J155" i="11"/>
  <c r="J156" i="11"/>
  <c r="J157" i="11"/>
  <c r="J158" i="11"/>
  <c r="J159" i="11"/>
  <c r="J144" i="11"/>
  <c r="J145" i="11"/>
  <c r="J146" i="11"/>
  <c r="J147" i="11"/>
  <c r="J148" i="11"/>
  <c r="J149" i="11"/>
  <c r="J143" i="11"/>
  <c r="J135" i="11"/>
  <c r="J136" i="11"/>
  <c r="J137" i="11"/>
  <c r="J138" i="11"/>
  <c r="J139" i="11"/>
  <c r="J121" i="11"/>
  <c r="J122" i="11"/>
  <c r="J123" i="11"/>
  <c r="J124" i="11"/>
  <c r="J125" i="11"/>
  <c r="J126" i="11"/>
  <c r="J127" i="11"/>
  <c r="J128" i="11"/>
  <c r="J129" i="11"/>
  <c r="J130" i="11"/>
  <c r="J120" i="11"/>
  <c r="J109" i="11"/>
  <c r="J110" i="11"/>
  <c r="J111" i="11"/>
  <c r="J112" i="11"/>
  <c r="J113" i="11"/>
  <c r="J114" i="11"/>
  <c r="J115" i="11"/>
  <c r="J116" i="11"/>
  <c r="J99" i="11"/>
  <c r="J100" i="11"/>
  <c r="J101" i="11"/>
  <c r="J102" i="11"/>
  <c r="J103" i="11"/>
  <c r="J85" i="11"/>
  <c r="J86" i="11"/>
  <c r="J87" i="11"/>
  <c r="J88" i="11"/>
  <c r="J89" i="11"/>
  <c r="J90" i="11"/>
  <c r="J91" i="11"/>
  <c r="J92" i="11"/>
  <c r="J93" i="11"/>
  <c r="J94" i="11"/>
  <c r="J76" i="11"/>
  <c r="J77" i="11"/>
  <c r="J78" i="11"/>
  <c r="J79" i="11"/>
  <c r="J80" i="11"/>
  <c r="J69" i="11"/>
  <c r="J70" i="11"/>
  <c r="J71" i="11"/>
  <c r="J68" i="11"/>
  <c r="J55" i="11"/>
  <c r="J56" i="11"/>
  <c r="J57" i="11"/>
  <c r="J58" i="11"/>
  <c r="J59" i="11"/>
  <c r="J60" i="11"/>
  <c r="J61" i="11"/>
  <c r="J62" i="11"/>
  <c r="J63" i="11"/>
  <c r="J64" i="11"/>
  <c r="J46" i="11"/>
  <c r="J47" i="11"/>
  <c r="J48" i="11"/>
  <c r="J49" i="11"/>
  <c r="J50" i="11"/>
  <c r="J40" i="11"/>
  <c r="J41" i="11"/>
  <c r="J39" i="11"/>
  <c r="J29" i="11"/>
  <c r="J30" i="11"/>
  <c r="J31" i="11"/>
  <c r="J32" i="11"/>
  <c r="J33" i="11"/>
  <c r="J34" i="11"/>
  <c r="J28" i="11"/>
  <c r="J22" i="11"/>
  <c r="J23" i="11"/>
  <c r="J21" i="11"/>
  <c r="J17" i="11"/>
  <c r="J16" i="11"/>
  <c r="J7" i="11"/>
  <c r="J8" i="11"/>
  <c r="J9" i="11"/>
  <c r="J10" i="11"/>
  <c r="J11" i="11"/>
  <c r="J12" i="11"/>
  <c r="J7" i="3"/>
  <c r="I21" i="3"/>
  <c r="H8" i="1"/>
  <c r="I8" i="1" s="1"/>
  <c r="I48" i="10"/>
  <c r="I51" i="10"/>
  <c r="I6" i="8"/>
  <c r="J6" i="8" s="1"/>
  <c r="H21" i="8"/>
  <c r="I428" i="8"/>
  <c r="I419" i="8"/>
  <c r="J419" i="8" s="1"/>
  <c r="I408" i="8"/>
  <c r="J408" i="8" s="1"/>
  <c r="I398" i="8"/>
  <c r="J398" i="8" s="1"/>
  <c r="I386" i="8"/>
  <c r="J386" i="8" s="1"/>
  <c r="I379" i="8"/>
  <c r="J379" i="8" s="1"/>
  <c r="I368" i="8"/>
  <c r="J368" i="8" s="1"/>
  <c r="I361" i="8"/>
  <c r="J361" i="8" s="1"/>
  <c r="I353" i="8"/>
  <c r="J353" i="8" s="1"/>
  <c r="I345" i="8"/>
  <c r="J345" i="8" s="1"/>
  <c r="I334" i="8"/>
  <c r="J334" i="8" s="1"/>
  <c r="I324" i="8"/>
  <c r="I314" i="8"/>
  <c r="I305" i="8"/>
  <c r="J305" i="8" s="1"/>
  <c r="I297" i="8"/>
  <c r="J297" i="8" s="1"/>
  <c r="I290" i="8"/>
  <c r="J290" i="8" s="1"/>
  <c r="I281" i="8"/>
  <c r="J281" i="8" s="1"/>
  <c r="I267" i="8"/>
  <c r="I256" i="8"/>
  <c r="J256" i="8" s="1"/>
  <c r="I248" i="8"/>
  <c r="J248" i="8" s="1"/>
  <c r="I240" i="8"/>
  <c r="J240" i="8" s="1"/>
  <c r="I234" i="8"/>
  <c r="J234" i="8" s="1"/>
  <c r="I226" i="8"/>
  <c r="J226" i="8" s="1"/>
  <c r="I217" i="8"/>
  <c r="J217" i="8" s="1"/>
  <c r="I207" i="8"/>
  <c r="J207" i="8" s="1"/>
  <c r="I198" i="8"/>
  <c r="J198" i="8" s="1"/>
  <c r="I188" i="8"/>
  <c r="J188" i="8" s="1"/>
  <c r="I180" i="8"/>
  <c r="J180" i="8" s="1"/>
  <c r="I167" i="8"/>
  <c r="J167" i="8" s="1"/>
  <c r="I157" i="8"/>
  <c r="J157" i="8" s="1"/>
  <c r="I147" i="8"/>
  <c r="J147" i="8" s="1"/>
  <c r="I139" i="8"/>
  <c r="J139" i="8" s="1"/>
  <c r="I132" i="8"/>
  <c r="J132" i="8" s="1"/>
  <c r="I125" i="8"/>
  <c r="J125" i="8" s="1"/>
  <c r="I118" i="8"/>
  <c r="J118" i="8" s="1"/>
  <c r="I110" i="8"/>
  <c r="J110" i="8" s="1"/>
  <c r="I104" i="8"/>
  <c r="J104" i="8" s="1"/>
  <c r="I94" i="8"/>
  <c r="J94" i="8" s="1"/>
  <c r="I86" i="8"/>
  <c r="J86" i="8" s="1"/>
  <c r="I77" i="8"/>
  <c r="J77" i="8" s="1"/>
  <c r="I69" i="8"/>
  <c r="J69" i="8" s="1"/>
  <c r="I61" i="8"/>
  <c r="J61" i="8" s="1"/>
  <c r="I54" i="8"/>
  <c r="J54" i="8" s="1"/>
  <c r="I43" i="8"/>
  <c r="J43" i="8" s="1"/>
  <c r="I35" i="8"/>
  <c r="J35" i="8" s="1"/>
  <c r="I24" i="8"/>
  <c r="J24" i="8" s="1"/>
  <c r="I12" i="8"/>
  <c r="J12" i="8" s="1"/>
  <c r="H432" i="8"/>
  <c r="H424" i="8"/>
  <c r="H416" i="8"/>
  <c r="H405" i="8"/>
  <c r="H395" i="8"/>
  <c r="H383" i="8"/>
  <c r="H375" i="8"/>
  <c r="H365" i="8"/>
  <c r="H358" i="8"/>
  <c r="H350" i="8"/>
  <c r="H341" i="8"/>
  <c r="H331" i="8"/>
  <c r="H321" i="8"/>
  <c r="H311" i="8"/>
  <c r="H302" i="8"/>
  <c r="H294" i="8"/>
  <c r="H287" i="8"/>
  <c r="H278" i="8"/>
  <c r="H263" i="8"/>
  <c r="H253" i="8"/>
  <c r="H245" i="8"/>
  <c r="H237" i="8"/>
  <c r="H231" i="8"/>
  <c r="H223" i="8"/>
  <c r="H214" i="8"/>
  <c r="H203" i="8"/>
  <c r="H195" i="8"/>
  <c r="H185" i="8"/>
  <c r="J177" i="8"/>
  <c r="H177" i="8"/>
  <c r="H164" i="8"/>
  <c r="H154" i="8"/>
  <c r="H143" i="8"/>
  <c r="H136" i="8"/>
  <c r="H129" i="8"/>
  <c r="H122" i="8"/>
  <c r="H115" i="8"/>
  <c r="H107" i="8"/>
  <c r="H100" i="8"/>
  <c r="H91" i="8"/>
  <c r="H83" i="8"/>
  <c r="H74" i="8"/>
  <c r="H65" i="8"/>
  <c r="H58" i="8"/>
  <c r="H50" i="8"/>
  <c r="H40" i="8"/>
  <c r="H31" i="8"/>
  <c r="H14" i="8"/>
  <c r="H9" i="8"/>
  <c r="J429" i="8"/>
  <c r="J430" i="8"/>
  <c r="J431" i="8"/>
  <c r="J428" i="8"/>
  <c r="J420" i="8"/>
  <c r="J421" i="8"/>
  <c r="J422" i="8"/>
  <c r="J423" i="8"/>
  <c r="J409" i="8"/>
  <c r="J410" i="8"/>
  <c r="J411" i="8"/>
  <c r="J412" i="8"/>
  <c r="J413" i="8"/>
  <c r="J414" i="8"/>
  <c r="J415" i="8"/>
  <c r="J399" i="8"/>
  <c r="J400" i="8"/>
  <c r="J401" i="8"/>
  <c r="J402" i="8"/>
  <c r="J403" i="8"/>
  <c r="J404" i="8"/>
  <c r="J387" i="8"/>
  <c r="J388" i="8"/>
  <c r="J389" i="8"/>
  <c r="J390" i="8"/>
  <c r="J391" i="8"/>
  <c r="J392" i="8"/>
  <c r="J393" i="8"/>
  <c r="J394" i="8"/>
  <c r="J380" i="8"/>
  <c r="J381" i="8"/>
  <c r="J382" i="8"/>
  <c r="J369" i="8"/>
  <c r="J370" i="8"/>
  <c r="J371" i="8"/>
  <c r="J372" i="8"/>
  <c r="J373" i="8"/>
  <c r="J374" i="8"/>
  <c r="J362" i="8"/>
  <c r="J363" i="8"/>
  <c r="J364" i="8"/>
  <c r="J354" i="8"/>
  <c r="J355" i="8"/>
  <c r="J356" i="8"/>
  <c r="J357" i="8"/>
  <c r="J346" i="8"/>
  <c r="J347" i="8"/>
  <c r="J348" i="8"/>
  <c r="J349" i="8"/>
  <c r="J335" i="8"/>
  <c r="J336" i="8"/>
  <c r="J337" i="8"/>
  <c r="J338" i="8"/>
  <c r="J339" i="8"/>
  <c r="J340" i="8"/>
  <c r="J325" i="8"/>
  <c r="J326" i="8"/>
  <c r="J327" i="8"/>
  <c r="J328" i="8"/>
  <c r="J329" i="8"/>
  <c r="J330" i="8"/>
  <c r="J324" i="8"/>
  <c r="J315" i="8"/>
  <c r="J316" i="8"/>
  <c r="J317" i="8"/>
  <c r="J318" i="8"/>
  <c r="J319" i="8"/>
  <c r="J320" i="8"/>
  <c r="J314" i="8"/>
  <c r="J306" i="8"/>
  <c r="J307" i="8"/>
  <c r="J308" i="8"/>
  <c r="J309" i="8"/>
  <c r="J310" i="8"/>
  <c r="J298" i="8"/>
  <c r="J299" i="8"/>
  <c r="J300" i="8"/>
  <c r="J301" i="8"/>
  <c r="J291" i="8"/>
  <c r="J292" i="8"/>
  <c r="J293" i="8"/>
  <c r="J282" i="8"/>
  <c r="J283" i="8"/>
  <c r="J284" i="8"/>
  <c r="J285" i="8"/>
  <c r="J286" i="8"/>
  <c r="J268" i="8"/>
  <c r="J269" i="8"/>
  <c r="J270" i="8"/>
  <c r="J271" i="8"/>
  <c r="J272" i="8"/>
  <c r="J273" i="8"/>
  <c r="J274" i="8"/>
  <c r="J275" i="8"/>
  <c r="J276" i="8"/>
  <c r="J277" i="8"/>
  <c r="J267" i="8"/>
  <c r="J257" i="8"/>
  <c r="J258" i="8"/>
  <c r="J259" i="8"/>
  <c r="J260" i="8"/>
  <c r="J261" i="8"/>
  <c r="J262" i="8"/>
  <c r="J249" i="8"/>
  <c r="J250" i="8"/>
  <c r="J251" i="8"/>
  <c r="J252" i="8"/>
  <c r="J241" i="8"/>
  <c r="J242" i="8"/>
  <c r="J243" i="8"/>
  <c r="J244" i="8"/>
  <c r="J235" i="8"/>
  <c r="J236" i="8"/>
  <c r="J227" i="8"/>
  <c r="J228" i="8"/>
  <c r="J229" i="8"/>
  <c r="J230" i="8"/>
  <c r="J218" i="8"/>
  <c r="J219" i="8"/>
  <c r="J220" i="8"/>
  <c r="J221" i="8"/>
  <c r="J222" i="8"/>
  <c r="J208" i="8"/>
  <c r="J209" i="8"/>
  <c r="J210" i="8"/>
  <c r="J211" i="8"/>
  <c r="J212" i="8"/>
  <c r="J213" i="8"/>
  <c r="J199" i="8"/>
  <c r="J200" i="8"/>
  <c r="J201" i="8"/>
  <c r="J202" i="8"/>
  <c r="J189" i="8"/>
  <c r="J190" i="8"/>
  <c r="J191" i="8"/>
  <c r="J192" i="8"/>
  <c r="J193" i="8"/>
  <c r="J194" i="8"/>
  <c r="J181" i="8"/>
  <c r="J182" i="8"/>
  <c r="J183" i="8"/>
  <c r="J184" i="8"/>
  <c r="J168" i="8"/>
  <c r="J169" i="8"/>
  <c r="J170" i="8"/>
  <c r="J171" i="8"/>
  <c r="J172" i="8"/>
  <c r="J173" i="8"/>
  <c r="J174" i="8"/>
  <c r="J175" i="8"/>
  <c r="J176" i="8"/>
  <c r="J158" i="8"/>
  <c r="J159" i="8"/>
  <c r="J160" i="8"/>
  <c r="J161" i="8"/>
  <c r="J162" i="8"/>
  <c r="J163" i="8"/>
  <c r="J148" i="8"/>
  <c r="J149" i="8"/>
  <c r="J150" i="8"/>
  <c r="J151" i="8"/>
  <c r="J152" i="8"/>
  <c r="J153" i="8"/>
  <c r="J140" i="8"/>
  <c r="J141" i="8"/>
  <c r="J142" i="8"/>
  <c r="J133" i="8"/>
  <c r="J134" i="8"/>
  <c r="J135" i="8"/>
  <c r="J126" i="8"/>
  <c r="J127" i="8"/>
  <c r="J128" i="8"/>
  <c r="J119" i="8"/>
  <c r="J120" i="8"/>
  <c r="J121" i="8"/>
  <c r="J111" i="8"/>
  <c r="J112" i="8"/>
  <c r="J113" i="8"/>
  <c r="J114" i="8"/>
  <c r="J105" i="8"/>
  <c r="J106" i="8"/>
  <c r="J95" i="8"/>
  <c r="J96" i="8"/>
  <c r="J97" i="8"/>
  <c r="J98" i="8"/>
  <c r="J99" i="8"/>
  <c r="J87" i="8"/>
  <c r="J88" i="8"/>
  <c r="J89" i="8"/>
  <c r="J90" i="8"/>
  <c r="J78" i="8"/>
  <c r="J79" i="8"/>
  <c r="J80" i="8"/>
  <c r="J81" i="8"/>
  <c r="J82" i="8"/>
  <c r="J70" i="8"/>
  <c r="J71" i="8"/>
  <c r="J72" i="8"/>
  <c r="J73" i="8"/>
  <c r="J62" i="8"/>
  <c r="J63" i="8"/>
  <c r="J64" i="8"/>
  <c r="J57" i="8"/>
  <c r="J55" i="8"/>
  <c r="J56" i="8"/>
  <c r="J44" i="8"/>
  <c r="J45" i="8"/>
  <c r="J46" i="8"/>
  <c r="J47" i="8"/>
  <c r="J48" i="8"/>
  <c r="J49" i="8"/>
  <c r="J36" i="8"/>
  <c r="J37" i="8"/>
  <c r="J38" i="8"/>
  <c r="J39" i="8"/>
  <c r="J25" i="8"/>
  <c r="J26" i="8"/>
  <c r="J27" i="8"/>
  <c r="J28" i="8"/>
  <c r="J29" i="8"/>
  <c r="J30" i="8"/>
  <c r="J18" i="8"/>
  <c r="J19" i="8"/>
  <c r="J20" i="8"/>
  <c r="J13" i="8"/>
  <c r="J7" i="8"/>
  <c r="J8" i="8"/>
  <c r="I31" i="7"/>
  <c r="I290" i="5"/>
  <c r="J290" i="5" s="1"/>
  <c r="I278" i="5"/>
  <c r="I267" i="5"/>
  <c r="J267" i="5" s="1"/>
  <c r="I258" i="5"/>
  <c r="J258" i="5" s="1"/>
  <c r="I250" i="5"/>
  <c r="I243" i="5"/>
  <c r="J243" i="5" s="1"/>
  <c r="I234" i="5"/>
  <c r="J234" i="5" s="1"/>
  <c r="I220" i="5"/>
  <c r="I211" i="5"/>
  <c r="J211" i="5" s="1"/>
  <c r="I201" i="5"/>
  <c r="I191" i="5"/>
  <c r="J191" i="5" s="1"/>
  <c r="I181" i="5"/>
  <c r="J181" i="5" s="1"/>
  <c r="I173" i="5"/>
  <c r="J173" i="5" s="1"/>
  <c r="I166" i="5"/>
  <c r="J166" i="5" s="1"/>
  <c r="I158" i="5"/>
  <c r="J158" i="5" s="1"/>
  <c r="I151" i="5"/>
  <c r="J151" i="5" s="1"/>
  <c r="I142" i="5"/>
  <c r="J142" i="5" s="1"/>
  <c r="I129" i="5"/>
  <c r="J129" i="5" s="1"/>
  <c r="I121" i="5"/>
  <c r="J121" i="5" s="1"/>
  <c r="I106" i="5"/>
  <c r="I96" i="5"/>
  <c r="J96" i="5" s="1"/>
  <c r="I87" i="5"/>
  <c r="J87" i="5" s="1"/>
  <c r="I78" i="5"/>
  <c r="J78" i="5" s="1"/>
  <c r="I68" i="5"/>
  <c r="I59" i="5"/>
  <c r="J59" i="5" s="1"/>
  <c r="I50" i="5"/>
  <c r="J50" i="5" s="1"/>
  <c r="I34" i="5"/>
  <c r="J34" i="5" s="1"/>
  <c r="I25" i="5"/>
  <c r="I17" i="5"/>
  <c r="J17" i="5" s="1"/>
  <c r="I12" i="5"/>
  <c r="J12" i="5" s="1"/>
  <c r="I6" i="5"/>
  <c r="J6" i="5" s="1"/>
  <c r="H294" i="5"/>
  <c r="H287" i="5"/>
  <c r="H274" i="5"/>
  <c r="H264" i="5"/>
  <c r="H255" i="5"/>
  <c r="H247" i="5"/>
  <c r="H240" i="5"/>
  <c r="H231" i="5"/>
  <c r="H216" i="5"/>
  <c r="H208" i="5"/>
  <c r="H198" i="5"/>
  <c r="H188" i="5"/>
  <c r="H177" i="5"/>
  <c r="H170" i="5"/>
  <c r="H163" i="5"/>
  <c r="H155" i="5"/>
  <c r="H147" i="5"/>
  <c r="H139" i="5"/>
  <c r="H126" i="5"/>
  <c r="H117" i="5"/>
  <c r="H103" i="5"/>
  <c r="H93" i="5"/>
  <c r="H84" i="5"/>
  <c r="H74" i="5"/>
  <c r="H65" i="5"/>
  <c r="H56" i="5"/>
  <c r="H47" i="5"/>
  <c r="H31" i="5"/>
  <c r="H21" i="5"/>
  <c r="H14" i="5"/>
  <c r="H9" i="5"/>
  <c r="J293" i="5"/>
  <c r="J291" i="5"/>
  <c r="J292" i="5"/>
  <c r="J279" i="5"/>
  <c r="J280" i="5"/>
  <c r="J281" i="5"/>
  <c r="J282" i="5"/>
  <c r="J283" i="5"/>
  <c r="J284" i="5"/>
  <c r="J285" i="5"/>
  <c r="J286" i="5"/>
  <c r="J278" i="5"/>
  <c r="J268" i="5"/>
  <c r="J269" i="5"/>
  <c r="J270" i="5"/>
  <c r="J271" i="5"/>
  <c r="J272" i="5"/>
  <c r="J273" i="5"/>
  <c r="J259" i="5"/>
  <c r="J260" i="5"/>
  <c r="J261" i="5"/>
  <c r="J262" i="5"/>
  <c r="J263" i="5"/>
  <c r="J254" i="5"/>
  <c r="J251" i="5"/>
  <c r="J252" i="5"/>
  <c r="J253" i="5"/>
  <c r="J250" i="5"/>
  <c r="J244" i="5"/>
  <c r="J245" i="5"/>
  <c r="J246" i="5"/>
  <c r="J235" i="5"/>
  <c r="J236" i="5"/>
  <c r="J237" i="5"/>
  <c r="J238" i="5"/>
  <c r="J239" i="5"/>
  <c r="J221" i="5"/>
  <c r="J222" i="5"/>
  <c r="J223" i="5"/>
  <c r="J224" i="5"/>
  <c r="J225" i="5"/>
  <c r="J226" i="5"/>
  <c r="J227" i="5"/>
  <c r="J228" i="5"/>
  <c r="J229" i="5"/>
  <c r="J230" i="5"/>
  <c r="J220" i="5"/>
  <c r="J212" i="5"/>
  <c r="J213" i="5"/>
  <c r="J214" i="5"/>
  <c r="J215" i="5"/>
  <c r="J202" i="5"/>
  <c r="J203" i="5"/>
  <c r="J204" i="5"/>
  <c r="J205" i="5"/>
  <c r="J206" i="5"/>
  <c r="J207" i="5"/>
  <c r="J201" i="5"/>
  <c r="J192" i="5"/>
  <c r="J193" i="5"/>
  <c r="J194" i="5"/>
  <c r="J195" i="5"/>
  <c r="J196" i="5"/>
  <c r="J197" i="5"/>
  <c r="J182" i="5"/>
  <c r="J183" i="5"/>
  <c r="J184" i="5"/>
  <c r="J185" i="5"/>
  <c r="J186" i="5"/>
  <c r="J187" i="5"/>
  <c r="J174" i="5"/>
  <c r="J175" i="5"/>
  <c r="J176" i="5"/>
  <c r="J169" i="5"/>
  <c r="J167" i="5"/>
  <c r="J168" i="5"/>
  <c r="J159" i="5"/>
  <c r="J160" i="5"/>
  <c r="J161" i="5"/>
  <c r="J162" i="5"/>
  <c r="J152" i="5"/>
  <c r="J153" i="5"/>
  <c r="J154" i="5"/>
  <c r="J143" i="5"/>
  <c r="J144" i="5"/>
  <c r="J145" i="5"/>
  <c r="J146" i="5"/>
  <c r="J130" i="5"/>
  <c r="J131" i="5"/>
  <c r="J132" i="5"/>
  <c r="J133" i="5"/>
  <c r="J134" i="5"/>
  <c r="J135" i="5"/>
  <c r="J136" i="5"/>
  <c r="J137" i="5"/>
  <c r="J138" i="5"/>
  <c r="J122" i="5"/>
  <c r="J123" i="5"/>
  <c r="J124" i="5"/>
  <c r="J125" i="5"/>
  <c r="J107" i="5"/>
  <c r="J108" i="5"/>
  <c r="J109" i="5"/>
  <c r="J110" i="5"/>
  <c r="J111" i="5"/>
  <c r="J112" i="5"/>
  <c r="J113" i="5"/>
  <c r="J114" i="5"/>
  <c r="J115" i="5"/>
  <c r="J116" i="5"/>
  <c r="J106" i="5"/>
  <c r="J97" i="5"/>
  <c r="J98" i="5"/>
  <c r="J99" i="5"/>
  <c r="J100" i="5"/>
  <c r="J101" i="5"/>
  <c r="J102" i="5"/>
  <c r="J88" i="5"/>
  <c r="J89" i="5"/>
  <c r="J90" i="5"/>
  <c r="J91" i="5"/>
  <c r="J92" i="5"/>
  <c r="J79" i="5"/>
  <c r="J80" i="5"/>
  <c r="J81" i="5"/>
  <c r="J82" i="5"/>
  <c r="J83" i="5"/>
  <c r="J69" i="5"/>
  <c r="J70" i="5"/>
  <c r="J71" i="5"/>
  <c r="J72" i="5"/>
  <c r="J73" i="5"/>
  <c r="J68" i="5"/>
  <c r="J60" i="5"/>
  <c r="J61" i="5"/>
  <c r="J62" i="5"/>
  <c r="J63" i="5"/>
  <c r="J64" i="5"/>
  <c r="J51" i="5"/>
  <c r="J52" i="5"/>
  <c r="J53" i="5"/>
  <c r="J54" i="5"/>
  <c r="J55" i="5"/>
  <c r="J35" i="5"/>
  <c r="J36" i="5"/>
  <c r="J37" i="5"/>
  <c r="J38" i="5"/>
  <c r="J39" i="5"/>
  <c r="J40" i="5"/>
  <c r="J41" i="5"/>
  <c r="J42" i="5"/>
  <c r="J43" i="5"/>
  <c r="J44" i="5"/>
  <c r="J45" i="5"/>
  <c r="J46" i="5"/>
  <c r="J26" i="5"/>
  <c r="J27" i="5"/>
  <c r="J28" i="5"/>
  <c r="J29" i="5"/>
  <c r="J30" i="5"/>
  <c r="J25" i="5"/>
  <c r="J18" i="5"/>
  <c r="J19" i="5"/>
  <c r="J20" i="5"/>
  <c r="J13" i="5"/>
  <c r="J7" i="5"/>
  <c r="J8" i="5"/>
  <c r="H170" i="3"/>
  <c r="J162" i="3"/>
  <c r="H162" i="3"/>
  <c r="H152" i="3"/>
  <c r="J142" i="3"/>
  <c r="H142" i="3"/>
  <c r="H131" i="3"/>
  <c r="H119" i="3"/>
  <c r="H108" i="3"/>
  <c r="J96" i="3"/>
  <c r="H96" i="3"/>
  <c r="H88" i="3"/>
  <c r="H80" i="3"/>
  <c r="H72" i="3"/>
  <c r="H62" i="3"/>
  <c r="H52" i="3"/>
  <c r="J41" i="3"/>
  <c r="J33" i="3" s="1"/>
  <c r="H41" i="3"/>
  <c r="H31" i="3"/>
  <c r="H18" i="3"/>
  <c r="H9" i="3"/>
  <c r="I166" i="3"/>
  <c r="J166" i="3" s="1"/>
  <c r="I155" i="3"/>
  <c r="J155" i="3" s="1"/>
  <c r="I146" i="3"/>
  <c r="J146" i="3" s="1"/>
  <c r="I134" i="3"/>
  <c r="J134" i="3" s="1"/>
  <c r="I122" i="3"/>
  <c r="J122" i="3" s="1"/>
  <c r="I111" i="3"/>
  <c r="J111" i="3" s="1"/>
  <c r="I100" i="3"/>
  <c r="J100" i="3" s="1"/>
  <c r="I91" i="3"/>
  <c r="J91" i="3" s="1"/>
  <c r="I83" i="3"/>
  <c r="J83" i="3" s="1"/>
  <c r="I75" i="3"/>
  <c r="J75" i="3" s="1"/>
  <c r="I66" i="3"/>
  <c r="J66" i="3" s="1"/>
  <c r="I55" i="3"/>
  <c r="J55" i="3" s="1"/>
  <c r="I45" i="3"/>
  <c r="J45" i="3" s="1"/>
  <c r="I35" i="3"/>
  <c r="J167" i="3"/>
  <c r="J168" i="3"/>
  <c r="J169" i="3"/>
  <c r="J156" i="3"/>
  <c r="J157" i="3"/>
  <c r="J158" i="3"/>
  <c r="J159" i="3"/>
  <c r="J160" i="3"/>
  <c r="J161" i="3"/>
  <c r="J147" i="3"/>
  <c r="J148" i="3"/>
  <c r="J149" i="3"/>
  <c r="J150" i="3"/>
  <c r="J151" i="3"/>
  <c r="J135" i="3"/>
  <c r="J136" i="3"/>
  <c r="J137" i="3"/>
  <c r="J138" i="3"/>
  <c r="J139" i="3"/>
  <c r="J140" i="3"/>
  <c r="J141" i="3"/>
  <c r="J123" i="3"/>
  <c r="J124" i="3"/>
  <c r="J125" i="3"/>
  <c r="J126" i="3"/>
  <c r="J127" i="3"/>
  <c r="J128" i="3"/>
  <c r="J129" i="3"/>
  <c r="J130" i="3"/>
  <c r="J112" i="3"/>
  <c r="J113" i="3"/>
  <c r="J114" i="3"/>
  <c r="J115" i="3"/>
  <c r="J116" i="3"/>
  <c r="J117" i="3"/>
  <c r="J118" i="3"/>
  <c r="J101" i="3"/>
  <c r="J102" i="3"/>
  <c r="J103" i="3"/>
  <c r="J104" i="3"/>
  <c r="J105" i="3"/>
  <c r="J106" i="3"/>
  <c r="J107" i="3"/>
  <c r="J92" i="3"/>
  <c r="J93" i="3"/>
  <c r="J94" i="3"/>
  <c r="J95" i="3"/>
  <c r="J84" i="3"/>
  <c r="J85" i="3"/>
  <c r="J86" i="3"/>
  <c r="J87" i="3"/>
  <c r="J76" i="3"/>
  <c r="J77" i="3"/>
  <c r="J78" i="3"/>
  <c r="J79" i="3"/>
  <c r="J67" i="3"/>
  <c r="J68" i="3"/>
  <c r="J69" i="3"/>
  <c r="J70" i="3"/>
  <c r="J71" i="3"/>
  <c r="J56" i="3"/>
  <c r="J57" i="3"/>
  <c r="J58" i="3"/>
  <c r="J59" i="3"/>
  <c r="J60" i="3"/>
  <c r="J61" i="3"/>
  <c r="J46" i="3"/>
  <c r="J47" i="3"/>
  <c r="J48" i="3"/>
  <c r="J49" i="3"/>
  <c r="J50" i="3"/>
  <c r="J51" i="3"/>
  <c r="J40" i="3"/>
  <c r="J36" i="3"/>
  <c r="J37" i="3"/>
  <c r="J38" i="3"/>
  <c r="J39" i="3"/>
  <c r="J35" i="3"/>
  <c r="J22" i="3"/>
  <c r="J23" i="3"/>
  <c r="J24" i="3"/>
  <c r="J25" i="3"/>
  <c r="J26" i="3"/>
  <c r="J27" i="3"/>
  <c r="J28" i="3"/>
  <c r="J29" i="3"/>
  <c r="J30" i="3"/>
  <c r="J14" i="3"/>
  <c r="J15" i="3"/>
  <c r="J16" i="3"/>
  <c r="J17" i="3"/>
  <c r="J8" i="3"/>
  <c r="H29" i="1"/>
  <c r="I29" i="1" s="1"/>
  <c r="J170" i="3" s="1"/>
  <c r="H27" i="1"/>
  <c r="I27" i="1" s="1"/>
  <c r="H26" i="1"/>
  <c r="I26" i="1" s="1"/>
  <c r="J152" i="3" s="1"/>
  <c r="H24" i="1"/>
  <c r="I24" i="1" s="1"/>
  <c r="H23" i="1"/>
  <c r="I23" i="1" s="1"/>
  <c r="J131" i="3" s="1"/>
  <c r="H22" i="1"/>
  <c r="I22" i="1" s="1"/>
  <c r="J119" i="3" s="1"/>
  <c r="H21" i="1"/>
  <c r="I21" i="1" s="1"/>
  <c r="J108" i="3" s="1"/>
  <c r="H19" i="1"/>
  <c r="I19" i="1" s="1"/>
  <c r="H18" i="1"/>
  <c r="I18" i="1" s="1"/>
  <c r="J88" i="3" s="1"/>
  <c r="H17" i="1"/>
  <c r="I17" i="1" s="1"/>
  <c r="J80" i="3" s="1"/>
  <c r="H16" i="1"/>
  <c r="I16" i="1" s="1"/>
  <c r="J72" i="3" s="1"/>
  <c r="H14" i="1"/>
  <c r="I14" i="1" s="1"/>
  <c r="J62" i="3" s="1"/>
  <c r="H13" i="1"/>
  <c r="I13" i="1" s="1"/>
  <c r="J52" i="3" s="1"/>
  <c r="H11" i="1"/>
  <c r="I11" i="1" s="1"/>
  <c r="H6" i="1"/>
  <c r="I6" i="1" s="1"/>
  <c r="I5" i="1" s="1"/>
  <c r="J18" i="3" l="1"/>
  <c r="J9" i="3"/>
  <c r="J4" i="3" s="1"/>
  <c r="J43" i="3"/>
  <c r="J144" i="3"/>
  <c r="J164" i="3"/>
  <c r="J98" i="3"/>
  <c r="J64" i="3"/>
  <c r="J372" i="12" l="1"/>
  <c r="K370" i="12"/>
  <c r="C370" i="12"/>
  <c r="C369" i="12"/>
  <c r="K360" i="12"/>
  <c r="J360" i="12"/>
  <c r="J355" i="12"/>
  <c r="J350" i="12"/>
  <c r="K363" i="12"/>
  <c r="K358" i="12"/>
  <c r="K353" i="12"/>
  <c r="K348" i="12"/>
  <c r="C363" i="12"/>
  <c r="C358" i="12"/>
  <c r="C353" i="12"/>
  <c r="C348" i="12"/>
  <c r="C347" i="12"/>
  <c r="K342" i="12"/>
  <c r="K337" i="12"/>
  <c r="K332" i="12"/>
  <c r="K327" i="12"/>
  <c r="K322" i="12"/>
  <c r="K317" i="12"/>
  <c r="C342" i="12"/>
  <c r="C337" i="12"/>
  <c r="C332" i="12"/>
  <c r="C327" i="12"/>
  <c r="C322" i="12"/>
  <c r="C317" i="12"/>
  <c r="C316" i="12"/>
  <c r="J298" i="12"/>
  <c r="K311" i="12"/>
  <c r="K306" i="12"/>
  <c r="K301" i="12"/>
  <c r="K296" i="12"/>
  <c r="K291" i="12"/>
  <c r="K286" i="12"/>
  <c r="C311" i="12"/>
  <c r="C306" i="12"/>
  <c r="C301" i="12"/>
  <c r="C296" i="12"/>
  <c r="C291" i="12"/>
  <c r="C286" i="12"/>
  <c r="C285" i="12"/>
  <c r="K282" i="12"/>
  <c r="K277" i="12"/>
  <c r="K272" i="12"/>
  <c r="K267" i="12"/>
  <c r="K262" i="12"/>
  <c r="K257" i="12"/>
  <c r="K252" i="12"/>
  <c r="K247" i="12"/>
  <c r="K242" i="12"/>
  <c r="K237" i="12"/>
  <c r="C234" i="12"/>
  <c r="K280" i="12"/>
  <c r="K275" i="12"/>
  <c r="K270" i="12"/>
  <c r="K265" i="12"/>
  <c r="K260" i="12"/>
  <c r="K255" i="12"/>
  <c r="K250" i="12"/>
  <c r="K245" i="12"/>
  <c r="K240" i="12"/>
  <c r="K235" i="12"/>
  <c r="C125" i="12"/>
  <c r="C145" i="12"/>
  <c r="C193" i="12"/>
  <c r="C280" i="12"/>
  <c r="C275" i="12"/>
  <c r="C270" i="12"/>
  <c r="C265" i="12"/>
  <c r="C260" i="12"/>
  <c r="C255" i="12"/>
  <c r="C250" i="12"/>
  <c r="C245" i="12"/>
  <c r="C240" i="12"/>
  <c r="C235" i="12"/>
  <c r="K229" i="12"/>
  <c r="K224" i="12"/>
  <c r="K219" i="12"/>
  <c r="K214" i="12"/>
  <c r="K209" i="12"/>
  <c r="K204" i="12"/>
  <c r="K199" i="12"/>
  <c r="K194" i="12"/>
  <c r="C229" i="12"/>
  <c r="C224" i="12"/>
  <c r="C219" i="12"/>
  <c r="C214" i="12"/>
  <c r="C209" i="12"/>
  <c r="C204" i="12"/>
  <c r="C199" i="12"/>
  <c r="C194" i="12"/>
  <c r="J185" i="12"/>
  <c r="J180" i="12"/>
  <c r="C188" i="12"/>
  <c r="C183" i="12"/>
  <c r="C178" i="12"/>
  <c r="C173" i="12"/>
  <c r="C167" i="12"/>
  <c r="C161" i="12"/>
  <c r="K142" i="12"/>
  <c r="J142" i="12"/>
  <c r="J148" i="12"/>
  <c r="K148" i="12" s="1"/>
  <c r="K149" i="12" s="1"/>
  <c r="K143" i="12"/>
  <c r="K101" i="12"/>
  <c r="K10" i="12"/>
  <c r="H633" i="11"/>
  <c r="H634" i="11"/>
  <c r="H85" i="10"/>
  <c r="I85" i="10" s="1"/>
  <c r="J630" i="11" s="1"/>
  <c r="J624" i="11" s="1"/>
  <c r="H83" i="10"/>
  <c r="I83" i="10" s="1"/>
  <c r="J622" i="11" s="1"/>
  <c r="H82" i="10"/>
  <c r="I82" i="10" s="1"/>
  <c r="J611" i="11" s="1"/>
  <c r="H81" i="10"/>
  <c r="I81" i="10" s="1"/>
  <c r="J600" i="11" s="1"/>
  <c r="H80" i="10"/>
  <c r="I80" i="10" s="1"/>
  <c r="J590" i="11" s="1"/>
  <c r="H78" i="10"/>
  <c r="I78" i="10" s="1"/>
  <c r="J577" i="11" s="1"/>
  <c r="H77" i="10"/>
  <c r="I77" i="10" s="1"/>
  <c r="J567" i="11" s="1"/>
  <c r="H76" i="10"/>
  <c r="I76" i="10" s="1"/>
  <c r="J560" i="11" s="1"/>
  <c r="H75" i="10"/>
  <c r="I75" i="10" s="1"/>
  <c r="J552" i="11" s="1"/>
  <c r="H74" i="10"/>
  <c r="I74" i="10" s="1"/>
  <c r="J544" i="11" s="1"/>
  <c r="H73" i="10"/>
  <c r="I73" i="10" s="1"/>
  <c r="J536" i="11" s="1"/>
  <c r="H71" i="10"/>
  <c r="I71" i="10" s="1"/>
  <c r="J527" i="11" s="1"/>
  <c r="H70" i="10"/>
  <c r="I70" i="10" s="1"/>
  <c r="J517" i="11" s="1"/>
  <c r="H69" i="10"/>
  <c r="I69" i="10" s="1"/>
  <c r="J507" i="11" s="1"/>
  <c r="H68" i="10"/>
  <c r="I68" i="10" s="1"/>
  <c r="J497" i="11" s="1"/>
  <c r="H67" i="10"/>
  <c r="I67" i="10" s="1"/>
  <c r="J488" i="11" s="1"/>
  <c r="H66" i="10"/>
  <c r="I66" i="10" s="1"/>
  <c r="J479" i="11" s="1"/>
  <c r="H64" i="10"/>
  <c r="I64" i="10" s="1"/>
  <c r="J464" i="11" s="1"/>
  <c r="H63" i="10"/>
  <c r="I63" i="10" s="1"/>
  <c r="J455" i="11" s="1"/>
  <c r="H62" i="10"/>
  <c r="I62" i="10" s="1"/>
  <c r="J445" i="11" s="1"/>
  <c r="H61" i="10"/>
  <c r="I61" i="10" s="1"/>
  <c r="J436" i="11" s="1"/>
  <c r="H60" i="10"/>
  <c r="I60" i="10" s="1"/>
  <c r="J427" i="11" s="1"/>
  <c r="H59" i="10"/>
  <c r="I59" i="10" s="1"/>
  <c r="J419" i="11" s="1"/>
  <c r="H58" i="10"/>
  <c r="J411" i="11" s="1"/>
  <c r="H57" i="10"/>
  <c r="I57" i="10" s="1"/>
  <c r="J401" i="11" s="1"/>
  <c r="H56" i="10"/>
  <c r="I56" i="10" s="1"/>
  <c r="J393" i="11" s="1"/>
  <c r="H55" i="10"/>
  <c r="I55" i="10" s="1"/>
  <c r="J387" i="11" s="1"/>
  <c r="H53" i="10"/>
  <c r="I53" i="10" s="1"/>
  <c r="J380" i="11" s="1"/>
  <c r="H52" i="10"/>
  <c r="I52" i="10" s="1"/>
  <c r="J372" i="11" s="1"/>
  <c r="H51" i="10"/>
  <c r="H50" i="10"/>
  <c r="I50" i="10" s="1"/>
  <c r="J351" i="11" s="1"/>
  <c r="H49" i="10"/>
  <c r="I49" i="10" s="1"/>
  <c r="J341" i="11" s="1"/>
  <c r="H48" i="10"/>
  <c r="H47" i="10"/>
  <c r="I47" i="10" s="1"/>
  <c r="J320" i="11" s="1"/>
  <c r="H46" i="10"/>
  <c r="I46" i="10" s="1"/>
  <c r="J310" i="11" s="1"/>
  <c r="H36" i="10"/>
  <c r="I36" i="10" s="1"/>
  <c r="J241" i="11" s="1"/>
  <c r="H37" i="10"/>
  <c r="I37" i="10" s="1"/>
  <c r="J249" i="11" s="1"/>
  <c r="H38" i="10"/>
  <c r="I38" i="10" s="1"/>
  <c r="J257" i="11" s="1"/>
  <c r="H40" i="10"/>
  <c r="I40" i="10" s="1"/>
  <c r="J271" i="11" s="1"/>
  <c r="H41" i="10"/>
  <c r="I41" i="10" s="1"/>
  <c r="J278" i="11" s="1"/>
  <c r="H42" i="10"/>
  <c r="I42" i="10" s="1"/>
  <c r="J285" i="11" s="1"/>
  <c r="H43" i="10"/>
  <c r="I43" i="10" s="1"/>
  <c r="J292" i="11" s="1"/>
  <c r="H44" i="10"/>
  <c r="I44" i="10" s="1"/>
  <c r="J299" i="11" s="1"/>
  <c r="H39" i="10"/>
  <c r="I39" i="10" s="1"/>
  <c r="J264" i="11" s="1"/>
  <c r="H34" i="10"/>
  <c r="I34" i="10" s="1"/>
  <c r="J234" i="11" s="1"/>
  <c r="H33" i="10"/>
  <c r="I33" i="10" s="1"/>
  <c r="J221" i="11" s="1"/>
  <c r="H32" i="10"/>
  <c r="I32" i="10" s="1"/>
  <c r="J212" i="11" s="1"/>
  <c r="H30" i="10"/>
  <c r="I30" i="10" s="1"/>
  <c r="J203" i="11" s="1"/>
  <c r="H29" i="10"/>
  <c r="I29" i="10" s="1"/>
  <c r="J194" i="11" s="1"/>
  <c r="H28" i="10"/>
  <c r="I28" i="10" s="1"/>
  <c r="J187" i="11" s="1"/>
  <c r="H26" i="10"/>
  <c r="I26" i="10" s="1"/>
  <c r="J179" i="11" s="1"/>
  <c r="H25" i="10"/>
  <c r="I25" i="10" s="1"/>
  <c r="J169" i="11" s="1"/>
  <c r="H23" i="10"/>
  <c r="I23" i="10" s="1"/>
  <c r="J160" i="11" s="1"/>
  <c r="H22" i="10"/>
  <c r="I22" i="10" s="1"/>
  <c r="J150" i="11" s="1"/>
  <c r="H21" i="10"/>
  <c r="I21" i="10" s="1"/>
  <c r="J140" i="11" s="1"/>
  <c r="H20" i="10"/>
  <c r="I20" i="10" s="1"/>
  <c r="J131" i="11" s="1"/>
  <c r="H19" i="10"/>
  <c r="I19" i="10" s="1"/>
  <c r="J117" i="11" s="1"/>
  <c r="H17" i="10"/>
  <c r="I17" i="10" s="1"/>
  <c r="J104" i="11" s="1"/>
  <c r="H16" i="10"/>
  <c r="I16" i="10" s="1"/>
  <c r="J95" i="11" s="1"/>
  <c r="H15" i="10"/>
  <c r="I15" i="10" s="1"/>
  <c r="J81" i="11" s="1"/>
  <c r="H14" i="10"/>
  <c r="I14" i="10" s="1"/>
  <c r="J72" i="11" s="1"/>
  <c r="H13" i="10"/>
  <c r="I13" i="10" s="1"/>
  <c r="J65" i="11" s="1"/>
  <c r="H12" i="10"/>
  <c r="I12" i="10" s="1"/>
  <c r="J51" i="11" s="1"/>
  <c r="H11" i="10"/>
  <c r="I11" i="10" s="1"/>
  <c r="J42" i="11" s="1"/>
  <c r="H9" i="10"/>
  <c r="I9" i="10" s="1"/>
  <c r="J35" i="11" s="1"/>
  <c r="H8" i="10"/>
  <c r="I8" i="10" s="1"/>
  <c r="J25" i="11" s="1"/>
  <c r="H6" i="10"/>
  <c r="I6" i="10" s="1"/>
  <c r="J13" i="11" s="1"/>
  <c r="H7" i="10"/>
  <c r="I7" i="10" s="1"/>
  <c r="J18" i="11" s="1"/>
  <c r="H64" i="7"/>
  <c r="I64" i="7" s="1"/>
  <c r="J432" i="8" s="1"/>
  <c r="J426" i="8" s="1"/>
  <c r="H62" i="7"/>
  <c r="I62" i="7" s="1"/>
  <c r="J424" i="8" s="1"/>
  <c r="H61" i="7"/>
  <c r="I61" i="7" s="1"/>
  <c r="J416" i="8" s="1"/>
  <c r="H60" i="7"/>
  <c r="I60" i="7" s="1"/>
  <c r="J405" i="8" s="1"/>
  <c r="H59" i="7"/>
  <c r="I59" i="7" s="1"/>
  <c r="J395" i="8" s="1"/>
  <c r="H58" i="7"/>
  <c r="I58" i="7" s="1"/>
  <c r="J383" i="8" s="1"/>
  <c r="H56" i="7"/>
  <c r="I56" i="7" s="1"/>
  <c r="J375" i="8" s="1"/>
  <c r="H55" i="7"/>
  <c r="I55" i="7" s="1"/>
  <c r="J365" i="8" s="1"/>
  <c r="H54" i="7"/>
  <c r="I54" i="7" s="1"/>
  <c r="J358" i="8" s="1"/>
  <c r="H53" i="7"/>
  <c r="I53" i="7" s="1"/>
  <c r="J350" i="8" s="1"/>
  <c r="H51" i="7"/>
  <c r="I51" i="7" s="1"/>
  <c r="J341" i="8" s="1"/>
  <c r="H50" i="7"/>
  <c r="I50" i="7" s="1"/>
  <c r="J331" i="8" s="1"/>
  <c r="H49" i="7"/>
  <c r="I49" i="7" s="1"/>
  <c r="J321" i="8" s="1"/>
  <c r="H48" i="7"/>
  <c r="I48" i="7" s="1"/>
  <c r="J311" i="8" s="1"/>
  <c r="H47" i="7"/>
  <c r="I47" i="7" s="1"/>
  <c r="J302" i="8" s="1"/>
  <c r="H46" i="7"/>
  <c r="I46" i="7" s="1"/>
  <c r="J294" i="8" s="1"/>
  <c r="H45" i="7"/>
  <c r="I45" i="7" s="1"/>
  <c r="J287" i="8" s="1"/>
  <c r="H44" i="7"/>
  <c r="I44" i="7" s="1"/>
  <c r="J278" i="8" s="1"/>
  <c r="H42" i="7"/>
  <c r="I42" i="7" s="1"/>
  <c r="J263" i="8" s="1"/>
  <c r="H41" i="7"/>
  <c r="I41" i="7" s="1"/>
  <c r="J253" i="8" s="1"/>
  <c r="H40" i="7"/>
  <c r="I40" i="7" s="1"/>
  <c r="J245" i="8" s="1"/>
  <c r="H39" i="7"/>
  <c r="I39" i="7" s="1"/>
  <c r="J237" i="8" s="1"/>
  <c r="H38" i="7"/>
  <c r="I38" i="7" s="1"/>
  <c r="J231" i="8" s="1"/>
  <c r="H37" i="7"/>
  <c r="I37" i="7" s="1"/>
  <c r="J223" i="8" s="1"/>
  <c r="H36" i="7"/>
  <c r="I36" i="7" s="1"/>
  <c r="J214" i="8" s="1"/>
  <c r="H34" i="7"/>
  <c r="I34" i="7" s="1"/>
  <c r="J203" i="8" s="1"/>
  <c r="H33" i="7"/>
  <c r="I33" i="7" s="1"/>
  <c r="J195" i="8" s="1"/>
  <c r="H32" i="7"/>
  <c r="I32" i="7" s="1"/>
  <c r="J185" i="8" s="1"/>
  <c r="H31" i="7"/>
  <c r="H30" i="7"/>
  <c r="I30" i="7" s="1"/>
  <c r="J164" i="8" s="1"/>
  <c r="H29" i="7"/>
  <c r="I29" i="7" s="1"/>
  <c r="J154" i="8" s="1"/>
  <c r="H27" i="7"/>
  <c r="I27" i="7" s="1"/>
  <c r="J143" i="8" s="1"/>
  <c r="H26" i="7"/>
  <c r="I26" i="7" s="1"/>
  <c r="J136" i="8" s="1"/>
  <c r="H25" i="7"/>
  <c r="I25" i="7" s="1"/>
  <c r="J129" i="8" s="1"/>
  <c r="H24" i="7"/>
  <c r="I24" i="7" s="1"/>
  <c r="J122" i="8" s="1"/>
  <c r="H23" i="7"/>
  <c r="I23" i="7" s="1"/>
  <c r="J115" i="8" s="1"/>
  <c r="H22" i="7"/>
  <c r="I22" i="7" s="1"/>
  <c r="J107" i="8" s="1"/>
  <c r="H20" i="7"/>
  <c r="I20" i="7" s="1"/>
  <c r="J100" i="8" s="1"/>
  <c r="H19" i="7"/>
  <c r="I19" i="7" s="1"/>
  <c r="J91" i="8" s="1"/>
  <c r="H18" i="7"/>
  <c r="I18" i="7" s="1"/>
  <c r="J83" i="8" s="1"/>
  <c r="H17" i="7"/>
  <c r="I17" i="7" s="1"/>
  <c r="J74" i="8" s="1"/>
  <c r="H15" i="7"/>
  <c r="I15" i="7" s="1"/>
  <c r="J65" i="8" s="1"/>
  <c r="H14" i="7"/>
  <c r="I14" i="7" s="1"/>
  <c r="J58" i="8" s="1"/>
  <c r="H12" i="7"/>
  <c r="I12" i="7" s="1"/>
  <c r="J50" i="8" s="1"/>
  <c r="H11" i="7"/>
  <c r="I11" i="7" s="1"/>
  <c r="J40" i="8" s="1"/>
  <c r="H9" i="7"/>
  <c r="I9" i="7" s="1"/>
  <c r="J31" i="8" s="1"/>
  <c r="H8" i="7"/>
  <c r="I8" i="7" s="1"/>
  <c r="J21" i="8" s="1"/>
  <c r="H7" i="7"/>
  <c r="I7" i="7" s="1"/>
  <c r="J14" i="8" s="1"/>
  <c r="H6" i="7"/>
  <c r="I6" i="7" s="1"/>
  <c r="J9" i="8" s="1"/>
  <c r="H43" i="4"/>
  <c r="I43" i="4" s="1"/>
  <c r="J294" i="5" s="1"/>
  <c r="H42" i="4"/>
  <c r="I42" i="4" s="1"/>
  <c r="J287" i="5" s="1"/>
  <c r="H40" i="4"/>
  <c r="I40" i="4" s="1"/>
  <c r="J274" i="5" s="1"/>
  <c r="H39" i="4"/>
  <c r="I39" i="4" s="1"/>
  <c r="J264" i="5" s="1"/>
  <c r="H38" i="4"/>
  <c r="I38" i="4" s="1"/>
  <c r="J255" i="5" s="1"/>
  <c r="H37" i="4"/>
  <c r="I37" i="4" s="1"/>
  <c r="J247" i="5" s="1"/>
  <c r="H36" i="4"/>
  <c r="I36" i="4" s="1"/>
  <c r="J240" i="5" s="1"/>
  <c r="H35" i="4"/>
  <c r="I35" i="4" s="1"/>
  <c r="J231" i="5" s="1"/>
  <c r="H33" i="4"/>
  <c r="I33" i="4" s="1"/>
  <c r="J216" i="5" s="1"/>
  <c r="H32" i="4"/>
  <c r="I32" i="4" s="1"/>
  <c r="J208" i="5" s="1"/>
  <c r="H31" i="4"/>
  <c r="I31" i="4" s="1"/>
  <c r="J198" i="5" s="1"/>
  <c r="H30" i="4"/>
  <c r="I30" i="4" s="1"/>
  <c r="J188" i="5" s="1"/>
  <c r="H28" i="4"/>
  <c r="I28" i="4" s="1"/>
  <c r="J177" i="5" s="1"/>
  <c r="H27" i="4"/>
  <c r="I27" i="4" s="1"/>
  <c r="J170" i="5" s="1"/>
  <c r="H26" i="4"/>
  <c r="I26" i="4" s="1"/>
  <c r="J163" i="5" s="1"/>
  <c r="H25" i="4"/>
  <c r="I25" i="4" s="1"/>
  <c r="J155" i="5" s="1"/>
  <c r="H23" i="4"/>
  <c r="I23" i="4" s="1"/>
  <c r="J147" i="5" s="1"/>
  <c r="H22" i="4"/>
  <c r="I22" i="4" s="1"/>
  <c r="J139" i="5" s="1"/>
  <c r="H21" i="4"/>
  <c r="I21" i="4" s="1"/>
  <c r="J126" i="5" s="1"/>
  <c r="H19" i="4"/>
  <c r="I19" i="4" s="1"/>
  <c r="J117" i="5" s="1"/>
  <c r="H18" i="4"/>
  <c r="I18" i="4" s="1"/>
  <c r="J103" i="5" s="1"/>
  <c r="H17" i="4"/>
  <c r="I17" i="4" s="1"/>
  <c r="J93" i="5" s="1"/>
  <c r="H16" i="4"/>
  <c r="I16" i="4" s="1"/>
  <c r="J84" i="5" s="1"/>
  <c r="H14" i="4"/>
  <c r="I14" i="4" s="1"/>
  <c r="J74" i="5" s="1"/>
  <c r="H13" i="4"/>
  <c r="I13" i="4" s="1"/>
  <c r="J65" i="5" s="1"/>
  <c r="H12" i="4"/>
  <c r="I12" i="4" s="1"/>
  <c r="J56" i="5" s="1"/>
  <c r="H11" i="4"/>
  <c r="I11" i="4" s="1"/>
  <c r="J47" i="5" s="1"/>
  <c r="H10" i="4"/>
  <c r="I10" i="4" s="1"/>
  <c r="J31" i="5" s="1"/>
  <c r="H8" i="4"/>
  <c r="I8" i="4" s="1"/>
  <c r="J21" i="5" s="1"/>
  <c r="H7" i="4"/>
  <c r="I7" i="4" s="1"/>
  <c r="J14" i="5" s="1"/>
  <c r="H6" i="4"/>
  <c r="I6" i="4" s="1"/>
  <c r="J9" i="5" s="1"/>
  <c r="K101" i="2"/>
  <c r="K90" i="2"/>
  <c r="K18" i="2"/>
  <c r="K12" i="2"/>
  <c r="H173" i="3"/>
  <c r="H174" i="3"/>
  <c r="I28" i="1"/>
  <c r="I10" i="1"/>
  <c r="I84" i="10" l="1"/>
  <c r="J579" i="11"/>
  <c r="J529" i="11"/>
  <c r="J466" i="11"/>
  <c r="J236" i="11"/>
  <c r="J205" i="11"/>
  <c r="J181" i="11"/>
  <c r="J162" i="11"/>
  <c r="J106" i="11"/>
  <c r="J37" i="11"/>
  <c r="J4" i="11"/>
  <c r="J343" i="8"/>
  <c r="J265" i="8"/>
  <c r="J205" i="8"/>
  <c r="J102" i="8"/>
  <c r="J67" i="8"/>
  <c r="J52" i="8"/>
  <c r="J33" i="8"/>
  <c r="J4" i="8"/>
  <c r="J276" i="5"/>
  <c r="J218" i="5"/>
  <c r="J149" i="5"/>
  <c r="J119" i="5"/>
  <c r="J76" i="5"/>
  <c r="J23" i="5"/>
  <c r="J4" i="5"/>
  <c r="I63" i="7"/>
  <c r="J377" i="8"/>
  <c r="J145" i="8"/>
  <c r="I10" i="7"/>
  <c r="I41" i="4"/>
  <c r="J179" i="5"/>
  <c r="J382" i="11"/>
  <c r="J301" i="11"/>
  <c r="I24" i="10"/>
  <c r="I72" i="10"/>
  <c r="I65" i="10"/>
  <c r="I31" i="10"/>
  <c r="I5" i="10"/>
  <c r="I57" i="7"/>
  <c r="I43" i="7"/>
  <c r="I28" i="7"/>
  <c r="I24" i="4"/>
  <c r="I15" i="4"/>
  <c r="I25" i="1"/>
  <c r="I20" i="1"/>
  <c r="I15" i="1"/>
  <c r="I79" i="10"/>
  <c r="I54" i="10"/>
  <c r="I45" i="10"/>
  <c r="I35" i="10"/>
  <c r="I27" i="10"/>
  <c r="I18" i="10"/>
  <c r="I10" i="10"/>
  <c r="I52" i="7"/>
  <c r="I35" i="7"/>
  <c r="I21" i="7"/>
  <c r="I16" i="7"/>
  <c r="I13" i="7"/>
  <c r="I5" i="7"/>
  <c r="I34" i="4"/>
  <c r="I29" i="4"/>
  <c r="I20" i="4"/>
  <c r="I9" i="4"/>
  <c r="I5" i="4"/>
  <c r="I12" i="1"/>
  <c r="H635" i="11" l="1"/>
  <c r="H437" i="8"/>
  <c r="H299" i="5"/>
  <c r="H47" i="4"/>
  <c r="C10" i="15" s="1"/>
  <c r="E11" i="15" s="1"/>
  <c r="H89" i="10"/>
  <c r="J5" i="10" s="1"/>
  <c r="H68" i="7"/>
  <c r="C12" i="15" s="1"/>
  <c r="G13" i="15" s="1"/>
  <c r="F11" i="15" l="1"/>
  <c r="G11" i="15"/>
  <c r="J78" i="10"/>
  <c r="J70" i="10"/>
  <c r="J62" i="10"/>
  <c r="J54" i="10"/>
  <c r="J47" i="10"/>
  <c r="J42" i="10"/>
  <c r="J32" i="10"/>
  <c r="J14" i="10"/>
  <c r="J6" i="10"/>
  <c r="J77" i="10"/>
  <c r="J69" i="10"/>
  <c r="J53" i="10"/>
  <c r="J46" i="10"/>
  <c r="J31" i="10"/>
  <c r="J13" i="10"/>
  <c r="J76" i="10"/>
  <c r="J52" i="10"/>
  <c r="J12" i="10"/>
  <c r="J51" i="10"/>
  <c r="J83" i="10"/>
  <c r="J75" i="10"/>
  <c r="J67" i="10"/>
  <c r="J28" i="10"/>
  <c r="J19" i="10"/>
  <c r="J11" i="10"/>
  <c r="J82" i="10"/>
  <c r="J74" i="10"/>
  <c r="J66" i="10"/>
  <c r="J58" i="10"/>
  <c r="J41" i="10"/>
  <c r="J50" i="10"/>
  <c r="J37" i="10"/>
  <c r="J27" i="10"/>
  <c r="J18" i="10"/>
  <c r="J10" i="10"/>
  <c r="J80" i="10"/>
  <c r="J64" i="10"/>
  <c r="J56" i="10"/>
  <c r="J30" i="10"/>
  <c r="J45" i="10"/>
  <c r="J35" i="10"/>
  <c r="J24" i="10"/>
  <c r="J16" i="10"/>
  <c r="J68" i="10"/>
  <c r="J39" i="10"/>
  <c r="J59" i="10"/>
  <c r="J81" i="10"/>
  <c r="J73" i="10"/>
  <c r="J65" i="10"/>
  <c r="J57" i="10"/>
  <c r="J33" i="10"/>
  <c r="J49" i="10"/>
  <c r="J36" i="10"/>
  <c r="J25" i="10"/>
  <c r="J17" i="10"/>
  <c r="J9" i="10"/>
  <c r="J72" i="10"/>
  <c r="J8" i="10"/>
  <c r="J84" i="10"/>
  <c r="J29" i="10"/>
  <c r="J44" i="10"/>
  <c r="J79" i="10"/>
  <c r="J71" i="10"/>
  <c r="J63" i="10"/>
  <c r="J55" i="10"/>
  <c r="J26" i="10"/>
  <c r="J43" i="10"/>
  <c r="J34" i="10"/>
  <c r="J23" i="10"/>
  <c r="J15" i="10"/>
  <c r="J7" i="10"/>
  <c r="J22" i="10"/>
  <c r="J85" i="10"/>
  <c r="J61" i="10"/>
  <c r="J40" i="10"/>
  <c r="J21" i="10"/>
  <c r="J60" i="10"/>
  <c r="J48" i="10"/>
  <c r="J20" i="10"/>
  <c r="J38" i="10"/>
  <c r="C14" i="15"/>
  <c r="J15" i="15" s="1"/>
  <c r="J19" i="15" s="1"/>
  <c r="J64" i="7"/>
  <c r="J40" i="7"/>
  <c r="J32" i="7"/>
  <c r="J63" i="7"/>
  <c r="J55" i="7"/>
  <c r="J47" i="7"/>
  <c r="J39" i="7"/>
  <c r="J31" i="7"/>
  <c r="J23" i="7"/>
  <c r="J15" i="7"/>
  <c r="J7" i="7"/>
  <c r="J62" i="7"/>
  <c r="J54" i="7"/>
  <c r="J46" i="7"/>
  <c r="J38" i="7"/>
  <c r="J30" i="7"/>
  <c r="J22" i="7"/>
  <c r="J14" i="7"/>
  <c r="J51" i="7"/>
  <c r="J43" i="7"/>
  <c r="J27" i="7"/>
  <c r="J50" i="7"/>
  <c r="J42" i="7"/>
  <c r="J26" i="7"/>
  <c r="J49" i="7"/>
  <c r="J41" i="7"/>
  <c r="J17" i="7"/>
  <c r="J56" i="7"/>
  <c r="J16" i="7"/>
  <c r="J24" i="7"/>
  <c r="J61" i="7"/>
  <c r="J53" i="7"/>
  <c r="J45" i="7"/>
  <c r="J37" i="7"/>
  <c r="J29" i="7"/>
  <c r="J21" i="7"/>
  <c r="J13" i="7"/>
  <c r="J60" i="7"/>
  <c r="J52" i="7"/>
  <c r="J44" i="7"/>
  <c r="J36" i="7"/>
  <c r="J28" i="7"/>
  <c r="J20" i="7"/>
  <c r="J12" i="7"/>
  <c r="J59" i="7"/>
  <c r="J35" i="7"/>
  <c r="J19" i="7"/>
  <c r="J11" i="7"/>
  <c r="J58" i="7"/>
  <c r="J34" i="7"/>
  <c r="J18" i="7"/>
  <c r="J10" i="7"/>
  <c r="J57" i="7"/>
  <c r="J33" i="7"/>
  <c r="J25" i="7"/>
  <c r="J9" i="7"/>
  <c r="J48" i="7"/>
  <c r="J8" i="7"/>
  <c r="J6" i="7"/>
  <c r="J5" i="7"/>
  <c r="J36" i="4"/>
  <c r="J28" i="4"/>
  <c r="J20" i="4"/>
  <c r="J12" i="4"/>
  <c r="J41" i="4"/>
  <c r="J24" i="4"/>
  <c r="J39" i="4"/>
  <c r="J22" i="4"/>
  <c r="J21" i="4"/>
  <c r="J43" i="4"/>
  <c r="J35" i="4"/>
  <c r="J27" i="4"/>
  <c r="J19" i="4"/>
  <c r="J11" i="4"/>
  <c r="J10" i="4"/>
  <c r="J33" i="4"/>
  <c r="J9" i="4"/>
  <c r="J40" i="4"/>
  <c r="J16" i="4"/>
  <c r="J31" i="4"/>
  <c r="J15" i="4"/>
  <c r="J38" i="4"/>
  <c r="J6" i="4"/>
  <c r="J29" i="4"/>
  <c r="J13" i="4"/>
  <c r="J42" i="4"/>
  <c r="J34" i="4"/>
  <c r="J26" i="4"/>
  <c r="J18" i="4"/>
  <c r="J25" i="4"/>
  <c r="J17" i="4"/>
  <c r="J32" i="4"/>
  <c r="J8" i="4"/>
  <c r="J23" i="4"/>
  <c r="J7" i="4"/>
  <c r="J30" i="4"/>
  <c r="J14" i="4"/>
  <c r="J37" i="4"/>
  <c r="J5" i="4"/>
  <c r="E45" i="14"/>
  <c r="D45" i="14"/>
  <c r="E39" i="14"/>
  <c r="D39" i="14"/>
  <c r="E30" i="14"/>
  <c r="D30" i="14"/>
  <c r="E15" i="14"/>
  <c r="E47" i="14" s="1"/>
  <c r="D15" i="14"/>
  <c r="D47" i="14" s="1"/>
  <c r="L43" i="13"/>
  <c r="L45" i="13" s="1"/>
  <c r="L47" i="13" s="1"/>
  <c r="L17" i="13"/>
  <c r="D6" i="13"/>
  <c r="K372" i="12"/>
  <c r="K373" i="12" s="1"/>
  <c r="L370" i="12" s="1"/>
  <c r="K366" i="12"/>
  <c r="K365" i="12"/>
  <c r="K361" i="12"/>
  <c r="L358" i="12" s="1"/>
  <c r="K355" i="12"/>
  <c r="K356" i="12" s="1"/>
  <c r="L353" i="12" s="1"/>
  <c r="K350" i="12"/>
  <c r="K351" i="12" s="1"/>
  <c r="L348" i="12" s="1"/>
  <c r="K344" i="12"/>
  <c r="K345" i="12" s="1"/>
  <c r="L342" i="12" s="1"/>
  <c r="K339" i="12"/>
  <c r="K340" i="12" s="1"/>
  <c r="L337" i="12" s="1"/>
  <c r="K334" i="12"/>
  <c r="K335" i="12" s="1"/>
  <c r="L332" i="12" s="1"/>
  <c r="K329" i="12"/>
  <c r="K330" i="12" s="1"/>
  <c r="L327" i="12" s="1"/>
  <c r="K324" i="12"/>
  <c r="K325" i="12" s="1"/>
  <c r="L322" i="12" s="1"/>
  <c r="K319" i="12"/>
  <c r="K320" i="12" s="1"/>
  <c r="L317" i="12" s="1"/>
  <c r="K313" i="12"/>
  <c r="K314" i="12" s="1"/>
  <c r="L311" i="12" s="1"/>
  <c r="K308" i="12"/>
  <c r="K309" i="12" s="1"/>
  <c r="L306" i="12" s="1"/>
  <c r="K303" i="12"/>
  <c r="K304" i="12" s="1"/>
  <c r="L301" i="12" s="1"/>
  <c r="K298" i="12"/>
  <c r="K299" i="12" s="1"/>
  <c r="L296" i="12" s="1"/>
  <c r="K293" i="12"/>
  <c r="K294" i="12" s="1"/>
  <c r="L291" i="12" s="1"/>
  <c r="K288" i="12"/>
  <c r="K289" i="12" s="1"/>
  <c r="L286" i="12" s="1"/>
  <c r="K283" i="12"/>
  <c r="L280" i="12" s="1"/>
  <c r="K278" i="12"/>
  <c r="L275" i="12" s="1"/>
  <c r="K273" i="12"/>
  <c r="L270" i="12" s="1"/>
  <c r="K268" i="12"/>
  <c r="L265" i="12" s="1"/>
  <c r="K263" i="12"/>
  <c r="L260" i="12" s="1"/>
  <c r="K258" i="12"/>
  <c r="L255" i="12" s="1"/>
  <c r="K253" i="12"/>
  <c r="L250" i="12" s="1"/>
  <c r="K248" i="12"/>
  <c r="L245" i="12" s="1"/>
  <c r="K243" i="12"/>
  <c r="L240" i="12" s="1"/>
  <c r="K238" i="12"/>
  <c r="L235" i="12" s="1"/>
  <c r="K231" i="12"/>
  <c r="K232" i="12" s="1"/>
  <c r="L229" i="12" s="1"/>
  <c r="K226" i="12"/>
  <c r="K227" i="12" s="1"/>
  <c r="L224" i="12" s="1"/>
  <c r="K221" i="12"/>
  <c r="K222" i="12" s="1"/>
  <c r="L219" i="12" s="1"/>
  <c r="K216" i="12"/>
  <c r="K217" i="12" s="1"/>
  <c r="L214" i="12" s="1"/>
  <c r="K211" i="12"/>
  <c r="K212" i="12" s="1"/>
  <c r="L209" i="12" s="1"/>
  <c r="K206" i="12"/>
  <c r="K207" i="12" s="1"/>
  <c r="L204" i="12" s="1"/>
  <c r="K201" i="12"/>
  <c r="K202" i="12" s="1"/>
  <c r="L199" i="12" s="1"/>
  <c r="K196" i="12"/>
  <c r="K197" i="12" s="1"/>
  <c r="L194" i="12" s="1"/>
  <c r="K190" i="12"/>
  <c r="K191" i="12" s="1"/>
  <c r="L188" i="12" s="1"/>
  <c r="K185" i="12"/>
  <c r="K186" i="12" s="1"/>
  <c r="L183" i="12" s="1"/>
  <c r="K180" i="12"/>
  <c r="K181" i="12" s="1"/>
  <c r="L178" i="12" s="1"/>
  <c r="K175" i="12"/>
  <c r="K176" i="12" s="1"/>
  <c r="L173" i="12" s="1"/>
  <c r="J164" i="12"/>
  <c r="K164" i="12" s="1"/>
  <c r="K153" i="12"/>
  <c r="L146" i="12"/>
  <c r="L140" i="12"/>
  <c r="K137" i="12"/>
  <c r="K136" i="12"/>
  <c r="K135" i="12"/>
  <c r="K130" i="12"/>
  <c r="K129" i="12"/>
  <c r="K128" i="12"/>
  <c r="K122" i="12"/>
  <c r="K123" i="12" s="1"/>
  <c r="L120" i="12" s="1"/>
  <c r="K120" i="12"/>
  <c r="C120" i="12"/>
  <c r="K115" i="12"/>
  <c r="C115" i="12"/>
  <c r="C109" i="12"/>
  <c r="J106" i="12"/>
  <c r="K106" i="12" s="1"/>
  <c r="K105" i="12"/>
  <c r="C96" i="12"/>
  <c r="K92" i="12"/>
  <c r="K93" i="12" s="1"/>
  <c r="L90" i="12" s="1"/>
  <c r="C90" i="12"/>
  <c r="K87" i="12"/>
  <c r="K88" i="12" s="1"/>
  <c r="L85" i="12" s="1"/>
  <c r="C85" i="12"/>
  <c r="K82" i="12"/>
  <c r="K81" i="12"/>
  <c r="C79" i="12"/>
  <c r="K76" i="12"/>
  <c r="K77" i="12" s="1"/>
  <c r="L74" i="12" s="1"/>
  <c r="C74" i="12"/>
  <c r="K71" i="12"/>
  <c r="K72" i="12" s="1"/>
  <c r="L69" i="12" s="1"/>
  <c r="C69" i="12"/>
  <c r="C68" i="12"/>
  <c r="K65" i="12"/>
  <c r="K66" i="12" s="1"/>
  <c r="L63" i="12" s="1"/>
  <c r="C63" i="12"/>
  <c r="K60" i="12"/>
  <c r="K61" i="12" s="1"/>
  <c r="L58" i="12" s="1"/>
  <c r="C58" i="12"/>
  <c r="K55" i="12"/>
  <c r="K56" i="12" s="1"/>
  <c r="L53" i="12" s="1"/>
  <c r="C53" i="12"/>
  <c r="K50" i="12"/>
  <c r="K51" i="12" s="1"/>
  <c r="L48" i="12" s="1"/>
  <c r="C48" i="12"/>
  <c r="K45" i="12"/>
  <c r="K46" i="12" s="1"/>
  <c r="L43" i="12" s="1"/>
  <c r="C43" i="12"/>
  <c r="K40" i="12"/>
  <c r="K39" i="12"/>
  <c r="C37" i="12"/>
  <c r="K34" i="12"/>
  <c r="K35" i="12" s="1"/>
  <c r="L32" i="12" s="1"/>
  <c r="C32" i="12"/>
  <c r="C31" i="12"/>
  <c r="K28" i="12"/>
  <c r="K27" i="12"/>
  <c r="K22" i="12"/>
  <c r="K21" i="12"/>
  <c r="K23" i="12" s="1"/>
  <c r="K16" i="12"/>
  <c r="K15" i="12"/>
  <c r="K11" i="12"/>
  <c r="L8" i="12" s="1"/>
  <c r="C7" i="12"/>
  <c r="D3" i="12"/>
  <c r="D2" i="12"/>
  <c r="J279" i="9"/>
  <c r="K279" i="9" s="1"/>
  <c r="K280" i="9" s="1"/>
  <c r="L277" i="9" s="1"/>
  <c r="K277" i="9"/>
  <c r="C277" i="9"/>
  <c r="C276" i="9"/>
  <c r="K273" i="9"/>
  <c r="K274" i="9" s="1"/>
  <c r="L271" i="9" s="1"/>
  <c r="K271" i="9"/>
  <c r="C271" i="9"/>
  <c r="K268" i="9"/>
  <c r="K269" i="9" s="1"/>
  <c r="L266" i="9" s="1"/>
  <c r="K266" i="9"/>
  <c r="C266" i="9"/>
  <c r="K263" i="9"/>
  <c r="K264" i="9" s="1"/>
  <c r="L261" i="9" s="1"/>
  <c r="K261" i="9"/>
  <c r="C261" i="9"/>
  <c r="J258" i="9"/>
  <c r="K258" i="9" s="1"/>
  <c r="K259" i="9" s="1"/>
  <c r="L256" i="9" s="1"/>
  <c r="K256" i="9"/>
  <c r="C256" i="9"/>
  <c r="J253" i="9"/>
  <c r="K253" i="9" s="1"/>
  <c r="K254" i="9" s="1"/>
  <c r="L251" i="9" s="1"/>
  <c r="K251" i="9"/>
  <c r="C251" i="9"/>
  <c r="C250" i="9"/>
  <c r="K247" i="9"/>
  <c r="K248" i="9" s="1"/>
  <c r="L245" i="9" s="1"/>
  <c r="K245" i="9"/>
  <c r="C245" i="9"/>
  <c r="K242" i="9"/>
  <c r="K243" i="9" s="1"/>
  <c r="L240" i="9" s="1"/>
  <c r="K240" i="9"/>
  <c r="C240" i="9"/>
  <c r="K237" i="9"/>
  <c r="K238" i="9" s="1"/>
  <c r="L235" i="9" s="1"/>
  <c r="K235" i="9"/>
  <c r="C235" i="9"/>
  <c r="K232" i="9"/>
  <c r="K233" i="9" s="1"/>
  <c r="L230" i="9" s="1"/>
  <c r="K230" i="9"/>
  <c r="C230" i="9"/>
  <c r="C229" i="9"/>
  <c r="K226" i="9"/>
  <c r="K227" i="9" s="1"/>
  <c r="L224" i="9" s="1"/>
  <c r="K224" i="9"/>
  <c r="C224" i="9"/>
  <c r="K221" i="9"/>
  <c r="K222" i="9" s="1"/>
  <c r="L219" i="9" s="1"/>
  <c r="K219" i="9"/>
  <c r="C219" i="9"/>
  <c r="K216" i="9"/>
  <c r="K217" i="9" s="1"/>
  <c r="L214" i="9" s="1"/>
  <c r="K214" i="9"/>
  <c r="C214" i="9"/>
  <c r="K211" i="9"/>
  <c r="K212" i="9" s="1"/>
  <c r="L209" i="9" s="1"/>
  <c r="K209" i="9"/>
  <c r="C209" i="9"/>
  <c r="K206" i="9"/>
  <c r="K207" i="9" s="1"/>
  <c r="L204" i="9" s="1"/>
  <c r="K204" i="9"/>
  <c r="C204" i="9"/>
  <c r="K201" i="9"/>
  <c r="K202" i="9" s="1"/>
  <c r="L199" i="9" s="1"/>
  <c r="K199" i="9"/>
  <c r="C199" i="9"/>
  <c r="K196" i="9"/>
  <c r="K195" i="9"/>
  <c r="K194" i="9"/>
  <c r="K192" i="9"/>
  <c r="C192" i="9"/>
  <c r="K189" i="9"/>
  <c r="K188" i="9"/>
  <c r="K187" i="9"/>
  <c r="K185" i="9"/>
  <c r="C185" i="9"/>
  <c r="C184" i="9"/>
  <c r="K182" i="9"/>
  <c r="L179" i="9" s="1"/>
  <c r="K181" i="9"/>
  <c r="K179" i="9"/>
  <c r="C179" i="9"/>
  <c r="K176" i="9"/>
  <c r="K177" i="9" s="1"/>
  <c r="L174" i="9" s="1"/>
  <c r="K174" i="9"/>
  <c r="C174" i="9"/>
  <c r="K171" i="9"/>
  <c r="K172" i="9" s="1"/>
  <c r="L169" i="9" s="1"/>
  <c r="K169" i="9"/>
  <c r="C169" i="9"/>
  <c r="K166" i="9"/>
  <c r="K167" i="9" s="1"/>
  <c r="L164" i="9" s="1"/>
  <c r="K164" i="9"/>
  <c r="C164" i="9"/>
  <c r="K162" i="9"/>
  <c r="L159" i="9" s="1"/>
  <c r="K161" i="9"/>
  <c r="K159" i="9"/>
  <c r="C159" i="9"/>
  <c r="K156" i="9"/>
  <c r="K157" i="9" s="1"/>
  <c r="L154" i="9" s="1"/>
  <c r="K154" i="9"/>
  <c r="C154" i="9"/>
  <c r="K151" i="9"/>
  <c r="K152" i="9" s="1"/>
  <c r="L149" i="9" s="1"/>
  <c r="K149" i="9"/>
  <c r="C149" i="9"/>
  <c r="K146" i="9"/>
  <c r="K147" i="9" s="1"/>
  <c r="L144" i="9" s="1"/>
  <c r="K144" i="9"/>
  <c r="C144" i="9"/>
  <c r="C143" i="9"/>
  <c r="B143" i="9"/>
  <c r="K140" i="9"/>
  <c r="K141" i="9" s="1"/>
  <c r="L138" i="9" s="1"/>
  <c r="K138" i="9"/>
  <c r="C138" i="9"/>
  <c r="K135" i="9"/>
  <c r="K136" i="9" s="1"/>
  <c r="L133" i="9" s="1"/>
  <c r="K133" i="9"/>
  <c r="C133" i="9"/>
  <c r="K130" i="9"/>
  <c r="K131" i="9" s="1"/>
  <c r="L128" i="9" s="1"/>
  <c r="K128" i="9"/>
  <c r="C128" i="9"/>
  <c r="K125" i="9"/>
  <c r="K126" i="9" s="1"/>
  <c r="L123" i="9" s="1"/>
  <c r="K123" i="9"/>
  <c r="C123" i="9"/>
  <c r="K120" i="9"/>
  <c r="K121" i="9" s="1"/>
  <c r="L118" i="9" s="1"/>
  <c r="K118" i="9"/>
  <c r="C118" i="9"/>
  <c r="K115" i="9"/>
  <c r="K116" i="9" s="1"/>
  <c r="L113" i="9" s="1"/>
  <c r="K113" i="9"/>
  <c r="C113" i="9"/>
  <c r="C112" i="9"/>
  <c r="J109" i="9"/>
  <c r="K109" i="9" s="1"/>
  <c r="K110" i="9" s="1"/>
  <c r="L107" i="9" s="1"/>
  <c r="K107" i="9"/>
  <c r="C107" i="9"/>
  <c r="J104" i="9"/>
  <c r="K104" i="9" s="1"/>
  <c r="K105" i="9" s="1"/>
  <c r="L102" i="9" s="1"/>
  <c r="K102" i="9"/>
  <c r="C102" i="9"/>
  <c r="J99" i="9"/>
  <c r="K99" i="9" s="1"/>
  <c r="K100" i="9" s="1"/>
  <c r="L97" i="9" s="1"/>
  <c r="K97" i="9"/>
  <c r="C97" i="9"/>
  <c r="J94" i="9"/>
  <c r="K94" i="9" s="1"/>
  <c r="L92" i="9" s="1"/>
  <c r="K92" i="9"/>
  <c r="C92" i="9"/>
  <c r="J88" i="9"/>
  <c r="K88" i="9" s="1"/>
  <c r="K86" i="9"/>
  <c r="C86" i="9"/>
  <c r="J83" i="9"/>
  <c r="K83" i="9" s="1"/>
  <c r="K84" i="9" s="1"/>
  <c r="L81" i="9" s="1"/>
  <c r="K81" i="9"/>
  <c r="C81" i="9"/>
  <c r="C80" i="9"/>
  <c r="K77" i="9"/>
  <c r="K78" i="9" s="1"/>
  <c r="L75" i="9" s="1"/>
  <c r="J77" i="9"/>
  <c r="K75" i="9"/>
  <c r="C75" i="9"/>
  <c r="K72" i="9"/>
  <c r="K73" i="9" s="1"/>
  <c r="L70" i="9" s="1"/>
  <c r="K70" i="9"/>
  <c r="C70" i="9"/>
  <c r="K67" i="9"/>
  <c r="K66" i="9"/>
  <c r="K68" i="9" s="1"/>
  <c r="L64" i="9" s="1"/>
  <c r="K64" i="9"/>
  <c r="C64" i="9"/>
  <c r="K61" i="9"/>
  <c r="K62" i="9" s="1"/>
  <c r="L58" i="9" s="1"/>
  <c r="K60" i="9"/>
  <c r="K58" i="9"/>
  <c r="C58" i="9"/>
  <c r="C57" i="9"/>
  <c r="K52" i="9"/>
  <c r="C52" i="9"/>
  <c r="K47" i="9"/>
  <c r="C47" i="9"/>
  <c r="C46" i="9"/>
  <c r="K43" i="9"/>
  <c r="K42" i="9"/>
  <c r="K41" i="9"/>
  <c r="K40" i="9"/>
  <c r="K39" i="9"/>
  <c r="K37" i="9"/>
  <c r="C37" i="9"/>
  <c r="K34" i="9"/>
  <c r="K33" i="9"/>
  <c r="K35" i="9" s="1"/>
  <c r="L31" i="9" s="1"/>
  <c r="K31" i="9"/>
  <c r="C31" i="9"/>
  <c r="C30" i="9"/>
  <c r="K27" i="9"/>
  <c r="K28" i="9" s="1"/>
  <c r="L25" i="9" s="1"/>
  <c r="K25" i="9"/>
  <c r="C25" i="9"/>
  <c r="K22" i="9"/>
  <c r="K21" i="9"/>
  <c r="K23" i="9" s="1"/>
  <c r="L19" i="9" s="1"/>
  <c r="K19" i="9"/>
  <c r="C19" i="9"/>
  <c r="K16" i="9"/>
  <c r="K15" i="9"/>
  <c r="K17" i="9" s="1"/>
  <c r="L13" i="9" s="1"/>
  <c r="K13" i="9"/>
  <c r="C13" i="9"/>
  <c r="K10" i="9"/>
  <c r="K11" i="9" s="1"/>
  <c r="L8" i="9" s="1"/>
  <c r="K8" i="9"/>
  <c r="C8" i="9"/>
  <c r="C7" i="9"/>
  <c r="D4" i="9"/>
  <c r="D3" i="9"/>
  <c r="D2" i="9"/>
  <c r="J175" i="6"/>
  <c r="K175" i="6" s="1"/>
  <c r="K176" i="6" s="1"/>
  <c r="L173" i="6" s="1"/>
  <c r="K173" i="6"/>
  <c r="C173" i="6"/>
  <c r="K170" i="6"/>
  <c r="K171" i="6" s="1"/>
  <c r="L168" i="6" s="1"/>
  <c r="K168" i="6"/>
  <c r="C168" i="6"/>
  <c r="C167" i="6"/>
  <c r="J164" i="6"/>
  <c r="K164" i="6" s="1"/>
  <c r="K165" i="6" s="1"/>
  <c r="L162" i="6" s="1"/>
  <c r="K162" i="6"/>
  <c r="C162" i="6"/>
  <c r="J159" i="6"/>
  <c r="K159" i="6" s="1"/>
  <c r="K160" i="6" s="1"/>
  <c r="L157" i="6" s="1"/>
  <c r="K157" i="6"/>
  <c r="C157" i="6"/>
  <c r="K154" i="6"/>
  <c r="K155" i="6" s="1"/>
  <c r="L152" i="6" s="1"/>
  <c r="K152" i="6"/>
  <c r="C152" i="6"/>
  <c r="K150" i="6"/>
  <c r="K149" i="6"/>
  <c r="L147" i="6"/>
  <c r="K147" i="6"/>
  <c r="C147" i="6"/>
  <c r="K142" i="6"/>
  <c r="C142" i="6"/>
  <c r="J139" i="6"/>
  <c r="J144" i="6" s="1"/>
  <c r="K144" i="6" s="1"/>
  <c r="K145" i="6" s="1"/>
  <c r="L142" i="6" s="1"/>
  <c r="K137" i="6"/>
  <c r="C137" i="6"/>
  <c r="C136" i="6"/>
  <c r="B136" i="6"/>
  <c r="K133" i="6"/>
  <c r="K134" i="6" s="1"/>
  <c r="L131" i="6" s="1"/>
  <c r="K131" i="6"/>
  <c r="C131" i="6"/>
  <c r="K128" i="6"/>
  <c r="K129" i="6" s="1"/>
  <c r="L126" i="6" s="1"/>
  <c r="K126" i="6"/>
  <c r="C126" i="6"/>
  <c r="K123" i="6"/>
  <c r="K124" i="6" s="1"/>
  <c r="L121" i="6" s="1"/>
  <c r="K121" i="6"/>
  <c r="C121" i="6"/>
  <c r="K118" i="6"/>
  <c r="K119" i="6" s="1"/>
  <c r="L116" i="6" s="1"/>
  <c r="K116" i="6"/>
  <c r="C116" i="6"/>
  <c r="C115" i="6"/>
  <c r="K112" i="6"/>
  <c r="K113" i="6" s="1"/>
  <c r="L110" i="6" s="1"/>
  <c r="K110" i="6"/>
  <c r="C110" i="6"/>
  <c r="K107" i="6"/>
  <c r="K108" i="6" s="1"/>
  <c r="L105" i="6"/>
  <c r="K105" i="6"/>
  <c r="C105" i="6"/>
  <c r="K101" i="6"/>
  <c r="K102" i="6" s="1"/>
  <c r="K99" i="6"/>
  <c r="C99" i="6"/>
  <c r="K96" i="6"/>
  <c r="K97" i="6" s="1"/>
  <c r="L94" i="6" s="1"/>
  <c r="K94" i="6"/>
  <c r="C94" i="6"/>
  <c r="C93" i="6"/>
  <c r="J90" i="6"/>
  <c r="K90" i="6" s="1"/>
  <c r="K91" i="6" s="1"/>
  <c r="L88" i="6" s="1"/>
  <c r="K88" i="6"/>
  <c r="C88" i="6"/>
  <c r="K83" i="6"/>
  <c r="C83" i="6"/>
  <c r="J80" i="6"/>
  <c r="J85" i="6" s="1"/>
  <c r="K85" i="6" s="1"/>
  <c r="K86" i="6" s="1"/>
  <c r="L83" i="6" s="1"/>
  <c r="K79" i="6"/>
  <c r="K78" i="6"/>
  <c r="K76" i="6"/>
  <c r="C76" i="6"/>
  <c r="C75" i="6"/>
  <c r="F72" i="6"/>
  <c r="K72" i="6" s="1"/>
  <c r="K73" i="6" s="1"/>
  <c r="L70" i="6" s="1"/>
  <c r="K70" i="6"/>
  <c r="C70" i="6"/>
  <c r="K67" i="6"/>
  <c r="K68" i="6" s="1"/>
  <c r="L65" i="6" s="1"/>
  <c r="K65" i="6"/>
  <c r="C65" i="6"/>
  <c r="F62" i="6"/>
  <c r="K62" i="6" s="1"/>
  <c r="K63" i="6" s="1"/>
  <c r="L60" i="6" s="1"/>
  <c r="K60" i="6"/>
  <c r="C60" i="6"/>
  <c r="K57" i="6"/>
  <c r="K58" i="6" s="1"/>
  <c r="L55" i="6" s="1"/>
  <c r="K55" i="6"/>
  <c r="C55" i="6"/>
  <c r="C54" i="6"/>
  <c r="K51" i="6"/>
  <c r="K52" i="6" s="1"/>
  <c r="L49" i="6" s="1"/>
  <c r="K49" i="6"/>
  <c r="C49" i="6"/>
  <c r="K46" i="6"/>
  <c r="K47" i="6" s="1"/>
  <c r="L44" i="6" s="1"/>
  <c r="K44" i="6"/>
  <c r="C44" i="6"/>
  <c r="K41" i="6"/>
  <c r="K42" i="6" s="1"/>
  <c r="L39" i="6" s="1"/>
  <c r="K39" i="6"/>
  <c r="C39" i="6"/>
  <c r="K36" i="6"/>
  <c r="K37" i="6" s="1"/>
  <c r="L34" i="6" s="1"/>
  <c r="K34" i="6"/>
  <c r="C34" i="6"/>
  <c r="K31" i="6"/>
  <c r="F30" i="6"/>
  <c r="K30" i="6" s="1"/>
  <c r="K32" i="6" s="1"/>
  <c r="L28" i="6" s="1"/>
  <c r="K28" i="6"/>
  <c r="C28" i="6"/>
  <c r="C27" i="6"/>
  <c r="K24" i="6"/>
  <c r="K23" i="6"/>
  <c r="K25" i="6" s="1"/>
  <c r="L21" i="6" s="1"/>
  <c r="K21" i="6"/>
  <c r="C21" i="6"/>
  <c r="B21" i="6"/>
  <c r="K18" i="6"/>
  <c r="K17" i="6"/>
  <c r="K15" i="6"/>
  <c r="C15" i="6"/>
  <c r="J12" i="6"/>
  <c r="K12" i="6" s="1"/>
  <c r="K11" i="6"/>
  <c r="K10" i="6"/>
  <c r="K8" i="6"/>
  <c r="C8" i="6"/>
  <c r="C7" i="6"/>
  <c r="D4" i="6"/>
  <c r="D3" i="6"/>
  <c r="D2" i="6"/>
  <c r="J100" i="2"/>
  <c r="K100" i="2" s="1"/>
  <c r="L98" i="2" s="1"/>
  <c r="K98" i="2"/>
  <c r="C98" i="2"/>
  <c r="C97" i="2"/>
  <c r="K94" i="2"/>
  <c r="K95" i="2" s="1"/>
  <c r="L92" i="2" s="1"/>
  <c r="K92" i="2"/>
  <c r="C92" i="2"/>
  <c r="J89" i="2"/>
  <c r="K89" i="2" s="1"/>
  <c r="L87" i="2" s="1"/>
  <c r="K87" i="2"/>
  <c r="C87" i="2"/>
  <c r="C86" i="2"/>
  <c r="B86" i="2"/>
  <c r="K83" i="2"/>
  <c r="K84" i="2" s="1"/>
  <c r="L81" i="2" s="1"/>
  <c r="K81" i="2"/>
  <c r="C81" i="2"/>
  <c r="K78" i="2"/>
  <c r="K79" i="2" s="1"/>
  <c r="L76" i="2" s="1"/>
  <c r="K76" i="2"/>
  <c r="C76" i="2"/>
  <c r="K73" i="2"/>
  <c r="K74" i="2" s="1"/>
  <c r="L71" i="2" s="1"/>
  <c r="K71" i="2"/>
  <c r="C71" i="2"/>
  <c r="K68" i="2"/>
  <c r="K69" i="2" s="1"/>
  <c r="L66" i="2" s="1"/>
  <c r="K66" i="2"/>
  <c r="C66" i="2"/>
  <c r="C65" i="2"/>
  <c r="K62" i="2"/>
  <c r="K63" i="2" s="1"/>
  <c r="L60" i="2" s="1"/>
  <c r="K60" i="2"/>
  <c r="C60" i="2"/>
  <c r="K57" i="2"/>
  <c r="K58" i="2" s="1"/>
  <c r="K55" i="2"/>
  <c r="C55" i="2"/>
  <c r="K51" i="2"/>
  <c r="K52" i="2" s="1"/>
  <c r="L49" i="2"/>
  <c r="K49" i="2"/>
  <c r="C49" i="2"/>
  <c r="K45" i="2"/>
  <c r="K46" i="2" s="1"/>
  <c r="L43" i="2" s="1"/>
  <c r="K43" i="2"/>
  <c r="C43" i="2"/>
  <c r="C42" i="2"/>
  <c r="K39" i="2"/>
  <c r="K40" i="2" s="1"/>
  <c r="L37" i="2" s="1"/>
  <c r="K37" i="2"/>
  <c r="C37" i="2"/>
  <c r="K34" i="2"/>
  <c r="K35" i="2" s="1"/>
  <c r="L32" i="2" s="1"/>
  <c r="K32" i="2"/>
  <c r="C32" i="2"/>
  <c r="K28" i="2"/>
  <c r="K29" i="2" s="1"/>
  <c r="L26" i="2" s="1"/>
  <c r="K26" i="2"/>
  <c r="C26" i="2"/>
  <c r="C25" i="2"/>
  <c r="K22" i="2"/>
  <c r="K23" i="2" s="1"/>
  <c r="L20" i="2" s="1"/>
  <c r="K20" i="2"/>
  <c r="C20" i="2"/>
  <c r="K17" i="2"/>
  <c r="L15" i="2" s="1"/>
  <c r="K15" i="2"/>
  <c r="C15" i="2"/>
  <c r="K11" i="2"/>
  <c r="K10" i="2"/>
  <c r="K8" i="2"/>
  <c r="C8" i="2"/>
  <c r="C7" i="2"/>
  <c r="D4" i="2"/>
  <c r="D3" i="2"/>
  <c r="D2" i="2"/>
  <c r="G15" i="15" l="1"/>
  <c r="E15" i="15"/>
  <c r="I15" i="15"/>
  <c r="I19" i="15" s="1"/>
  <c r="H15" i="15"/>
  <c r="H19" i="15" s="1"/>
  <c r="F15" i="15"/>
  <c r="K131" i="12"/>
  <c r="L126" i="12" s="1"/>
  <c r="L97" i="12"/>
  <c r="K29" i="12"/>
  <c r="L25" i="12" s="1"/>
  <c r="K138" i="12"/>
  <c r="L133" i="12" s="1"/>
  <c r="K17" i="12"/>
  <c r="L13" i="12" s="1"/>
  <c r="L55" i="2"/>
  <c r="K367" i="12"/>
  <c r="L363" i="12" s="1"/>
  <c r="K83" i="12"/>
  <c r="L79" i="12" s="1"/>
  <c r="L8" i="2"/>
  <c r="K197" i="9"/>
  <c r="L192" i="9" s="1"/>
  <c r="L30" i="13"/>
  <c r="K41" i="12"/>
  <c r="L37" i="12" s="1"/>
  <c r="K158" i="12"/>
  <c r="L156" i="12" s="1"/>
  <c r="L19" i="12"/>
  <c r="K107" i="12"/>
  <c r="L103" i="12" s="1"/>
  <c r="K154" i="12"/>
  <c r="L151" i="12"/>
  <c r="J169" i="12"/>
  <c r="K169" i="12" s="1"/>
  <c r="J170" i="12"/>
  <c r="K170" i="12" s="1"/>
  <c r="J163" i="12"/>
  <c r="K163" i="12" s="1"/>
  <c r="K165" i="12" s="1"/>
  <c r="L161" i="12" s="1"/>
  <c r="K44" i="9"/>
  <c r="K190" i="9"/>
  <c r="L185" i="9" s="1"/>
  <c r="K95" i="9"/>
  <c r="L37" i="9"/>
  <c r="J49" i="9"/>
  <c r="K49" i="9" s="1"/>
  <c r="K50" i="9" s="1"/>
  <c r="L47" i="9" s="1"/>
  <c r="J54" i="9"/>
  <c r="K54" i="9" s="1"/>
  <c r="K55" i="9" s="1"/>
  <c r="L52" i="9" s="1"/>
  <c r="K89" i="9"/>
  <c r="L86" i="9"/>
  <c r="K13" i="6"/>
  <c r="L8" i="6" s="1"/>
  <c r="K19" i="6"/>
  <c r="L15" i="6" s="1"/>
  <c r="K139" i="6"/>
  <c r="K140" i="6" s="1"/>
  <c r="L137" i="6" s="1"/>
  <c r="L99" i="6"/>
  <c r="K80" i="6"/>
  <c r="K81" i="6" s="1"/>
  <c r="L76" i="6" s="1"/>
  <c r="K171" i="12" l="1"/>
  <c r="L167" i="12" s="1"/>
  <c r="K159" i="12"/>
  <c r="J117" i="12"/>
  <c r="K117" i="12" s="1"/>
  <c r="K118" i="12" s="1"/>
  <c r="L115" i="12" s="1"/>
  <c r="J112" i="12"/>
  <c r="K112" i="12" s="1"/>
  <c r="K113" i="12" s="1"/>
  <c r="L110" i="12" s="1"/>
  <c r="H9" i="1"/>
  <c r="I9" i="1" s="1"/>
  <c r="J21" i="3"/>
  <c r="I7" i="1" l="1"/>
  <c r="J31" i="3"/>
  <c r="J11" i="3" s="1"/>
  <c r="H175" i="3" s="1"/>
  <c r="H33" i="1" l="1"/>
  <c r="C8" i="15" s="1"/>
  <c r="J8" i="1" l="1"/>
  <c r="J5" i="1"/>
  <c r="J22" i="1"/>
  <c r="J11" i="1"/>
  <c r="J14" i="1"/>
  <c r="J23" i="1"/>
  <c r="J13" i="1"/>
  <c r="J25" i="1"/>
  <c r="J26" i="1"/>
  <c r="J29" i="1"/>
  <c r="J24" i="1"/>
  <c r="J20" i="1"/>
  <c r="J18" i="1"/>
  <c r="J12" i="1"/>
  <c r="J19" i="1"/>
  <c r="J17" i="1"/>
  <c r="J10" i="1"/>
  <c r="J16" i="1"/>
  <c r="J21" i="1"/>
  <c r="J28" i="1"/>
  <c r="J6" i="1"/>
  <c r="J15" i="1"/>
  <c r="J27" i="1"/>
  <c r="J9" i="1"/>
  <c r="J7" i="1"/>
  <c r="C19" i="15" l="1"/>
  <c r="G9" i="15"/>
  <c r="G19" i="15" s="1"/>
  <c r="E9" i="15"/>
  <c r="E19" i="15" s="1"/>
  <c r="F9" i="15"/>
  <c r="F19" i="15" s="1"/>
</calcChain>
</file>

<file path=xl/sharedStrings.xml><?xml version="1.0" encoding="utf-8"?>
<sst xmlns="http://schemas.openxmlformats.org/spreadsheetml/2006/main" count="10774" uniqueCount="1079">
  <si>
    <t>Obra</t>
  </si>
  <si>
    <t>Bancos</t>
  </si>
  <si>
    <t>B.D.I.</t>
  </si>
  <si>
    <t>Encargos Sociais</t>
  </si>
  <si>
    <t xml:space="preserve">SINAPI - 01/2023 - Pernambuco
ORSE - 11/2022 - Sergipe
</t>
  </si>
  <si>
    <t>22,88%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</si>
  <si>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</si>
  <si>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</si>
  <si>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</si>
  <si>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</si>
  <si>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</si>
  <si>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</si>
  <si>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</si>
  <si>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</si>
  <si>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</si>
  <si>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</si>
  <si>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</si>
  <si>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</si>
  <si>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</si>
  <si>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</si>
  <si>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</si>
  <si>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COMP1 </t>
  </si>
  <si>
    <t>Próprio</t>
  </si>
  <si>
    <t>DEMOLIÇÃO MANUAL DE PISO CIMENTADO SOBRE LASTRO DE CONCRETO - REV 01</t>
  </si>
  <si>
    <t>H</t>
  </si>
  <si>
    <t xml:space="preserve"> 2 </t>
  </si>
  <si>
    <t>PISO</t>
  </si>
  <si>
    <t xml:space="preserve"> 2.1 </t>
  </si>
  <si>
    <t xml:space="preserve"> 87757 </t>
  </si>
  <si>
    <t>SINAPI</t>
  </si>
  <si>
    <t>CONTRAPISO EM ARGAMASSA TRAÇO 1:4 (CIMENTO E AREIA), PREPARO MANUAL, APLICADO EM ÁREAS MOLHADAS SOBRE IMPERMEABILIZAÇÃO, ACABAMENTO NÃO REFORÇADO, ESPESSURA 3CM. AF_07/2021</t>
  </si>
  <si>
    <t>m²</t>
  </si>
  <si>
    <t xml:space="preserve"> 2.2 </t>
  </si>
  <si>
    <t xml:space="preserve"> 94994 </t>
  </si>
  <si>
    <t>EXECUÇÃO DE PASSEIO (CALÇADA) OU PISO DE CONCRETO COM CONCRETO MOLDADO IN LOCO, FEITO EM OBRA, ACABAMENTO CONVENCIONAL, ESPESSURA 8 CM, ARMADO. AF_08/2022</t>
  </si>
  <si>
    <t xml:space="preserve"> 3 </t>
  </si>
  <si>
    <t>PINTURA</t>
  </si>
  <si>
    <t xml:space="preserve"> 3.1 </t>
  </si>
  <si>
    <t xml:space="preserve"> 102506 </t>
  </si>
  <si>
    <t>PINTURA DE DEMARCAÇÃO DE QUADRA POLIESPORTIVA COM TINTA EPÓXI, E = 5 CM, APLICAÇÃO MANUAL. AF_05/2021</t>
  </si>
  <si>
    <t>M</t>
  </si>
  <si>
    <t xml:space="preserve"> 4 </t>
  </si>
  <si>
    <t>ELETRICA</t>
  </si>
  <si>
    <t xml:space="preserve"> 4.1 </t>
  </si>
  <si>
    <t xml:space="preserve"> COMP2 </t>
  </si>
  <si>
    <t>REVISÃO DE PONTO DE TOMADA SIMPLES COM REPOSIÇÃO DA TOMADA E DA FIAÇÃO</t>
  </si>
  <si>
    <t>PT</t>
  </si>
  <si>
    <t xml:space="preserve"> 4.2 </t>
  </si>
  <si>
    <t xml:space="preserve"> COMP3 </t>
  </si>
  <si>
    <t>REVISÃO DE PONTO DE INTERRUPTOR COM REPOSIÇÃO DO INTERRUPTOR E FIAÇÃO</t>
  </si>
  <si>
    <t xml:space="preserve"> 5 </t>
  </si>
  <si>
    <t>HIDRAULICA</t>
  </si>
  <si>
    <t xml:space="preserve"> 5.1 </t>
  </si>
  <si>
    <t xml:space="preserve"> COMP4 </t>
  </si>
  <si>
    <t>CAIXA DE DESCARGA DE SOBREPOR COMPLETA AKROS OU SIMILAR</t>
  </si>
  <si>
    <t>UNIDADE</t>
  </si>
  <si>
    <t xml:space="preserve"> 5.2 </t>
  </si>
  <si>
    <t xml:space="preserve"> 86883 </t>
  </si>
  <si>
    <t>SIFÃO DO TIPO FLEXÍVEL EM PVC 1  X 1.1/2  - FORNECIMENTO E INSTALAÇÃO. AF_01/2020</t>
  </si>
  <si>
    <t>UN</t>
  </si>
  <si>
    <t xml:space="preserve"> 5.3 </t>
  </si>
  <si>
    <t xml:space="preserve"> 86884 </t>
  </si>
  <si>
    <t>ENGATE FLEXÍVEL EM PLÁSTICO BRANCO, 1/2 X 30CM - FORNECIMENTO E INSTALAÇÃO. AF_01/2020</t>
  </si>
  <si>
    <t xml:space="preserve"> 5.4 </t>
  </si>
  <si>
    <t xml:space="preserve"> 86911 </t>
  </si>
  <si>
    <t>TORNEIRA CROMADA LONGA, DE PAREDE, 1/2 OU 3/4, PARA PIA DE COZINHA, PADRÃO POPULAR - FORNECIMENTO E INSTALAÇÃO. AF_01/2020</t>
  </si>
  <si>
    <t xml:space="preserve"> 6 </t>
  </si>
  <si>
    <t>DIVERSOS</t>
  </si>
  <si>
    <t xml:space="preserve"> 6.1 </t>
  </si>
  <si>
    <t xml:space="preserve"> COMP5 </t>
  </si>
  <si>
    <t>ALAMBRADO COM TELA DE ARAME GALVANIZADO FIO 12 BWG, MALHA 3, COM TUBO DE AÇO GALVANIZADO 3(VERTICAL) E DE 1.1/2(HORIZONTAL SUPERIOR), FORMANDO QUADROS DE 3,10 X 2.50 M, ASSENTADA SOBRE ALAMBRADO EXISTENTE</t>
  </si>
  <si>
    <t>M²</t>
  </si>
  <si>
    <t xml:space="preserve"> 6.2 </t>
  </si>
  <si>
    <t xml:space="preserve"> COMP6 </t>
  </si>
  <si>
    <t>ALAMBRADO COM TELA DE NYLON, MALHA 3.6 MM, , EXCETO MURETA</t>
  </si>
  <si>
    <t xml:space="preserve"> 6.3 </t>
  </si>
  <si>
    <t xml:space="preserve"> 96116 </t>
  </si>
  <si>
    <t>FORRO EM RÉGUAS DE PVC, FRISADO, PARA AMBIENTES COMERCIAIS, INCLUSIVE ESTRUTURA DE FIXAÇÃO. AF_05/2017_PS</t>
  </si>
  <si>
    <t xml:space="preserve"> 6.4 </t>
  </si>
  <si>
    <t xml:space="preserve"> 96109 </t>
  </si>
  <si>
    <t>FORRO EM PLACAS DE GESSO, PARA AMBIENTES RESIDENCIAIS. AF_05/2017_PS</t>
  </si>
  <si>
    <t xml:space="preserve"> 7 </t>
  </si>
  <si>
    <t>COBERTA</t>
  </si>
  <si>
    <t xml:space="preserve"> 7.1 </t>
  </si>
  <si>
    <t xml:space="preserve"> 100330 </t>
  </si>
  <si>
    <t>RETIRADA E RECOLOCAÇÃO DE  TELHA CERÂMICA CAPA-CANAL, COM ATÉ DUAS ÁGUAS, INCLUSO IÇAMENTO. AF_07/2019</t>
  </si>
  <si>
    <t xml:space="preserve"> 7.2 </t>
  </si>
  <si>
    <t xml:space="preserve"> 94219 </t>
  </si>
  <si>
    <t>CUMEEIRA E ESPIGÃO PARA TELHA CERÂMICA EMBOÇADA COM ARGAMASSA TRAÇO 1:2:9 (CIMENTO, CAL E AREIA), PARA TELHADOS COM MAIS DE 2 ÁGUAS, INCLUSO TRANSPORTE VERTICAL. AF_07/2019</t>
  </si>
  <si>
    <t xml:space="preserve"> 8 </t>
  </si>
  <si>
    <t xml:space="preserve"> 8.1 </t>
  </si>
  <si>
    <t xml:space="preserve"> COMP7 </t>
  </si>
  <si>
    <t>LIMPEZA GERAL</t>
  </si>
  <si>
    <t>Total sem BDI</t>
  </si>
  <si>
    <t>Total do BDI</t>
  </si>
  <si>
    <t>Total Geral</t>
  </si>
  <si>
    <t>OBRA: REFORMA DA ESCOLA LAFAYETE NUNES MACHADO</t>
  </si>
  <si>
    <t>MEMÓRIA DE CÁLCULO</t>
  </si>
  <si>
    <t>DATA:</t>
  </si>
  <si>
    <t>1.0</t>
  </si>
  <si>
    <t>1.1</t>
  </si>
  <si>
    <t>DESCRIÇÃO</t>
  </si>
  <si>
    <t>QUANT</t>
  </si>
  <si>
    <t>ALT.</t>
  </si>
  <si>
    <t>LARG.</t>
  </si>
  <si>
    <t>COMPR.</t>
  </si>
  <si>
    <t>M2</t>
  </si>
  <si>
    <t>TOTAL</t>
  </si>
  <si>
    <t>RAMPA</t>
  </si>
  <si>
    <t>CALÇADA</t>
  </si>
  <si>
    <t>QUANTIDADE TOTAL</t>
  </si>
  <si>
    <t>2.0</t>
  </si>
  <si>
    <t>2.1</t>
  </si>
  <si>
    <t>AMBIENTES</t>
  </si>
  <si>
    <t>2.2</t>
  </si>
  <si>
    <t>AREA</t>
  </si>
  <si>
    <t>3.0</t>
  </si>
  <si>
    <t>3.1</t>
  </si>
  <si>
    <t>QUANDRA</t>
  </si>
  <si>
    <t>4.0</t>
  </si>
  <si>
    <t>4.1</t>
  </si>
  <si>
    <t>DESC.</t>
  </si>
  <si>
    <t>ESCOLA</t>
  </si>
  <si>
    <t>4.2</t>
  </si>
  <si>
    <t>5.0</t>
  </si>
  <si>
    <t>5.1</t>
  </si>
  <si>
    <t>KG</t>
  </si>
  <si>
    <t>BANHEIROS</t>
  </si>
  <si>
    <t>USANDO DADOS LITERARIOS, UMA MEDIA DE 80KG POR METRO CUBICO DE CONCRETO TEM-SE O SEGUINTE RESULTADO</t>
  </si>
  <si>
    <t>5.2</t>
  </si>
  <si>
    <t xml:space="preserve">COMO SÃO 3 USOS, O TOTAL FOI DIVIDIDO POR 3 </t>
  </si>
  <si>
    <t>5.3</t>
  </si>
  <si>
    <t>5.4</t>
  </si>
  <si>
    <t>BANHEIRO E COZINHA</t>
  </si>
  <si>
    <t>6.0</t>
  </si>
  <si>
    <t>6.1</t>
  </si>
  <si>
    <t>QUADRA</t>
  </si>
  <si>
    <t>6.2</t>
  </si>
  <si>
    <t xml:space="preserve">QUADRA (COBERTURA) </t>
  </si>
  <si>
    <t>6.3</t>
  </si>
  <si>
    <t>ESCOLA (COZINHA)</t>
  </si>
  <si>
    <t>6.4</t>
  </si>
  <si>
    <t>SALA DE AULA</t>
  </si>
  <si>
    <t>7.1</t>
  </si>
  <si>
    <t>AREA COBERTA</t>
  </si>
  <si>
    <t>7.2</t>
  </si>
  <si>
    <t>COBERTURA</t>
  </si>
  <si>
    <t>8.0</t>
  </si>
  <si>
    <t>8.1</t>
  </si>
  <si>
    <t>Planilha Orçamentária Analítica</t>
  </si>
  <si>
    <t>Tipo</t>
  </si>
  <si>
    <t>Composição</t>
  </si>
  <si>
    <t>SEDI - SERVIÇOS DIVERSOS</t>
  </si>
  <si>
    <t>Composição Auxiliar</t>
  </si>
  <si>
    <t xml:space="preserve"> 88309 </t>
  </si>
  <si>
    <t>PEDREIRO COM ENCARGOS COMPLEMENTARES</t>
  </si>
  <si>
    <t xml:space="preserve"> 88316 </t>
  </si>
  <si>
    <t>SERVENTE COM ENCARGOS COMPLEMENTARES</t>
  </si>
  <si>
    <t>Quant. =&gt;</t>
  </si>
  <si>
    <t>Preço Total =&gt;</t>
  </si>
  <si>
    <t>PISO - PISOS</t>
  </si>
  <si>
    <t xml:space="preserve"> 87373 </t>
  </si>
  <si>
    <t>ARGAMASSA TRAÇO 1:4 (EM VOLUME DE CIMENTO E AREIA MÉDIA ÚMIDA) PARA CONTRAPISO, PREPARO MANUAL. AF_08/2019</t>
  </si>
  <si>
    <t>m³</t>
  </si>
  <si>
    <t>Insumo</t>
  </si>
  <si>
    <t xml:space="preserve"> 00001379 </t>
  </si>
  <si>
    <t>CIMENTO PORTLAND COMPOSTO CP II-32</t>
  </si>
  <si>
    <t>Material</t>
  </si>
  <si>
    <t xml:space="preserve"> 88262 </t>
  </si>
  <si>
    <t>CARPINTEIRO DE FORMAS COM ENCARGOS COMPLEMENTARES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</si>
  <si>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</si>
  <si>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</si>
  <si>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</si>
  <si>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 xml:space="preserve"> 00002692 </t>
  </si>
  <si>
    <t>DESMOLDANTE PROTETOR PARA FORMAS DE MADEIRA, DE BASE OLEOSA EMULSIONADA EM AGUA</t>
  </si>
  <si>
    <t>L</t>
  </si>
  <si>
    <t xml:space="preserve"> 00004509 </t>
  </si>
  <si>
    <t>SARRAFO *2,5 X 10* CM EM PINUS, MISTA OU EQUIVALENTE DA REGIAO - BRUTA</t>
  </si>
  <si>
    <t xml:space="preserve"> 00004517 </t>
  </si>
  <si>
    <t>SARRAFO *2,5 X 7,5* CM EM PINUS, MISTA OU EQUIVALENTE DA REGIAO - BRUTA</t>
  </si>
  <si>
    <t xml:space="preserve"> 00005068 </t>
  </si>
  <si>
    <t>PREGO DE ACO POLIDO COM CABECA 17 X 21 (2 X 11)</t>
  </si>
  <si>
    <t xml:space="preserve"> 00007156 </t>
  </si>
  <si>
    <t>TELA DE ACO SOLDADA NERVURADA, CA-60, Q-196, (3,11 KG/M2), DIAMETRO DO FIO = 5,0 MM, LARGURA = 2,45 M, ESPACAMENTO DA MALHA = 10 X 10 CM</t>
  </si>
  <si>
    <t>PINT - PINTURAS</t>
  </si>
  <si>
    <t xml:space="preserve"> 88310 </t>
  </si>
  <si>
    <t>PINTOR COM ENCARGOS COMPLEMENTARES</t>
  </si>
  <si>
    <t xml:space="preserve"> 00005330 </t>
  </si>
  <si>
    <t>DILUENTE EPOXI</t>
  </si>
  <si>
    <t xml:space="preserve"> 00007304 </t>
  </si>
  <si>
    <t>TINTA EPOXI BASE AGUA PREMIUM, BRANCA</t>
  </si>
  <si>
    <t xml:space="preserve"> 00012815 </t>
  </si>
  <si>
    <t>FITA CREPE ROLO DE 25 MM X 50 M</t>
  </si>
  <si>
    <t xml:space="preserve"> 88264 </t>
  </si>
  <si>
    <t>ELETRICISTA COM ENCARGOS COMPLEMENTARES</t>
  </si>
  <si>
    <t xml:space="preserve"> 00043132 </t>
  </si>
  <si>
    <t>ARAME RECOZIDO 16 BWG, D = 1,65 MM (0,016 KG/M) OU 18 BWG, D = 1,25 MM (0,01 KG/M)</t>
  </si>
  <si>
    <t xml:space="preserve"> 00000939 </t>
  </si>
  <si>
    <t>FIO DE COBRE, SOLIDO, CLASSE 1, ISOLACAO EM PVC/A, ANTICHAMA BWF-B, 450/750V, SECAO NOMINAL 2,5 MM2</t>
  </si>
  <si>
    <t xml:space="preserve"> 00020111 </t>
  </si>
  <si>
    <t>FITA ISOLANTE ADESIVA ANTICHAMA, USO ATE 750 V, EM ROLO DE 19 MM X 20 M</t>
  </si>
  <si>
    <t xml:space="preserve"> 00038101 </t>
  </si>
  <si>
    <t>TOMADA 2P+T 10A, 250V  (APENAS MODULO)</t>
  </si>
  <si>
    <t xml:space="preserve"> 00038112 </t>
  </si>
  <si>
    <t>INTERRUPTOR SIMPLES 10A, 250V (APENAS MODULO)</t>
  </si>
  <si>
    <t>ASTU - ASSENTAMENTO DE TUBOS E PECAS</t>
  </si>
  <si>
    <t xml:space="preserve"> 00006141 </t>
  </si>
  <si>
    <t>ENGATE/RABICHO FLEXIVEL PLASTICO (PVC OU ABS) BRANCO 1/2 " X 30 CM</t>
  </si>
  <si>
    <t xml:space="preserve"> 6653 </t>
  </si>
  <si>
    <t>ORSE</t>
  </si>
  <si>
    <t>Tubo descida de embutir com curva para caixa de descarga de sobrepor tigre ou similar un</t>
  </si>
  <si>
    <t>un</t>
  </si>
  <si>
    <t xml:space="preserve"> 00001030 </t>
  </si>
  <si>
    <t>CAIXA DE DESCARGA DE PLASTICO EXTERNA, DE *9* L, PUXADOR FIO DE NYLON, NAO INCLUSO CANO, BOLSA, ENGATE</t>
  </si>
  <si>
    <t xml:space="preserve"> 00006140 </t>
  </si>
  <si>
    <t>BOLSA DE LIGACAO EM PVC FLEXIVEL PARA VASO SANITARIO 1.1/2 " (40 MM)</t>
  </si>
  <si>
    <t>INHI - INSTALAÇÕES HIDROS SANITÁRIAS</t>
  </si>
  <si>
    <t xml:space="preserve"> 88267 </t>
  </si>
  <si>
    <t>ENCANADOR OU BOMBEIRO HIDRÁULICO COM ENCARGOS COMPLEMENTARES</t>
  </si>
  <si>
    <t xml:space="preserve"> 00003146 </t>
  </si>
  <si>
    <t>FITA VEDA ROSCA EM ROLOS DE 18 MM X 10 M (L X C)</t>
  </si>
  <si>
    <t xml:space="preserve"> 00044945 </t>
  </si>
  <si>
    <t>SIFAO / TUBO SINFONADO EXTENSIVEL/SANFONADO, UNIVERSAL/ SIMPLES, ENTRE *50 A 70* CM, DE PLASTICO BRANCO</t>
  </si>
  <si>
    <t xml:space="preserve"> 00013416 </t>
  </si>
  <si>
    <t>TORNEIRA METALICA CROMADA, RETA, DE PAREDE, PARA COZINHA, SEM BICO, SEM AREJADOR, PADRAO POPULAR, 1/2 " OU 3/4 " (REF 1158)</t>
  </si>
  <si>
    <t xml:space="preserve"> 88315 </t>
  </si>
  <si>
    <t>SERRALHEIRO COM ENCARGOS COMPLEMENTARES</t>
  </si>
  <si>
    <t xml:space="preserve"> 00010935 </t>
  </si>
  <si>
    <t>TELA DE ARAME GALVANIZADA REVESTIDA EM PVC, QUADRANGULAR / LOSANGULAR, FIO 2,77 MM (12 BWG), BITOLA FINAL = *3,8* MM, MALHA 7,5 X 7,5 CM, H = 2 M</t>
  </si>
  <si>
    <t xml:space="preserve"> 00010997 </t>
  </si>
  <si>
    <t>ELETRODO REVESTIDO AWS - E7018, DIAMETRO IGUAL A 4,00 MM</t>
  </si>
  <si>
    <t xml:space="preserve"> 00021012 </t>
  </si>
  <si>
    <t>TUBO ACO GALVANIZADO COM COSTURA, CLASSE LEVE, DN 40 MM ( 1 1/2"),  E = 3,00 MM,  *3,48* KG/M (NBR 5580)</t>
  </si>
  <si>
    <t xml:space="preserve"> 00021015 </t>
  </si>
  <si>
    <t>TUBO ACO GALVANIZADO COM COSTURA, CLASSE LEVE, DN 80 MM ( 3"),  E = 3,35 MM, *7,32* KG/M (NBR 5580)</t>
  </si>
  <si>
    <t xml:space="preserve"> 00043130 </t>
  </si>
  <si>
    <t>ARAME GALVANIZADO 12 BWG, D = 2,76 MM (0,048 KG/M) OU 14 BWG, D = 2,11 MM (0,026 KG/M)</t>
  </si>
  <si>
    <t xml:space="preserve"> 88317 </t>
  </si>
  <si>
    <t>SOLDADOR COM ENCARGOS COMPLEMENTARES</t>
  </si>
  <si>
    <t xml:space="preserve"> 2651 </t>
  </si>
  <si>
    <t>Arame galvanizado com revestimento em pvc,14bwg (2,8 mm) - 0,031kg/m kg</t>
  </si>
  <si>
    <t>kg</t>
  </si>
  <si>
    <t xml:space="preserve"> 2758 </t>
  </si>
  <si>
    <t>Tela de nylon, fio 30-36 (3,6mm), malha 10x10cm m2</t>
  </si>
  <si>
    <t>REVE - REVESTIMENTO E TRATAMENTO DE SUPERFÍCIES</t>
  </si>
  <si>
    <t xml:space="preserve"> 88278 </t>
  </si>
  <si>
    <t>MONTADOR DE ESTRUTURA METÁLICA COM ENCARGOS COMPLEMENTARES</t>
  </si>
  <si>
    <t xml:space="preserve"> 00036238 </t>
  </si>
  <si>
    <t>FORRO DE PVC, FRISADO, BRANCO, REGUA DE 20 CM, ESPESSURA DE 8 MM A 10 MM E COMPRIMENTO 6 M (SEM COLOCACAO)</t>
  </si>
  <si>
    <t xml:space="preserve"> 00039427 </t>
  </si>
  <si>
    <t>PERFIL CANALETA, FORMATO C, EM ACO ZINCADO, PARA ESTRUTURA FORRO DRYWALL, E = 0,5 MM, *46 X 18* (L X H), COMPRIMENTO 3 M</t>
  </si>
  <si>
    <t xml:space="preserve"> 00039430 </t>
  </si>
  <si>
    <t>PENDURAL OU PRESILHA REGULADORA, EM ACO GALVANIZADO, COM CORPO, MOLA E REBITE, PARA PERFIL TIPO CANALETA DE ESTRUTURA EM FORROS DRYWALL</t>
  </si>
  <si>
    <t>Equipamento</t>
  </si>
  <si>
    <t xml:space="preserve"> 00039443 </t>
  </si>
  <si>
    <t>PARAFUSO DRY WALL, EM ACO ZINCADO, CABECA LENTILHA E PONTA BROCA (LB), LARGURA 4,2 MM, COMPRIMENTO 13 MM</t>
  </si>
  <si>
    <t xml:space="preserve"> 00040547 </t>
  </si>
  <si>
    <t>PARAFUSO ZINCADO, AUTOBROCANTE, FLANGEADO, 4,2 MM X 19 MM</t>
  </si>
  <si>
    <t>CENTO</t>
  </si>
  <si>
    <t xml:space="preserve"> 00040552 </t>
  </si>
  <si>
    <t>PARAFUSO, AUTO ATARRACHANTE, CABECA CHATA, FENDA SIMPLES, 1/4 (6,35 MM) X 25 MM</t>
  </si>
  <si>
    <t xml:space="preserve"> 00043131 </t>
  </si>
  <si>
    <t>ARAME GALVANIZADO 6 BWG, D = 5,16 MM (0,157 KG/M), OU 8 BWG, D = 4,19 MM (0,101 KG/M), OU 10 BWG, D = 3,40 MM (0,0713 KG/M)</t>
  </si>
  <si>
    <t xml:space="preserve"> 88269 </t>
  </si>
  <si>
    <t>GESSEIRO COM ENCARGOS COMPLEMENTARES</t>
  </si>
  <si>
    <t xml:space="preserve"> 00000345 </t>
  </si>
  <si>
    <t>ARAME GALVANIZADO 18 BWG, D = 1,24MM (0,009 KG/M)</t>
  </si>
  <si>
    <t xml:space="preserve"> 00003315 </t>
  </si>
  <si>
    <t>GESSO EM PO PARA REVESTIMENTOS/MOLDURAS/SANCAS E USO GERAL</t>
  </si>
  <si>
    <t xml:space="preserve"> 00004812 </t>
  </si>
  <si>
    <t>PLACA DE GESSO PARA FORRO, *60 X 60* CM, ESPESSURA DE 12 MM (SEM COLOCACAO)</t>
  </si>
  <si>
    <t xml:space="preserve"> 00020250 </t>
  </si>
  <si>
    <t>SISAL EM FIBRA / ESTOPA SISAL PARA GESSO</t>
  </si>
  <si>
    <t>COBE - COBERTURA</t>
  </si>
  <si>
    <t xml:space="preserve"> 88323 </t>
  </si>
  <si>
    <t>TELHADISTA COM ENCARGOS COMPLEMENTARES</t>
  </si>
  <si>
    <t xml:space="preserve"> 93281 </t>
  </si>
  <si>
    <t>GUINCHO ELÉTRICO DE COLUNA, CAPACIDADE 400 KG, COM MOTO FREIO, MOTOR TRIFÁSICO DE 1,25 CV - CHP DIURNO. AF_03/2016</t>
  </si>
  <si>
    <t>CHOR - CUSTOS HORÁRIOS DE MÁQUINAS E EQUIPAMENTOS</t>
  </si>
  <si>
    <t>CHP</t>
  </si>
  <si>
    <t xml:space="preserve"> 93282 </t>
  </si>
  <si>
    <t>GUINCHO ELÉTRICO DE COLUNA, CAPACIDADE 400 KG, COM MOTO FREIO, MOTOR TRIFÁSICO DE 1,25 CV - CHI DIURNO. AF_03/2016</t>
  </si>
  <si>
    <t>CHI</t>
  </si>
  <si>
    <t xml:space="preserve"> 00007173 </t>
  </si>
  <si>
    <t>TELHA DE BARRO / CERAMICA, NAO ESMALTADA, TIPO COLONIAL, CANAL, PLAN, PAULISTA, COMPRIMENTO DE *44 A 50* CM, RENDIMENTO DE COBERTURA DE *26* TELHAS/M2</t>
  </si>
  <si>
    <t>MIL</t>
  </si>
  <si>
    <t xml:space="preserve"> 87337 </t>
  </si>
  <si>
    <t>ARGAMASSA TRAÇO 1:2:9 (EM VOLUME DE CIMENTO, CAL E AREIA MÉDIA ÚMIDA) PARA EMBOÇO/MASSA ÚNICA/ASSENTAMENTO DE ALVENARIA DE VEDAÇÃO, PREPARO MECÂNICO COM MISTURADOR DE EIXO HORIZONTAL DE 300 KG. AF_08/2019</t>
  </si>
  <si>
    <t xml:space="preserve"> 00007181 </t>
  </si>
  <si>
    <t>CUMEEIRA PARA TELHA CERAMICA, COMPRIMENTO DE *41* CM, RENDIMENTO DE *3* TELHAS/M</t>
  </si>
  <si>
    <t xml:space="preserve"> 2414 </t>
  </si>
  <si>
    <t>Vassoura piaçava un</t>
  </si>
  <si>
    <t xml:space="preserve"> 1997 </t>
  </si>
  <si>
    <t>Sabão em pó kg</t>
  </si>
  <si>
    <t>REFORMA DA ESCOLA LAFAYETE NUNES MACHADO</t>
  </si>
  <si>
    <t>MOCINHA BARBALHO</t>
  </si>
  <si>
    <t xml:space="preserve">SINAPI - 01/2023 - Pernambuco
</t>
  </si>
  <si>
    <t xml:space="preserve"> 1.2 </t>
  </si>
  <si>
    <t xml:space="preserve"> 93358 </t>
  </si>
  <si>
    <t>ESCAVAÇÃO MANUAL DE VALA COM PROFUNDIDADE MENOR OU IGUAL A 1,30 M. AF_02/2021</t>
  </si>
  <si>
    <t xml:space="preserve"> 1.3 </t>
  </si>
  <si>
    <t xml:space="preserve"> 96620 </t>
  </si>
  <si>
    <t>LASTRO DE CONCRETO MAGRO, APLICADO EM PISOS, LAJES SOBRE SOLO OU RADIERS. AF_08/2017</t>
  </si>
  <si>
    <t>FUNDAÇÃO</t>
  </si>
  <si>
    <t xml:space="preserve"> 96545 </t>
  </si>
  <si>
    <t>ARMAÇÃO DE BLOCO, VIGA BALDRAME OU SAPATA UTILIZANDO AÇO CA-50 DE 8 MM - MONTAGEM. AF_06/2017</t>
  </si>
  <si>
    <t xml:space="preserve"> 96538 </t>
  </si>
  <si>
    <t>FABRICAÇÃO, MONTAGEM E DESMONTAGEM DE FÔRMA PARA SAPATA, EM CHAPA DE MADEIRA COMPENSADA RESINADA, E=17 MM, 2 UTILIZAÇÕES. AF_06/2017</t>
  </si>
  <si>
    <t xml:space="preserve"> 2.3 </t>
  </si>
  <si>
    <t xml:space="preserve"> 96558 </t>
  </si>
  <si>
    <t>CONCRETAGEM DE SAPATAS, FCK 30 MPA, COM USO DE BOMBA  LANÇAMENTO, ADENSAMENTO E ACABAMENTO. AF_11/2016</t>
  </si>
  <si>
    <t xml:space="preserve"> 2.4 </t>
  </si>
  <si>
    <t xml:space="preserve"> 96543 </t>
  </si>
  <si>
    <t>ARMAÇÃO DE BLOCO, VIGA BALDRAME E SAPATA UTILIZANDO AÇO CA-60 DE 5 MM - MONTAGEM. AF_06/2017</t>
  </si>
  <si>
    <t xml:space="preserve"> 2.5 </t>
  </si>
  <si>
    <t xml:space="preserve"> 96557 </t>
  </si>
  <si>
    <t>CONCRETAGEM DE BLOCOS DE COROAMENTO E VIGAS BALDRAMES, FCK 30 MPA, COM USO DE BOMBA  LANÇAMENTO, ADENSAMENTO E ACABAMENTO. AF_06/2017</t>
  </si>
  <si>
    <t>SUPERESTRUTURA</t>
  </si>
  <si>
    <t xml:space="preserve"> 92762 </t>
  </si>
  <si>
    <t>ARMAÇÃO DE PILAR OU VIGA DE ESTRUTURA CONVENCIONAL DE CONCRETO ARMADO UTILIZANDO AÇO CA-50 DE 10,0 MM - MONTAGEM. AF_06/2022</t>
  </si>
  <si>
    <t xml:space="preserve"> 3.2 </t>
  </si>
  <si>
    <t xml:space="preserve"> 92759 </t>
  </si>
  <si>
    <t>ARMAÇÃO DE PILAR OU VIGA DE ESTRUTURA CONVENCIONAL DE CONCRETO ARMADO UTILIZANDO AÇO CA-60 DE 5,0 MM - MONTAGEM. AF_06/2022</t>
  </si>
  <si>
    <t xml:space="preserve"> 3.3 </t>
  </si>
  <si>
    <t xml:space="preserve"> 103672 </t>
  </si>
  <si>
    <t>CONCRETAGEM DE PILARES, FCK = 25 MPA, COM USO DE BOMBA - LANÇAMENTO, ADENSAMENTO E ACABAMENTO. AF_02/2022</t>
  </si>
  <si>
    <t xml:space="preserve"> 3.4 </t>
  </si>
  <si>
    <t xml:space="preserve"> 92480 </t>
  </si>
  <si>
    <t>MONTAGEM E DESMONTAGEM DE FÔRMA DE VIGA, ESCORAMENTO METÁLICO, PÉ-DIREITO SIMPLES, EM CHAPA DE MADEIRA PLASTIFICADA, 18 UTILIZAÇÕES. AF_09/2020</t>
  </si>
  <si>
    <t xml:space="preserve"> 4.3 </t>
  </si>
  <si>
    <t xml:space="preserve"> COMP8 </t>
  </si>
  <si>
    <t>PISO DE BLOCOS (LAJOTA) HEXAGONAIS (SEXTAVADO) DE CONCRETO FCK=15MPA E = 8CM CONCRETO SOBRE COLCHÃO DE AREIA</t>
  </si>
  <si>
    <t>REVESTIMENTO E PINTURA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</si>
  <si>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</si>
  <si>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</si>
  <si>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88497 </t>
  </si>
  <si>
    <t>APLICAÇÃO E LIXAMENTO DE MASSA LÁTEX EM PAREDES, DUAS DEMÃOS. AF_06/2014</t>
  </si>
  <si>
    <t xml:space="preserve"> 88415 </t>
  </si>
  <si>
    <t>APLICAÇÃO MANUAL DE FUNDO SELADOR ACRÍLICO EM PAREDES EXTERNAS DE CASAS. AF_06/2014</t>
  </si>
  <si>
    <t xml:space="preserve"> 95626 </t>
  </si>
  <si>
    <t>APLICAÇÃO MANUAL DE TINTA LÁTEX ACRÍLICA EM PAREDE EXTERNAS DE CASAS, DUAS DEMÃOS. AF_11/2016</t>
  </si>
  <si>
    <t xml:space="preserve"> COMP9 </t>
  </si>
  <si>
    <t>REVISÃO DE PONTO DE LUZ TIPO 3, EM TETO OU PAREDE</t>
  </si>
  <si>
    <t xml:space="preserve"> 97610 </t>
  </si>
  <si>
    <t>LÂMPADA COMPACTA DE LED 10 W, BASE E27 - FORNECIMENTO E INSTALAÇÃO. AF_02/2020</t>
  </si>
  <si>
    <t xml:space="preserve"> 92541 </t>
  </si>
  <si>
    <t>TRAMA DE MADEIRA COMPOSTA POR RIPAS, CAIBROS E TERÇAS PARA TELHADOS DE ATÉ 2 ÁGUAS PARA TELHA CERÂMICA CAPA-CANAL, INCLUSO TRANSPORTE VERTICAL. AF_07/2019</t>
  </si>
  <si>
    <t xml:space="preserve"> 94201 </t>
  </si>
  <si>
    <t>TELHAMENTO COM TELHA CERÂMICA CAPA-CANAL, TIPO COLONIAL, COM ATÉ 2 ÁGUAS, INCLUSO TRANSPORTE VERTICAL. AF_07/2019</t>
  </si>
  <si>
    <t xml:space="preserve"> 7.3 </t>
  </si>
  <si>
    <t xml:space="preserve"> COMP10 </t>
  </si>
  <si>
    <t>CALHA EM CHAPA DE ALUMINIO, DESENVOLVIMENTO 160 CM</t>
  </si>
  <si>
    <t xml:space="preserve"> 7.4 </t>
  </si>
  <si>
    <t xml:space="preserve"> 89512 </t>
  </si>
  <si>
    <t>TUBO PVC, SÉRIE R, ÁGUA PLUVIAL, DN 100 MM, FORNECIDO E INSTALADO EM RAMAL DE ENCAMINHAMENTO. AF_06/2022</t>
  </si>
  <si>
    <t xml:space="preserve"> 7.5 </t>
  </si>
  <si>
    <t xml:space="preserve"> 7.6 </t>
  </si>
  <si>
    <t xml:space="preserve"> 8.2 </t>
  </si>
  <si>
    <t>AMPLIAÇÃO DA ESCOLA MOCINHA BARBALHO</t>
  </si>
  <si>
    <t>MOVT - MOVIMENTO DE TERRA</t>
  </si>
  <si>
    <t xml:space="preserve"> 94968 </t>
  </si>
  <si>
    <t>CONCRETO MAGRO PARA LASTRO, TRAÇO 1:4,5:4,5 (EM MASSA SECA DE CIMENTO/ AREIA MÉDIA/ BRITA 1) - PREPARO MECÂNICO COM BETONEIRA 600 L. AF_05/2021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</si>
  <si>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</si>
  <si>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</si>
  <si>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</si>
  <si>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</si>
  <si>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92802 </t>
  </si>
  <si>
    <t>CORTE E DOBRA DE AÇO CA-50, DIÂMETRO DE 8,0 MM. AF_06/2022</t>
  </si>
  <si>
    <t xml:space="preserve"> 00039017 </t>
  </si>
  <si>
    <t>ESPACADOR / DISTANCIADOR CIRCULAR COM ENTRADA LATERAL, EM PLASTICO, PARA VERGALHAO *4,2 A 12,5* MM, COBRIMENTO 20 MM</t>
  </si>
  <si>
    <t xml:space="preserve"> 88239 </t>
  </si>
  <si>
    <t>AJUDANTE DE CARPINTEIRO COM ENCARGOS COMPLEMENTARES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</si>
  <si>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</si>
  <si>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</si>
  <si>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</si>
  <si>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</si>
  <si>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00001358 </t>
  </si>
  <si>
    <t>CHAPA/PAINEL DE MADEIRA COMPENSADA RESINADA (MADEIRITE RESINADO ROSA) PARA FORMA DE CONCRETO, DE 2200 x 1100 MM, E = 17 MM</t>
  </si>
  <si>
    <t xml:space="preserve"> 00004491 </t>
  </si>
  <si>
    <t>PONTALETE *7,5 X 7,5* CM EM PINUS, MISTA OU EQUIVALENTE DA REGIAO - BRUTA</t>
  </si>
  <si>
    <t xml:space="preserve"> 00005073 </t>
  </si>
  <si>
    <t>PREGO DE ACO POLIDO COM CABECA 17 X 24 (2 1/4 X 11)</t>
  </si>
  <si>
    <t xml:space="preserve"> 00005074 </t>
  </si>
  <si>
    <t>PREGO DE ACO POLIDO COM CABECA 15 X 18 (1 1/2 X 13)</t>
  </si>
  <si>
    <t xml:space="preserve"> 00020247 </t>
  </si>
  <si>
    <t>PREGO DE ACO POLIDO COM CABECA 15 X 15 (1 1/4 X 13)</t>
  </si>
  <si>
    <t xml:space="preserve"> 00040304 </t>
  </si>
  <si>
    <t>PREGO DE ACO POLIDO COM CABECA DUPLA 17 X 27 (2 1/2 X 11)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</si>
  <si>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</si>
  <si>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</si>
  <si>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</si>
  <si>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</si>
  <si>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00001525 </t>
  </si>
  <si>
    <t>CONCRETO USINADO BOMBEAVEL, CLASSE DE RESISTENCIA C30, COM BRITA 0 E 1, SLUMP = 100 +/- 20 MM, INCLUI SERVICO DE BOMBEAMENTO (NBR 8953)</t>
  </si>
  <si>
    <t xml:space="preserve"> 92800 </t>
  </si>
  <si>
    <t>CORTE E DOBRA DE AÇO CA-60, DIÂMETRO DE 5,0 MM. AF_06/2022</t>
  </si>
  <si>
    <t xml:space="preserve"> 92803 </t>
  </si>
  <si>
    <t>CORTE E DOBRA DE AÇO CA-50, DIÂMETRO DE 10,0 MM. AF_06/2022</t>
  </si>
  <si>
    <t xml:space="preserve"> 00001527 </t>
  </si>
  <si>
    <t>CONCRETO USINADO BOMBEAVEL, CLASSE DE RESISTENCIA C25, COM BRITA 0 E 1, SLUMP = 100 +/- 20 MM, INCLUI SERVICO DE BOMBEAMENTO (NBR 8953)</t>
  </si>
  <si>
    <t xml:space="preserve"> 92266 </t>
  </si>
  <si>
    <t>FABRICAÇÃO DE FÔRMA PARA VIGAS, EM CHAPA DE MADEIRA COMPENSADA PLASTIFICADA, E = 18 MM. AF_09/2020</t>
  </si>
  <si>
    <t xml:space="preserve"> 00010749 </t>
  </si>
  <si>
    <t>LOCACAO DE ESCORA METALICA TELESCOPICA, COM ALTURA REGULAVEL DE *1,80* A *3,20* M, COM CAPACIDADE DE CARGA DE NO MINIMO 1000 KGF (10 KN), INCLUSO TRIPE E FORCADO</t>
  </si>
  <si>
    <t>MES</t>
  </si>
  <si>
    <t xml:space="preserve"> 00040275 </t>
  </si>
  <si>
    <t>LOCACAO DE VIGA SANDUICHE METALICA VAZADA PARA TRAVAMENTO DE PILARES, ALTURA DE *8* CM, LARGURA DE *6* CM E EXTENSAO DE 2 M</t>
  </si>
  <si>
    <t xml:space="preserve"> 00040287 </t>
  </si>
  <si>
    <t>LOCACAO DE BARRA DE ANCORAGEM DE 0,80 A 1,20 M DE EXTENSAO, COM ROSCA DE 5/8", INCLUINDO PORCA E FLANGE</t>
  </si>
  <si>
    <t xml:space="preserve"> 00040339 </t>
  </si>
  <si>
    <t>LOCACAO DE CRUZETA PARA ESCORA METALICA</t>
  </si>
  <si>
    <t xml:space="preserve"> 88260 </t>
  </si>
  <si>
    <t>CALCETEIRO COM ENCARGOS COMPLEMENTARES</t>
  </si>
  <si>
    <t xml:space="preserve"> 00000366 </t>
  </si>
  <si>
    <t>AREIA FINA - POSTO JAZIDA/FORNECEDOR (RETIRADO NA JAZIDA, SEM TRANSPORTE)</t>
  </si>
  <si>
    <t xml:space="preserve"> 1292 </t>
  </si>
  <si>
    <t>Piso de concreto vibro prensado, intertravado, cor natural, hexagonal, dim.: 25 x 29cm, (18un/m2), e=8cm, NBR9781,  Fck(min)=35MPa un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</si>
  <si>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</si>
  <si>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</si>
  <si>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00003767 </t>
  </si>
  <si>
    <t>LIXA EM FOLHA PARA PAREDE OU MADEIRA, NUMERO 120, COR VERMELHA</t>
  </si>
  <si>
    <t xml:space="preserve"> 00043626 </t>
  </si>
  <si>
    <t>MASSA CORRIDA PARA SUPERFICIES DE AMBIENTES INTERNOS</t>
  </si>
  <si>
    <t xml:space="preserve"> 00006085 </t>
  </si>
  <si>
    <t>SELADOR ACRILICO OPACO PREMIUM INTERIOR/EXTERIOR</t>
  </si>
  <si>
    <t xml:space="preserve"> 00007356 </t>
  </si>
  <si>
    <t>TINTA LATEX ACRILICA PREMIUM, COR BRANCO FOSCO</t>
  </si>
  <si>
    <t xml:space="preserve"> 00011891 </t>
  </si>
  <si>
    <t>CORDAO DE COBRE, FLEXIVEL, TORCIDO, CLASSE 4 OU 5, ISOLACAO EM PVC/D, 300 V, 2 CONDUTORES DE 2,5 MM2</t>
  </si>
  <si>
    <t xml:space="preserve"> 00002673 </t>
  </si>
  <si>
    <t>ELETRODUTO DE PVC RIGIDO ROSCAVEL DE 1/2 ", SEM LUVA</t>
  </si>
  <si>
    <t>INEL - INSTALAÇÃO ELÉTRICA/ELETRIFICAÇÃO E ILUMINAÇÃO EXTERNA</t>
  </si>
  <si>
    <t xml:space="preserve"> 88247 </t>
  </si>
  <si>
    <t>AUXILIAR DE ELETRICISTA COM ENCARGOS COMPLEMENTARES</t>
  </si>
  <si>
    <t xml:space="preserve"> 00012295 </t>
  </si>
  <si>
    <t>SOQUETE DE BAQUELITE BASE E27, PARA LAMPADAS</t>
  </si>
  <si>
    <t xml:space="preserve"> 00038194 </t>
  </si>
  <si>
    <t>LAMPADA LED 10 W BIVOLT BRANCA, FORMATO TRADICIONAL (BASE E27)</t>
  </si>
  <si>
    <t xml:space="preserve"> 00004408 </t>
  </si>
  <si>
    <t>RIPA NAO APARELHADA,  *1,5 X 5* CM, EM MACARANDUBA, ANGELIM OU EQUIVALENTE DA REGIAO -  BRUTA</t>
  </si>
  <si>
    <t xml:space="preserve"> 00004425 </t>
  </si>
  <si>
    <t>VIGA NAO APARELHADA  *6 X 12* CM, EM MACARANDUBA, ANGELIM OU EQUIVALENTE DA REGIAO - BRUTA</t>
  </si>
  <si>
    <t xml:space="preserve"> 00004430 </t>
  </si>
  <si>
    <t>CAIBRO NAO APARELHADO *5 X 6* CM, EM MACARANDUBA, ANGELIM OU EQUIVALENTE DA REGIAO -  BRUTA</t>
  </si>
  <si>
    <t xml:space="preserve"> 00039027 </t>
  </si>
  <si>
    <t>PREGO DE ACO POLIDO COM CABECA 19  X 36 (3 1/4  X  9)</t>
  </si>
  <si>
    <t xml:space="preserve"> 00040568 </t>
  </si>
  <si>
    <t>PREGO DE ACO POLIDO COM CABECA 22 X 48 (4 1/4 X 5)</t>
  </si>
  <si>
    <t xml:space="preserve"> 9365 </t>
  </si>
  <si>
    <t>Calha em chapa de aluminio, desenvolvimento 160cm m</t>
  </si>
  <si>
    <t>m</t>
  </si>
  <si>
    <t xml:space="preserve"> 88248 </t>
  </si>
  <si>
    <t>AUXILIAR DE ENCANADOR OU BOMBEIRO HIDRÁULICO COM ENCARGOS COMPLEMENTARES</t>
  </si>
  <si>
    <t xml:space="preserve"> 00009841 </t>
  </si>
  <si>
    <t>TUBO PVC, SERIE R, DN 100 MM, PARA ESGOTO OU AGUAS PLUVIAIS PREDIAL (NBR 5688)</t>
  </si>
  <si>
    <t xml:space="preserve"> 00038383 </t>
  </si>
  <si>
    <t>LIXA D'AGUA EM FOLHA, GRAO 100</t>
  </si>
  <si>
    <t>PATIO</t>
  </si>
  <si>
    <t>PISO PARA A SALA 5 ANO</t>
  </si>
  <si>
    <t>1.2</t>
  </si>
  <si>
    <t>SAPATAS</t>
  </si>
  <si>
    <t>BALDRAME</t>
  </si>
  <si>
    <t>COEF</t>
  </si>
  <si>
    <t>SAPTAS</t>
  </si>
  <si>
    <t>2.3</t>
  </si>
  <si>
    <t>2.4</t>
  </si>
  <si>
    <t>2.5</t>
  </si>
  <si>
    <t>PILARES</t>
  </si>
  <si>
    <t>3.2</t>
  </si>
  <si>
    <t>3.3</t>
  </si>
  <si>
    <t>3.4</t>
  </si>
  <si>
    <t>4.3</t>
  </si>
  <si>
    <t>7.3</t>
  </si>
  <si>
    <t>7.4</t>
  </si>
  <si>
    <t>7.5</t>
  </si>
  <si>
    <t>7.6</t>
  </si>
  <si>
    <t>SALA DOS PROFESSORES</t>
  </si>
  <si>
    <t>8.2</t>
  </si>
  <si>
    <t xml:space="preserve"> 97622 </t>
  </si>
  <si>
    <t>DEMOLIÇÃO DE ALVENARIA DE BLOCO FURADO, DE FORMA MANUAL, SEM REAPROVEITAMENTO. AF_12/2017</t>
  </si>
  <si>
    <t xml:space="preserve"> 1.4 </t>
  </si>
  <si>
    <t xml:space="preserve"> 94342 </t>
  </si>
  <si>
    <t>ATERRO MANUAL DE VALAS COM AREIA PARA ATERRO E COMPACTAÇÃO MECANIZADA. AF_05/2016</t>
  </si>
  <si>
    <t>ELEVAÇÃO</t>
  </si>
  <si>
    <t xml:space="preserve"> COMP14 </t>
  </si>
  <si>
    <t>ALVENARIA EMBASAMENTO TIJOLO CERAMICO FURADO 10X20X20 CM</t>
  </si>
  <si>
    <t xml:space="preserve"> 103329 </t>
  </si>
  <si>
    <t>ALVENARIA DE VEDAÇÃO DE BLOCOS CERÂMICOS FURADOS NA HORIZONTAL DE 9X19X19 CM (ESPESSURA 9 CM) E ARGAMASSA DE ASSENTAMENTO COM PREPARO MANUAL. AF_12/2021</t>
  </si>
  <si>
    <t>REVESTIMENTO</t>
  </si>
  <si>
    <t xml:space="preserve"> 87878 </t>
  </si>
  <si>
    <t>CHAPISCO APLICADO EM ALVENARIAS E ESTRUTURAS DE CONCRETO INTERNAS, COM COLHER DE PEDREIRO.  ARGAMASSA TRAÇO 1:3 COM PREPARO MANUAL. AF_10/2022</t>
  </si>
  <si>
    <t xml:space="preserve"> 101749 </t>
  </si>
  <si>
    <t>PISO CIMENTADO, TRAÇO 1:3 (CIMENTO E AREIA), ACABAMENTO LISO, ESPESSURA 4,0 CM, PREPARO MECÂNICO DA ARGAMASSA. AF_09/2020</t>
  </si>
  <si>
    <t xml:space="preserve"> 4.4 </t>
  </si>
  <si>
    <t xml:space="preserve"> 87247 </t>
  </si>
  <si>
    <t>REVESTIMENTO CERÂMICO PARA PISO COM PLACAS TIPO ESMALTADA EXTRA DE DIMENSÕES 35X35 CM APLICADA EM AMBIENTES DE ÁREA ENTRE 5 M2 E 10 M2. AF_06/2014</t>
  </si>
  <si>
    <t xml:space="preserve"> COMP15 </t>
  </si>
  <si>
    <t>PREPARO DE SUPERFÍCIE COM LIXAMENTO DE PAREDES E TETOS</t>
  </si>
  <si>
    <t xml:space="preserve"> 96135 </t>
  </si>
  <si>
    <t>APLICAÇÃO MANUAL DE MASSA ACRÍLICA EM PAREDES EXTERNAS DE CASAS, DUAS DEMÃOS. AF_05/2017</t>
  </si>
  <si>
    <t xml:space="preserve"> 5.5 </t>
  </si>
  <si>
    <t xml:space="preserve"> 102219 </t>
  </si>
  <si>
    <t>PINTURA TINTA DE ACABAMENTO (PIGMENTADA) ESMALTE SINTÉTICO ACETINADO EM MADEIRA, 2 DEMÃOS. AF_01/2021</t>
  </si>
  <si>
    <t xml:space="preserve"> 5.6 </t>
  </si>
  <si>
    <t xml:space="preserve"> 100757 </t>
  </si>
  <si>
    <t>PINTURA COM TINTA ALQUÍDICA DE ACABAMENTO (ESMALTE SINTÉTICO ACETINADO) PULVERIZADA SOBRE SUPERFÍCIES METÁLICAS (EXCETO PERFIL) EXECUTADO EM OBRA (02 DEMÃOS). AF_01/2020_PE</t>
  </si>
  <si>
    <t>INSTALÇAOES ELETRICAS</t>
  </si>
  <si>
    <t xml:space="preserve"> 93141 </t>
  </si>
  <si>
    <t>PONTO DE TOMADA RESIDENCIAL INCLUINDO TOMADA 10A/250V, CAIXA ELÉTRICA, ELETRODUTO, CABO, RASGO, QUEBRA E CHUMBAMENTO. AF_01/2016</t>
  </si>
  <si>
    <t xml:space="preserve"> 91926 </t>
  </si>
  <si>
    <t>CABO DE COBRE FLEXÍVEL ISOLADO, 2,5 MM², ANTI-CHAMA 450/750 V, PARA CIRCUITOS TERMINAIS - FORNECIMENTO E INSTALAÇÃO. AF_12/2015</t>
  </si>
  <si>
    <t xml:space="preserve"> 6.5 </t>
  </si>
  <si>
    <t xml:space="preserve"> 6.6 </t>
  </si>
  <si>
    <t>INSTALÇAOES HIDROSSANITARIAS</t>
  </si>
  <si>
    <t xml:space="preserve"> 100848 </t>
  </si>
  <si>
    <t>VASO SANITÁRIO INFANTIL LOUÇA BRANCA - FORNECIMENTO E INSTALACAO. AF_01/2020</t>
  </si>
  <si>
    <t xml:space="preserve"> 94796 </t>
  </si>
  <si>
    <t>TORNEIRA DE BOIA PARA CAIXA D'ÁGUA, ROSCÁVEL, 3/4" - FORNECIMENTO E INSTALAÇÃO. AF_08/2021</t>
  </si>
  <si>
    <t xml:space="preserve"> 86932 </t>
  </si>
  <si>
    <t>VASO SANITÁRIO SIFONADO COM CAIXA ACOPLADA LOUÇA BRANCA - PADRÃO MÉDIO, INCLUSO ENGATE FLEXÍVEL EM METAL CROMADO, 1/2  X 40CM - FORNECIMENTO E INSTALAÇÃO. AF_01/2020</t>
  </si>
  <si>
    <t xml:space="preserve"> 100860 </t>
  </si>
  <si>
    <t>CHUVEIRO ELÉTRICO COMUM CORPO PLÁSTICO, TIPO DUCHA  FORNECIMENTO E INSTALAÇÃO. AF_01/2020</t>
  </si>
  <si>
    <t xml:space="preserve"> 7.7 </t>
  </si>
  <si>
    <t xml:space="preserve"> 7.8 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</si>
  <si>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</si>
  <si>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</si>
  <si>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8.3 </t>
  </si>
  <si>
    <t xml:space="preserve"> 8.4 </t>
  </si>
  <si>
    <t xml:space="preserve"> 8.5 </t>
  </si>
  <si>
    <t xml:space="preserve"> 8.6 </t>
  </si>
  <si>
    <t xml:space="preserve"> 8.7 </t>
  </si>
  <si>
    <t xml:space="preserve"> 100393 </t>
  </si>
  <si>
    <t>RETIRADA E RECOLOCAÇÃO DE CAIBRO EM TELHADOS DE ATÉ 2 ÁGUAS COM TELHA CERÂMICA CAPA-CANAL, INCLUSO TRANSPORTE VERTICAL. AF_07/2019</t>
  </si>
  <si>
    <t xml:space="preserve"> 8.8 </t>
  </si>
  <si>
    <t xml:space="preserve"> 100394 </t>
  </si>
  <si>
    <t>RETIRADA E RECOLOCAÇÃO DE RIPA EM TELHADOS DE MAIS DE 2 ÁGUAS COM TELHA CERÂMICA CAPA-CANAL, INCLUSO TRANSPORTE VERTICAL. AF_07/2019</t>
  </si>
  <si>
    <t xml:space="preserve"> 9 </t>
  </si>
  <si>
    <t>ESQUADRIAS</t>
  </si>
  <si>
    <t xml:space="preserve"> 9.1 </t>
  </si>
  <si>
    <t xml:space="preserve"> 90843 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</si>
  <si>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</si>
  <si>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 xml:space="preserve"> 9.2 </t>
  </si>
  <si>
    <t xml:space="preserve"> 90842 </t>
  </si>
  <si>
    <t>KIT DE PORTA DE MADEIRA PARA PINTURA, SEMI-OCA (LEVE OU MÉDIA), PADRÃO MÉDIO, 70X210CM, ESPESSURA DE 3,5CM, ITENS INCLUSOS: DOBRADIÇAS, MONTAGEM E INSTALAÇÃO DO BATENTE, FECHADURA COM EXECUÇÃO DO FURO - FORNECIMENTO E INSTALAÇÃO. AF_12/2019</t>
  </si>
  <si>
    <t xml:space="preserve"> 9.3 </t>
  </si>
  <si>
    <t xml:space="preserve"> 90830 </t>
  </si>
  <si>
    <t>FECHADURA DE EMBUTIR COM CILINDRO, EXTERNA, COMPLETA, ACABAMENTO PADRÃO MÉDIO, INCLUSO EXECUÇÃO DE FURO - FORNECIMENTO E INSTALAÇÃO. AF_12/2019</t>
  </si>
  <si>
    <t xml:space="preserve"> 9.4 </t>
  </si>
  <si>
    <t xml:space="preserve"> COMP11 </t>
  </si>
  <si>
    <t>REVISÃO DE ESQUADRIA DE MADEIRA</t>
  </si>
  <si>
    <t xml:space="preserve"> 10 </t>
  </si>
  <si>
    <t xml:space="preserve"> 10.1 </t>
  </si>
  <si>
    <t xml:space="preserve"> 98557 </t>
  </si>
  <si>
    <t>IMPERMEABILIZAÇÃO DE SUPERFÍCIE COM EMULSÃO ASFÁLTICA, 2 DEMÃOS AF_06/2018</t>
  </si>
  <si>
    <t xml:space="preserve"> 10.2 </t>
  </si>
  <si>
    <t xml:space="preserve"> 10.3 </t>
  </si>
  <si>
    <t xml:space="preserve"> 99861 </t>
  </si>
  <si>
    <t>GRADIL EM FERRO FIXADO EM VÃOS DE JANELAS, FORMADO POR BARRAS CHATAS DE 25X4,8 MM. AF_04/2019</t>
  </si>
  <si>
    <t xml:space="preserve"> 10.4 </t>
  </si>
  <si>
    <t xml:space="preserve"> COMP12 </t>
  </si>
  <si>
    <t>PORTÃO EM TUBO DE AÇO GALVANIZADO COM QUADRO DE DN 1, E VERTICAIS DE DN 1/2</t>
  </si>
  <si>
    <t xml:space="preserve"> 10.5 </t>
  </si>
  <si>
    <t xml:space="preserve"> COMP13 </t>
  </si>
  <si>
    <t>PRATELEIRA EM COMPENSADO REVESTIDA COM FÓRMICA</t>
  </si>
  <si>
    <t xml:space="preserve"> 11 </t>
  </si>
  <si>
    <t xml:space="preserve"> 11.1 </t>
  </si>
  <si>
    <t>REFORMA DA CRECHE VOVO PESSOINHA, NO DISTRITO DE QUEBEC</t>
  </si>
  <si>
    <t>SERP - SERVIÇOS PRELIMINARES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</si>
  <si>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</si>
  <si>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</si>
  <si>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</si>
  <si>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</si>
  <si>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91533 </t>
  </si>
  <si>
    <t>COMPACTADOR DE SOLOS DE PERCUSSÃO (SOQUETE) COM MOTOR A GASOLINA 4 TEMPOS, POTÊNCIA 4 CV - CHP DIURNO. AF_08/2015</t>
  </si>
  <si>
    <t xml:space="preserve"> 91534 </t>
  </si>
  <si>
    <t>COMPACTADOR DE SOLOS DE PERCUSSÃO (SOQUETE) COM MOTOR A GASOLINA 4 TEMPOS, POTÊNCIA 4 CV - CHI DIURNO. AF_08/2015</t>
  </si>
  <si>
    <t xml:space="preserve"> 00000368 </t>
  </si>
  <si>
    <t>AREIA PARA ATERRO - POSTO JAZIDA/FORNECEDOR (RETIRADO NA JAZIDA, SEM TRANSPORTE)</t>
  </si>
  <si>
    <t xml:space="preserve"> 88631 </t>
  </si>
  <si>
    <t>ARGAMASSA TRAÇO 1:4 (EM VOLUME DE CIMENTO E AREIA MÉDIA ÚMIDA), PREPARO MANUAL. AF_08/2019</t>
  </si>
  <si>
    <t xml:space="preserve"> 00007271 </t>
  </si>
  <si>
    <t>BLOCO CERAMICO / TIJOLO VAZADO PARA ALVENARIA DE VEDACAO, 8 FUROS NA HORIZONTAL, DE 9 X 19 X 19 CM (L XA X C)</t>
  </si>
  <si>
    <t>PARE - PAREDES/PAINEIS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</si>
  <si>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</si>
  <si>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</si>
  <si>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00034557 </t>
  </si>
  <si>
    <t>TELA DE ACO SOLDADA GALVANIZADA/ZINCADA PARA ALVENARIA, FIO D = *1,20 A 1,70* MM, MALHA 15 X 15 MM, (C X L) *50 X 7,5* CM</t>
  </si>
  <si>
    <t xml:space="preserve"> 00037395 </t>
  </si>
  <si>
    <t>PINO DE ACO COM FURO, HASTE = 27 MM (ACAO DIRETA)</t>
  </si>
  <si>
    <t xml:space="preserve"> 87377 </t>
  </si>
  <si>
    <t>ARGAMASSA TRAÇO 1:3 (EM VOLUME DE CIMENTO E AREIA GROSSA ÚMIDA) PARA CHAPISCO CONVENCIONAL, PREPARO MANUAL. AF_08/2019</t>
  </si>
  <si>
    <t xml:space="preserve"> 87298 </t>
  </si>
  <si>
    <t>ARGAMASSA TRAÇO 1:3 (EM VOLUME DE CIMENTO E AREIA MÉDIA ÚMIDA) PARA CONTRAPISO, PREPARO MECÂNICO COM BETONEIRA 400 L. AF_08/2019</t>
  </si>
  <si>
    <t xml:space="preserve"> 00003671 </t>
  </si>
  <si>
    <t>JUNTA PLASTICA DE DILATACAO PARA PISOS, COR CINZA, 17 X 3 MM (ALTURA X ESPESSURA)</t>
  </si>
  <si>
    <t xml:space="preserve"> 88256 </t>
  </si>
  <si>
    <t>AZULEJISTA OU LADRILHISTA COM ENCARGOS COMPLEMENTARES</t>
  </si>
  <si>
    <t xml:space="preserve"> 00001287 </t>
  </si>
  <si>
    <t>PISO EM CERAMICA ESMALTADA EXTRA, PEI MAIOR OU IGUAL A 4, FORMATO MENOR OU IGUAL A 2025 CM2</t>
  </si>
  <si>
    <t xml:space="preserve"> 00001381 </t>
  </si>
  <si>
    <t>ARGAMASSA COLANTE AC I PARA CERAMICAS</t>
  </si>
  <si>
    <t xml:space="preserve"> 00034357 </t>
  </si>
  <si>
    <t>REJUNTE CIMENTICIO, QUALQUER COR</t>
  </si>
  <si>
    <t xml:space="preserve"> 00043651 </t>
  </si>
  <si>
    <t>MASSA ACRILICA PARA SUPERFICIES INTERNAS E EXTERNAS</t>
  </si>
  <si>
    <t xml:space="preserve"> 00005318 </t>
  </si>
  <si>
    <t>DILUENTE AGUARRAS</t>
  </si>
  <si>
    <t xml:space="preserve"> 00007311 </t>
  </si>
  <si>
    <t>TINTA ESMALTE SINTETICO PREMIUM ACETINADO</t>
  </si>
  <si>
    <t xml:space="preserve"> 90447 </t>
  </si>
  <si>
    <t>RASGO EM ALVENARIA PARA ELETRODUTOS COM DIAMETROS MENORES OU IGUAIS A 40 MM. AF_05/2015</t>
  </si>
  <si>
    <t xml:space="preserve"> 90456 </t>
  </si>
  <si>
    <t>QUEBRA EM ALVENARIA PARA INSTALAÇÃO DE CAIXA DE TOMADA (4X4 OU 4X2). AF_05/2015</t>
  </si>
  <si>
    <t xml:space="preserve"> 90466 </t>
  </si>
  <si>
    <t>CHUMBAMENTO LINEAR EM ALVENARIA PARA RAMAIS/DISTRIBUIÇÃO COM DIÂMETROS MENORES OU IGUAIS A 40 MM. AF_05/2015</t>
  </si>
  <si>
    <t xml:space="preserve"> 91842 </t>
  </si>
  <si>
    <t>ELETRODUTO FLEXÍVEL CORRUGADO, PVC, DN 20 MM (1/2"), PARA CIRCUITOS TERMINAIS, INSTALADO EM LAJE - FORNECIMENTO E INSTALAÇÃO. AF_12/2015</t>
  </si>
  <si>
    <t xml:space="preserve"> 91852 </t>
  </si>
  <si>
    <t>ELETRODUTO FLEXÍVEL CORRUGADO, PVC, DN 20 MM (1/2"), PARA CIRCUITOS TERMINAIS, INSTALADO EM PAREDE - FORNECIMENTO E INSTALAÇÃO. AF_12/2015</t>
  </si>
  <si>
    <t xml:space="preserve"> 91937 </t>
  </si>
  <si>
    <t>CAIXA OCTOGONAL 3" X 3", PVC, INSTALADA EM LAJE - FORNECIMENTO E INSTALAÇÃO. AF_12/2015</t>
  </si>
  <si>
    <t xml:space="preserve"> 91940 </t>
  </si>
  <si>
    <t>CAIXA RETANGULAR 4" X 2" MÉDIA (1,30 M DO PISO), PVC, INSTALADA EM PAREDE - FORNECIMENTO E INSTALAÇÃO. AF_12/2015</t>
  </si>
  <si>
    <t xml:space="preserve"> 91996 </t>
  </si>
  <si>
    <t>TOMADA MÉDIA DE EMBUTIR (1 MÓDULO), 2P+T 10 A, INCLUINDO SUPORTE E PLACA - FORNECIMENTO E INSTALAÇÃO. AF_12/2015</t>
  </si>
  <si>
    <t xml:space="preserve"> 00001014 </t>
  </si>
  <si>
    <t>CABO DE COBRE, FLEXIVEL, CLASSE 4 OU 5, ISOLACAO EM PVC/A, ANTICHAMA BWF-B, 1 CONDUTOR, 450/750 V, SECAO NOMINAL 2,5 MM2</t>
  </si>
  <si>
    <t xml:space="preserve"> 00021127 </t>
  </si>
  <si>
    <t>FITA ISOLANTE ADESIVA ANTICHAMA, USO ATE 750 V, EM ROLO DE 19 MM X 5 M</t>
  </si>
  <si>
    <t xml:space="preserve"> 00004384 </t>
  </si>
  <si>
    <t>PARAFUSO NIQUELADO COM ACABAMENTO CROMADO PARA FIXAR PECA SANITARIA, INCLUI PORCA CEGA, ARRUELA E BUCHA DE NYLON TAMANHO S-10</t>
  </si>
  <si>
    <t xml:space="preserve"> 00006138 </t>
  </si>
  <si>
    <t>ANEL DE VEDACAO, PVC FLEXIVEL, 100 MM, PARA SAIDA DE BACIA / VASO SANITARIO</t>
  </si>
  <si>
    <t xml:space="preserve"> 00011786 </t>
  </si>
  <si>
    <t>BACIA SANITARIA (VASO) INFANTIL, SIFONADO, DE LOUCA BRANCA, (SEM ASSENTO)</t>
  </si>
  <si>
    <t xml:space="preserve"> 00037329 </t>
  </si>
  <si>
    <t>REJUNTE EPOXI, QUALQUER COR</t>
  </si>
  <si>
    <t xml:space="preserve"> 00003148 </t>
  </si>
  <si>
    <t>FITA VEDA ROSCA EM ROLOS DE 18 MM X 50 M (L X C)</t>
  </si>
  <si>
    <t xml:space="preserve"> 00011830 </t>
  </si>
  <si>
    <t>TORNEIRA DE BOIA CONVENCIONAL PARA CAIXA D'AGUA, AGUA FRIA, 3/4", COM HASTE E TORNEIRA METALICOS E BALAO PLASTICO</t>
  </si>
  <si>
    <t xml:space="preserve"> 86887 </t>
  </si>
  <si>
    <t>ENGATE FLEXÍVEL EM INOX, 1/2  X 40CM - FORNECIMENTO E INSTALAÇÃO. AF_01/2020</t>
  </si>
  <si>
    <t xml:space="preserve"> 86888 </t>
  </si>
  <si>
    <t>VASO SANITÁRIO SIFONADO COM CAIXA ACOPLADA LOUÇA BRANCA - FORNECIMENTO E INSTALAÇÃO. AF_01/2020</t>
  </si>
  <si>
    <t xml:space="preserve"> 00001368 </t>
  </si>
  <si>
    <t>CHUVEIRO COMUM EM PLASTICO BRANCO, COM CANO, 3 TEMPERATURAS, 5500 W (110/220 V)</t>
  </si>
  <si>
    <t xml:space="preserve"> 89356 </t>
  </si>
  <si>
    <t>TUBO, PVC, SOLDÁVEL, DN 25MM, INSTALADO EM RAMAL OU SUB-RAMAL DE ÁGUA - FORNECIMENTO E INSTALAÇÃO. AF_06/2022</t>
  </si>
  <si>
    <t xml:space="preserve"> 89362 </t>
  </si>
  <si>
    <t>JOELHO 90 GRAUS, PVC, SOLDÁVEL, DN 25MM, INSTALADO EM RAMAL OU SUB-RAMAL DE ÁGUA - FORNECIMENTO E INSTALAÇÃO. AF_06/2022</t>
  </si>
  <si>
    <t xml:space="preserve"> 89366 </t>
  </si>
  <si>
    <t>JOELHO 90 GRAUS COM BUCHA DE LATÃO, PVC, SOLDÁVEL, DN 25MM, X 3/4  INSTALADO EM RAMAL OU SUB-RAMAL DE ÁGUA - FORNECIMENTO E INSTALAÇÃO. AF_06/2022</t>
  </si>
  <si>
    <t xml:space="preserve"> 89395 </t>
  </si>
  <si>
    <t>TE, PVC, SOLDÁVEL, DN 25MM, INSTALADO EM RAMAL OU SUB-RAMAL DE ÁGUA - FORNECIMENTO E INSTALAÇÃO. AF_06/2022</t>
  </si>
  <si>
    <t xml:space="preserve"> 90443 </t>
  </si>
  <si>
    <t>RASGO EM ALVENARIA PARA RAMAIS/ DISTRIBUIÇÃO COM DIAMETROS MENORES OU IGUAIS A 40 MM. AF_05/2015</t>
  </si>
  <si>
    <t>ESQV - ESQUADRIAS/FERRAGENS/VIDROS</t>
  </si>
  <si>
    <t xml:space="preserve"> 100659 </t>
  </si>
  <si>
    <t>ALIZAR DE 5X1,5CM PARA PORTA FIXADO COM PREGOS, PADRÃO MÉDIO - FORNECIMENTO E INSTALAÇÃO. AF_12/2019</t>
  </si>
  <si>
    <t xml:space="preserve"> 90806 </t>
  </si>
  <si>
    <t>BATENTE PARA PORTA DE MADEIRA, FIXAÇÃO COM ARGAMASSA, PADRÃO MÉDIO - FORNECIMENTO E INSTALAÇÃO. AF_12/2019</t>
  </si>
  <si>
    <t xml:space="preserve"> 90822 </t>
  </si>
  <si>
    <t>PORTA DE MADEIRA PARA PINTURA, SEMI-OCA (LEVE OU MÉDIA), 80X210CM, ESPESSURA DE 3,5CM, INCLUSO DOBRADIÇAS - FORNECIMENTO E INSTALAÇÃO. AF_12/2019</t>
  </si>
  <si>
    <t xml:space="preserve"> 90821 </t>
  </si>
  <si>
    <t>PORTA DE MADEIRA PARA PINTURA, SEMI-OCA (LEVE OU MÉDIA), 70X210CM, ESPESSURA DE 3,5CM, INCLUSO DOBRADIÇAS - FORNECIMENTO E INSTALAÇÃO. AF_12/2019</t>
  </si>
  <si>
    <t xml:space="preserve"> 91306 </t>
  </si>
  <si>
    <t>FECHADURA DE EMBUTIR PARA PORTAS INTERNAS, COMPLETA, ACABAMENTO PADRÃO MÉDIO, COM EXECUÇÃO DE FURO - FORNECIMENTO E INSTALAÇÃO. AF_12/2019</t>
  </si>
  <si>
    <t xml:space="preserve"> 88261 </t>
  </si>
  <si>
    <t>CARPINTEIRO DE ESQUADRIA COM ENCARGOS COMPLEMENTARES</t>
  </si>
  <si>
    <t xml:space="preserve"> 00003081 </t>
  </si>
  <si>
    <t>FECHADURA ESPELHO PARA PORTA EXTERNA, EM ACO INOX (MAQUINA, TESTA E CONTRA-TESTA) E EM ZAMAC (MACANETA, LINGUETA E TRINCOS) COM ACABAMENTO CROMADO, MAQUINA DE 55 MM, INCLUINDO CHAVE TIPO CILINDRO</t>
  </si>
  <si>
    <t>CJ</t>
  </si>
  <si>
    <t xml:space="preserve"> 487 </t>
  </si>
  <si>
    <t>Batente (caixão) em madeira de lei, l=14cm, completo, c/02 jogos de alizar m</t>
  </si>
  <si>
    <t xml:space="preserve"> 843 </t>
  </si>
  <si>
    <t>Dobradiça aço laminado,tipo reforçado, 3.1/2" x 2.1/2, esp.2.4 mm (Lider ou similar) un</t>
  </si>
  <si>
    <t xml:space="preserve"> 1560 </t>
  </si>
  <si>
    <t>Faixa de madeira de lei (muiracatiara) aparelhada 10 x 2,5cm (0,0025 m³/m) m</t>
  </si>
  <si>
    <t xml:space="preserve"> 1690 </t>
  </si>
  <si>
    <t>Parafuso de metal 2 " x 12 (sextavado) Parafuso metal 2 " x 12 un</t>
  </si>
  <si>
    <t xml:space="preserve"> 13330 </t>
  </si>
  <si>
    <t>Fechadura Pado, linha residence, maçaneta em zamac, testa e contra testa em aço inoxidável, cilindro em zamac, ref.401 E, cromada, ou similar Fechadura Pado, linha residence, maçaneta em zamac, testa e contra testa em aço inoxidável, cilindro em zamac, ref.401 E, cromada,  ou similar un</t>
  </si>
  <si>
    <t>IMPE - IMPERMEABILIZAÇÕES E PROTEÇÕES DIVERSAS</t>
  </si>
  <si>
    <t xml:space="preserve"> 88243 </t>
  </si>
  <si>
    <t>AJUDANTE ESPECIALIZADO COM ENCARGOS COMPLEMENTARES</t>
  </si>
  <si>
    <t xml:space="preserve"> 88270 </t>
  </si>
  <si>
    <t>IMPERMEABILIZADOR COM ENCARGOS COMPLEMENTARES</t>
  </si>
  <si>
    <t xml:space="preserve"> 00000626 </t>
  </si>
  <si>
    <t>MANTA LIQUIDA DE BASE ASFALTICA MODIFICADA COM A ADICAO DE ELASTOMEROS DILUIDOS EM SOLVENTE ORGANICO, APLICACAO A FRIO (MEMBRANA IMPERMEABILIZANTE ASFASTICA)</t>
  </si>
  <si>
    <t xml:space="preserve"> 88251 </t>
  </si>
  <si>
    <t>AUXILIAR DE SERRALHEIRO COM ENCARGOS COMPLEMENTARES</t>
  </si>
  <si>
    <t xml:space="preserve"> 88629 </t>
  </si>
  <si>
    <t>ARGAMASSA TRAÇO 1:3 (EM VOLUME DE CIMENTO E AREIA MÉDIA ÚMIDA), PREPARO MANUAL. AF_08/2019</t>
  </si>
  <si>
    <t xml:space="preserve"> 00000565 </t>
  </si>
  <si>
    <t>BARRA DE ACO CHATO, RETANGULAR, 25,4 MM X 4,76 MM (L X E), 1,73 KG/M</t>
  </si>
  <si>
    <t xml:space="preserve"> 00004777 </t>
  </si>
  <si>
    <t>CANTONEIRA ACO ABAS IGUAIS (QUALQUER BITOLA), ESPESSURA ENTRE 1/8" E 1/4"</t>
  </si>
  <si>
    <t xml:space="preserve"> 00011002 </t>
  </si>
  <si>
    <t>ELETRODO REVESTIDO AWS - E6013, DIAMETRO IGUAL A 2,50 MM</t>
  </si>
  <si>
    <t xml:space="preserve"> 2311 </t>
  </si>
  <si>
    <t>Tubo de aço galvanizado leve c/ costura c/ rosca BSP Ø =  21,3mm (1/2"), e = 2,25mm, l = 6000mm NBR 5580 m</t>
  </si>
  <si>
    <t>barra</t>
  </si>
  <si>
    <t xml:space="preserve"> 2310 </t>
  </si>
  <si>
    <t>Tubo de aço galvanizado leve c/ costura c/ rosca BSP Ø = 33,7mm (1"), e = 2,25mm, l = 6000mm NBR 5580 m</t>
  </si>
  <si>
    <t xml:space="preserve"> 1881 </t>
  </si>
  <si>
    <t>Prateleira em compensado revestida com fórmica m2</t>
  </si>
  <si>
    <t xml:space="preserve"> 1689 </t>
  </si>
  <si>
    <t>Parafuso de fixação com bucha plástica 8 mm cj</t>
  </si>
  <si>
    <t>cj</t>
  </si>
  <si>
    <t>SALA</t>
  </si>
  <si>
    <t>1.3</t>
  </si>
  <si>
    <t>1.4</t>
  </si>
  <si>
    <t>LATERAL</t>
  </si>
  <si>
    <t>COZINHA</t>
  </si>
  <si>
    <t>ALVENARIA</t>
  </si>
  <si>
    <t>4.4</t>
  </si>
  <si>
    <t>COMPLEMENTO SALAS</t>
  </si>
  <si>
    <t>5.5</t>
  </si>
  <si>
    <t>PORTAS E JANELAS</t>
  </si>
  <si>
    <t>5.6</t>
  </si>
  <si>
    <t>GRADIL</t>
  </si>
  <si>
    <t>6.5</t>
  </si>
  <si>
    <t>6.6</t>
  </si>
  <si>
    <t>CISTERNA</t>
  </si>
  <si>
    <t>7.7</t>
  </si>
  <si>
    <t>7.8</t>
  </si>
  <si>
    <t>8.3</t>
  </si>
  <si>
    <t>8.4</t>
  </si>
  <si>
    <t>8.5</t>
  </si>
  <si>
    <t>COBERTA EXISTENTE</t>
  </si>
  <si>
    <t>8.6</t>
  </si>
  <si>
    <t>8.7</t>
  </si>
  <si>
    <t>AMPLIAÇÃO EDUCAÇÃO</t>
  </si>
  <si>
    <t>8.8</t>
  </si>
  <si>
    <t>9.0</t>
  </si>
  <si>
    <t>9.1</t>
  </si>
  <si>
    <t>SALAS</t>
  </si>
  <si>
    <t>9.2</t>
  </si>
  <si>
    <t>9.3</t>
  </si>
  <si>
    <t>9.4</t>
  </si>
  <si>
    <t>JANELAS</t>
  </si>
  <si>
    <t>10.0</t>
  </si>
  <si>
    <t>10.1</t>
  </si>
  <si>
    <t>LAJE CENTRAL</t>
  </si>
  <si>
    <t>10.2</t>
  </si>
  <si>
    <t>10.3</t>
  </si>
  <si>
    <t>PROTEÇÃO JANELAS</t>
  </si>
  <si>
    <t>10.4</t>
  </si>
  <si>
    <t>PORTÃO LATERAL</t>
  </si>
  <si>
    <t>10.5</t>
  </si>
  <si>
    <t>11.0</t>
  </si>
  <si>
    <t>11.1</t>
  </si>
  <si>
    <t>BANHEIRO</t>
  </si>
  <si>
    <t>ESCOLA JANDUIR JOSÉ DE OLIVEIRA</t>
  </si>
  <si>
    <t xml:space="preserve"> COMP18 </t>
  </si>
  <si>
    <t>PLACA DE OBRA</t>
  </si>
  <si>
    <t>INFRAESTRUTURA</t>
  </si>
  <si>
    <t xml:space="preserve"> 96523 </t>
  </si>
  <si>
    <t>ESCAVAÇÃO MANUAL PARA BLOCO DE COROAMENTO OU SAPATA (INCLUINDO ESCAVAÇÃO PARA COLOCAÇÃO DE FÔRMAS). AF_06/2017</t>
  </si>
  <si>
    <t xml:space="preserve"> 96546 </t>
  </si>
  <si>
    <t>ARMAÇÃO DE BLOCO, VIGA BALDRAME OU SAPATA UTILIZANDO AÇO CA-50 DE 10 MM - MONTAGEM. AF_06/2017</t>
  </si>
  <si>
    <t xml:space="preserve"> 96535 </t>
  </si>
  <si>
    <t>FABRICAÇÃO, MONTAGEM E DESMONTAGEM DE FÔRMA PARA SAPATA, EM MADEIRA SERRADA, E=25 MM, 4 UTILIZAÇÕES. AF_06/2017</t>
  </si>
  <si>
    <t xml:space="preserve"> 96616 </t>
  </si>
  <si>
    <t>LASTRO DE CONCRETO MAGRO, APLICADO EM BLOCOS DE COROAMENTO OU SAPATAS. AF_08/2017</t>
  </si>
  <si>
    <t xml:space="preserve"> 2.6 </t>
  </si>
  <si>
    <t xml:space="preserve"> 96536 </t>
  </si>
  <si>
    <t>FABRICAÇÃO, MONTAGEM E DESMONTAGEM DE FÔRMA PARA VIGA BALDRAME, EM MADEIRA SERRADA, E=25 MM, 4 UTILIZAÇÕES. AF_06/2017</t>
  </si>
  <si>
    <t xml:space="preserve"> 2.7 </t>
  </si>
  <si>
    <t>SUPRAESTRUTURA</t>
  </si>
  <si>
    <t xml:space="preserve"> 92423 </t>
  </si>
  <si>
    <t>MONTAGEM E DESMONTAGEM DE FÔRMA DE PILARES RETANGULARES E ESTRUTURAS SIMILARES, PÉ-DIREITO SIMPLES, EM CHAPA DE MADEIRA COMPENSADA RESINADA, 6 UTILIZAÇÕES. AF_09/2020</t>
  </si>
  <si>
    <t xml:space="preserve"> 92460 </t>
  </si>
  <si>
    <t>MONTAGEM E DESMONTAGEM DE FÔRMA DE VIGA, ESCORAMENTO METÁLICO, PÉ-DIREITO SIMPLES, EM CHAPA DE MADEIRA RESINADA, 6 UTILIZAÇÕES. AF_09/2020</t>
  </si>
  <si>
    <t xml:space="preserve"> 103669 </t>
  </si>
  <si>
    <t>CONCRETAGEM DE PILARES, FCK = 25 MPA,  COM USO DE BALDES - LANÇAMENTO, ADENSAMENTO E ACABAMENTO. AF_02/2022</t>
  </si>
  <si>
    <t xml:space="preserve"> 3.5 </t>
  </si>
  <si>
    <t xml:space="preserve"> 103674 </t>
  </si>
  <si>
    <t>CONCRETAGEM DE VIGAS E LAJES, FCK=25 MPA, PARA LAJES PREMOLDADAS COM USO DE BOMBA - LANÇAMENTO, ADENSAMENTO E ACABAMENTO. AF_02/2022</t>
  </si>
  <si>
    <t xml:space="preserve"> 87268 </t>
  </si>
  <si>
    <t>REVESTIMENTO CERÂMICO PARA PAREDES INTERNAS COM PLACAS TIPO ESMALTADA EXTRA DE DIMENSÕES 25X35 CM APLICADAS EM AMBIENTES DE ÁREA MENOR QUE 5 M² NA ALTURA INTEIRA DAS PAREDES. AF_06/2014</t>
  </si>
  <si>
    <t xml:space="preserve"> 87767 </t>
  </si>
  <si>
    <t>CONTRAPISO EM ARGAMASSA TRAÇO 1:4 (CIMENTO E AREIA), PREPARO MANUAL, APLICADO EM ÁREAS MOLHADAS SOBRE IMPERMEABILIZAÇÃO, ACABAMENTO NÃO REFORÇADO, ESPESSURA 4CM. AF_07/2021</t>
  </si>
  <si>
    <t xml:space="preserve"> 88489 </t>
  </si>
  <si>
    <t>APLICAÇÃO MANUAL DE PINTURA COM TINTA LÁTEX ACRÍLICA EM PAREDES, DUAS DEMÃOS. AF_06/2014</t>
  </si>
  <si>
    <t xml:space="preserve"> 7.9 </t>
  </si>
  <si>
    <t xml:space="preserve"> 93128 </t>
  </si>
  <si>
    <t>PONTO DE ILUMINAÇÃO RESIDENCIAL INCLUINDO INTERRUPTOR SIMPLES, CAIXA ELÉTRICA, ELETRODUTO, CABO, RASGO, QUEBRA E CHUMBAMENTO (EXCLUINDO LUMINÁRIA E LÂMPADA). AF_01/2016</t>
  </si>
  <si>
    <t xml:space="preserve"> 97589 </t>
  </si>
  <si>
    <t>LUMINÁRIA TIPO PLAFON EM PLÁSTICO, DE SOBREPOR, COM 1 LÂMPADA FLUORESCENTE DE 15 W, SEM REATOR - FORNECIMENTO E INSTALAÇÃO. AF_02/2020</t>
  </si>
  <si>
    <t xml:space="preserve"> 95472 </t>
  </si>
  <si>
    <t>VASO SANITARIO SIFONADO CONVENCIONAL PARA PCD SEM FURO FRONTAL COM LOUÇA BRANCA SEM ASSENTO, INCLUSO CONJUNTO DE LIGAÇÃO PARA BACIA SANITÁRIA AJUSTÁVEL - FORNECIMENTO E INSTALAÇÃO. AF_01/2020</t>
  </si>
  <si>
    <t xml:space="preserve"> 86909 </t>
  </si>
  <si>
    <t>TORNEIRA CROMADA TUBO MÓVEL, DE MESA, 1/2 OU 3/4, PARA PIA DE COZINHA, PADRÃO ALTO - FORNECIMENTO E INSTALAÇÃO. AF_01/2020</t>
  </si>
  <si>
    <t xml:space="preserve"> 9.8 </t>
  </si>
  <si>
    <t xml:space="preserve"> COMP16 </t>
  </si>
  <si>
    <t>REVISÃO DE PONTO DE ESGOTO TIPO 3 - 100MM</t>
  </si>
  <si>
    <t xml:space="preserve"> 9.9 </t>
  </si>
  <si>
    <t xml:space="preserve"> COMP17 </t>
  </si>
  <si>
    <t>REVISÃO DE PONTO DE ESGOTO TIPO 2 - 40MM</t>
  </si>
  <si>
    <t xml:space="preserve"> COMP20 </t>
  </si>
  <si>
    <t>REVISÃO DE PONTO DE AGUA FRIA TIPO 2 - 20-32MM</t>
  </si>
  <si>
    <t xml:space="preserve"> 10.6 </t>
  </si>
  <si>
    <t xml:space="preserve"> 90844 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</si>
  <si>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</si>
  <si>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 xml:space="preserve"> 11.2 </t>
  </si>
  <si>
    <t xml:space="preserve"> 100687 </t>
  </si>
  <si>
    <t>KIT DE PORTA DE MADEIRA FRISADA, SEMI-OCA (LEVE OU MÉDIA), PADRÃO MÉDIO, 60X210CM, ESPESSURA DE 3,5CM, ITENS INCLUSOS: DOBRADIÇAS, MONTAGEM E INSTALAÇÃO DE BATENTE, FECHADURA COM EXECUÇÃO DO FURO - FORNECIMENTO E INSTALAÇÃO. AF_12/2019</t>
  </si>
  <si>
    <t xml:space="preserve"> 11.3 </t>
  </si>
  <si>
    <t xml:space="preserve"> 100681 </t>
  </si>
  <si>
    <t>KIT DE PORTA DE MADEIRA FRISADA, SEMI-OCA (LEVE OU MÉDIA), PADRÃO MÉDIO, 70X210CM, ESPESSURA DE 3CM, ITENS INCLUSOS: DOBRADIÇAS, MONTAGEM E INSTALAÇÃO DE BATENTE, FECHADURA COM EXECUÇÃO DO FURO - FORNECIMENTO E INSTALAÇÃO. AF_12/2019</t>
  </si>
  <si>
    <t xml:space="preserve"> 11.4 </t>
  </si>
  <si>
    <t xml:space="preserve"> 100689 </t>
  </si>
  <si>
    <t>KIT DE PORTA DE MADEIRA FRISADA, SEMI-OCA (LEVE OU MÉDIA), PADRÃO MÉDIO, 80X210CM, ESPESSURA DE 3,5CM, ITENS INCLUSOS: DOBRADIÇAS, MONTAGEM E INSTALAÇÃO DE BATENTE, FECHADURA COM EXECUÇÃO DO FURO - FORNECIMENTO E INSTALAÇÃO. AF_12/2019</t>
  </si>
  <si>
    <t xml:space="preserve"> 11.5 </t>
  </si>
  <si>
    <t xml:space="preserve"> 11.6 </t>
  </si>
  <si>
    <t xml:space="preserve"> COMP19 </t>
  </si>
  <si>
    <t>JANELA DE MADEIRA (IMBUIA/CEDRO OU EQUIV.) DE ABRIR COM 4 FOLHAS (4 VENEZIANAS), COM BATENTE, ALIZAR E FERRAGENS FORNECIMENTO E INSTALAÇÃO. AF_12/2019</t>
  </si>
  <si>
    <t xml:space="preserve"> 12 </t>
  </si>
  <si>
    <t xml:space="preserve"> 12.1 </t>
  </si>
  <si>
    <t xml:space="preserve"> 12.2 </t>
  </si>
  <si>
    <t xml:space="preserve"> 12.3 </t>
  </si>
  <si>
    <t xml:space="preserve"> 12.4 </t>
  </si>
  <si>
    <t xml:space="preserve"> 13 </t>
  </si>
  <si>
    <t xml:space="preserve"> 13.1 </t>
  </si>
  <si>
    <t>REFORMA E AMPLIAÇÃO DA ESCOLA JANDUIR JOSÉ DE OLIVEIRA</t>
  </si>
  <si>
    <t xml:space="preserve"> 00005075 </t>
  </si>
  <si>
    <t>PREGO DE ACO POLIDO COM CABECA 18 X 30 (2 3/4 X 10)</t>
  </si>
  <si>
    <t xml:space="preserve"> 1569 </t>
  </si>
  <si>
    <t>Madeira mista serrada (barrote) 6 x 6cm - 0,0036 m3/m (angelim, louro) m</t>
  </si>
  <si>
    <t xml:space="preserve"> 6995 </t>
  </si>
  <si>
    <t>Madeira mista serrada (sarrafo) 2,2 x 5,5cm - 0,00121 m³/m m</t>
  </si>
  <si>
    <t xml:space="preserve"> 00004813 </t>
  </si>
  <si>
    <t>PLACA DE OBRA (PARA CONSTRUCAO CIVIL) EM CHAPA GALVANIZADA *N. 22*, ADESIVADA, DE *2,4 X 1,2* M (SEM POSTES PARA FIXACAO)</t>
  </si>
  <si>
    <t xml:space="preserve"> 00006189 </t>
  </si>
  <si>
    <t>TABUA NAO APARELHADA *2,5 X 30* CM, EM MACARANDUBA, ANGELIM OU EQUIVALENTE DA REGIAO - BRUTA</t>
  </si>
  <si>
    <t xml:space="preserve"> 92263 </t>
  </si>
  <si>
    <t>FABRICAÇÃO DE FÔRMA PARA PILARES E ESTRUTURAS SIMILARES, EM CHAPA DE MADEIRA COMPENSADA RESINADA, E = 17 MM. AF_09/2020</t>
  </si>
  <si>
    <t xml:space="preserve"> 00040271 </t>
  </si>
  <si>
    <t>LOCACAO DE APRUMADOR METALICO DE PILAR, COM ALTURA E ANGULO REGULAVEIS, EXTENSAO DE *1,50* A *2,80* M</t>
  </si>
  <si>
    <t xml:space="preserve"> 92265 </t>
  </si>
  <si>
    <t>FABRICAÇÃO DE FÔRMA PARA VIGAS, EM CHAPA DE MADEIRA COMPENSADA RESINADA, E = 17 MM. AF_09/2020</t>
  </si>
  <si>
    <t xml:space="preserve"> 00038408 </t>
  </si>
  <si>
    <t>CONCRETO USINADO BOMBEAVEL, CLASSE DE RESISTENCIA C25, COM BRITA 0 E 1, SLUMP = 190 +/- 20 MM, EXCLUI SERVICO DE BOMBEAMENTO (NBR 8953)</t>
  </si>
  <si>
    <t xml:space="preserve"> 00000536 </t>
  </si>
  <si>
    <t>REVESTIMENTO EM CERAMICA ESMALTADA EXTRA, PEI MENOR OU IGUAL A 3, FORMATO MENOR OU IGUAL A 2025 CM2</t>
  </si>
  <si>
    <t xml:space="preserve"> 91924 </t>
  </si>
  <si>
    <t>CABO DE COBRE FLEXÍVEL ISOLADO, 1,5 MM², ANTI-CHAMA 450/750 V, PARA CIRCUITOS TERMINAIS - FORNECIMENTO E INSTALAÇÃO. AF_12/2015</t>
  </si>
  <si>
    <t xml:space="preserve"> 91953 </t>
  </si>
  <si>
    <t>INTERRUPTOR SIMPLES (1 MÓDULO), 10A/250V, INCLUINDO SUPORTE E PLACA - FORNECIMENTO E INSTALAÇÃO. AF_12/2015</t>
  </si>
  <si>
    <t xml:space="preserve"> 00038191 </t>
  </si>
  <si>
    <t>LAMPADA FLUORESCENTE COMPACTA 2U BRANCA 15 W, BASE E27 (127/220 V)</t>
  </si>
  <si>
    <t xml:space="preserve"> 00038773 </t>
  </si>
  <si>
    <t>LUMINARIA DE TETO PLAFON/PLAFONIER EM PLASTICO COM BASE E27, POTENCIA MAXIMA 60 W (NAO INCLUI LAMPADA)</t>
  </si>
  <si>
    <t xml:space="preserve"> 95471 </t>
  </si>
  <si>
    <t>VASO SANITARIO SIFONADO CONVENCIONAL PARA PCD SEM FURO FRONTAL COM  LOUÇA BRANCA SEM ASSENTO -  FORNECIMENTO E INSTALAÇÃO. AF_01/2020</t>
  </si>
  <si>
    <t xml:space="preserve"> 00006142 </t>
  </si>
  <si>
    <t>CONJUNTO DE LIGACAO PARA BACIA SANITARIA AJUSTAVEL, EM PLASTICO BRANCO, COM TUBO, CANOPLA E ESPUDE</t>
  </si>
  <si>
    <t xml:space="preserve"> 00011772 </t>
  </si>
  <si>
    <t>TORNEIRA METALICA CROMADA, DE MESA/BANCADA, PARA COZINHA, BICA MOVEL, COM AREJADOR, 1/2 " OU 3/4 " (REF 1167 / 1168)</t>
  </si>
  <si>
    <t xml:space="preserve"> 138 </t>
  </si>
  <si>
    <t>Adesivo pvc em frasco de 850 gramas kg</t>
  </si>
  <si>
    <t>tubo</t>
  </si>
  <si>
    <t xml:space="preserve"> 793 </t>
  </si>
  <si>
    <t>Curva 90° curta pvc pb je p/rede coletora esg., d= 100mm un</t>
  </si>
  <si>
    <t xml:space="preserve"> 2336 </t>
  </si>
  <si>
    <t>Tubo pvc rigido branco p/esgoto predial  d= 100mm m</t>
  </si>
  <si>
    <t xml:space="preserve"> 798 </t>
  </si>
  <si>
    <t>Curva 90° curta pvc rigido p/ esgoto secundario, d= 40mm un</t>
  </si>
  <si>
    <t xml:space="preserve"> 00009835 </t>
  </si>
  <si>
    <t>TUBO PVC  SERIE NORMAL, DN 40 MM, PARA ESGOTO  PREDIAL (NBR 5688)</t>
  </si>
  <si>
    <t xml:space="preserve"> 00003501 </t>
  </si>
  <si>
    <t>JOELHO, PVC SOLDAVEL, 45 GRAUS, 32 MM, COR MARROM, PARA AGUA FRIA PREDIAL</t>
  </si>
  <si>
    <t xml:space="preserve"> 00009869 </t>
  </si>
  <si>
    <t>TUBO PVC, SOLDAVEL, DE 32 MM, AGUA FRIA (NBR-5648)</t>
  </si>
  <si>
    <t xml:space="preserve"> 90823 </t>
  </si>
  <si>
    <t>PORTA DE MADEIRA PARA PINTURA, SEMI-OCA (LEVE OU MÉDIA), 90X210CM, ESPESSURA DE 3,5CM, INCLUSO DOBRADIÇAS - FORNECIMENTO E INSTALAÇÃO. AF_12/2019</t>
  </si>
  <si>
    <t xml:space="preserve"> 90831 </t>
  </si>
  <si>
    <t>FECHADURA DE EMBUTIR PARA PORTA DE BANHEIRO, COMPLETA, ACABAMENTO PADRÃO MÉDIO, INCLUSO EXECUÇÃO DE FURO - FORNECIMENTO E INSTALAÇÃO. AF_12/2019</t>
  </si>
  <si>
    <t xml:space="preserve"> 91295 </t>
  </si>
  <si>
    <t>PORTA DE MADEIRA FRISADA, SEMI-OCA (LEVE OU MÉDIA), 60X210CM, ESPESSURA DE 3CM, INCLUSO DOBRADIÇAS - FORNECIMENTO E INSTALAÇÃO. AF_12/2019</t>
  </si>
  <si>
    <t xml:space="preserve"> 91296 </t>
  </si>
  <si>
    <t>PORTA DE MADEIRA FRISADA, SEMI-OCA (LEVE OU MÉDIA), 70X210CM, ESPESSURA DE 3CM, INCLUSO DOBRADIÇAS - FORNECIMENTO E INSTALAÇÃO. AF_12/2019</t>
  </si>
  <si>
    <t xml:space="preserve"> 91297 </t>
  </si>
  <si>
    <t>PORTA DE MADEIRA FRISADA, SEMI-OCA (LEVE OU MÉDIA), 80X210CM, ESPESSURA DE 3,5CM, INCLUSO DOBRADIÇAS - FORNECIMENTO E INSTALAÇÃO. AF_12/2019</t>
  </si>
  <si>
    <t xml:space="preserve"> 00000142 </t>
  </si>
  <si>
    <t>SELANTE ELASTICO MONOCOMPONENTE A BASE DE POLIURETANO (PU) PARA JUNTAS DIVERSAS</t>
  </si>
  <si>
    <t>310ML</t>
  </si>
  <si>
    <t xml:space="preserve"> 00003428 </t>
  </si>
  <si>
    <t>JANELA DE ABRIR EM MADEIRA IMBUIA/CEDRO ARANA/CEDRO ROSA OU EQUIVALENTE DA REGIAO, CAIXA DO BATENTE/MARCO *10* CM, 2 FOLHAS DE ABRIR TIPO VENEZIANA E 2 FOLHAS DE ABRIR PARA VIDRO, COM GUARNICAO/ALIZAR, COM FERRAGENS, (SEM VIDRO E SEM ACABAMENTO)</t>
  </si>
  <si>
    <t xml:space="preserve"> 00005067 </t>
  </si>
  <si>
    <t>PREGO DE ACO POLIDO COM CABECA 16 X 24 (2 1/4 X 12)</t>
  </si>
  <si>
    <t>AMPLIAÇÃO</t>
  </si>
  <si>
    <t>SALA DE BRINCADEIRAS</t>
  </si>
  <si>
    <t>KG/M</t>
  </si>
  <si>
    <t>BALDRAMES</t>
  </si>
  <si>
    <t>2.6</t>
  </si>
  <si>
    <t>2.7</t>
  </si>
  <si>
    <t>VIGAS</t>
  </si>
  <si>
    <t>3.5</t>
  </si>
  <si>
    <t>BANHEIROS AMPLIAÇÃO</t>
  </si>
  <si>
    <t>BLOCO DIRETORIA</t>
  </si>
  <si>
    <t>ENTRADA</t>
  </si>
  <si>
    <t>7.0</t>
  </si>
  <si>
    <t>PAREDES EXISTENTES</t>
  </si>
  <si>
    <t>PAREDES EXTERNAS</t>
  </si>
  <si>
    <t>PAREDES INTERNAS</t>
  </si>
  <si>
    <t>PORTAS</t>
  </si>
  <si>
    <t>MURO</t>
  </si>
  <si>
    <t>7.9</t>
  </si>
  <si>
    <t>PERIMETRO AMPLIAÇÃO</t>
  </si>
  <si>
    <t>9.5</t>
  </si>
  <si>
    <t>9.6</t>
  </si>
  <si>
    <t>9.7</t>
  </si>
  <si>
    <t>9.8</t>
  </si>
  <si>
    <t>9.9</t>
  </si>
  <si>
    <t>9.10</t>
  </si>
  <si>
    <t>10.6</t>
  </si>
  <si>
    <t>SALAS AMPLIAÇÃO</t>
  </si>
  <si>
    <t>11.2</t>
  </si>
  <si>
    <t>11.3</t>
  </si>
  <si>
    <t>11.4</t>
  </si>
  <si>
    <t>11.5</t>
  </si>
  <si>
    <t>11.6</t>
  </si>
  <si>
    <t>12.0</t>
  </si>
  <si>
    <t>12.1</t>
  </si>
  <si>
    <t>12.2</t>
  </si>
  <si>
    <t>12.3</t>
  </si>
  <si>
    <t>RECUPERAÇÃO ESCOLA</t>
  </si>
  <si>
    <t>12.4</t>
  </si>
  <si>
    <t>PORTÃO AMPLIAÇÃO</t>
  </si>
  <si>
    <t>PORTÃO SALA DE BRINQUEDOS</t>
  </si>
  <si>
    <t>13.0</t>
  </si>
  <si>
    <t>13.1</t>
  </si>
  <si>
    <t>QUADRO DE COMPOSIÇÃO DA TAXA DE BDI
SEGUINDO ORIENTAÇÕES DO ACÓRDÃO Nº 2622/2013 – TCU</t>
  </si>
  <si>
    <t>TIPO DA OBRA:</t>
  </si>
  <si>
    <t>CONSTRUÇÃO DE EDIFICIOS</t>
  </si>
  <si>
    <t>OBJETO:</t>
  </si>
  <si>
    <t>1. CUSTO DIRETO DA OBRA(CD):</t>
  </si>
  <si>
    <t>2. COMPOSIÇÃO DO CUSTO INDIRETO(CI) QUE INCIDE SOBRE OS CUSTOS DIRETOS(CD)</t>
  </si>
  <si>
    <t>DISCRIMINAÇÃO DOS CUSTOS INDIRETOS(CI)</t>
  </si>
  <si>
    <t>PORCENTAGEM(%) ADOTADA</t>
  </si>
  <si>
    <t>Custo de Administração Central - AC</t>
  </si>
  <si>
    <t>Custo de Seguro e Garantia - SG</t>
  </si>
  <si>
    <t>Custo de Margem de Incerteza do Empreendimento (RISCOS) - R</t>
  </si>
  <si>
    <t>Custo Financeiro - CF</t>
  </si>
  <si>
    <t>3. COMPOSIÇÃO DO CUSTO INDIRETO(CI) QUE INCIDE SOBRE O PREÇO TOTAL DA OBRA(PT)</t>
  </si>
  <si>
    <t>Custos Tributários - Total - T</t>
  </si>
  <si>
    <t xml:space="preserve">           PIS</t>
  </si>
  <si>
    <t xml:space="preserve">           CONFINS</t>
  </si>
  <si>
    <t xml:space="preserve">           ISS *</t>
  </si>
  <si>
    <t>Margem de Contribuição Bruta(Benefício ou Lucro) - L</t>
  </si>
  <si>
    <t>Fórmula do BDI</t>
  </si>
  <si>
    <t>Onde:</t>
  </si>
  <si>
    <t>AC: Administração Central</t>
  </si>
  <si>
    <t xml:space="preserve"> </t>
  </si>
  <si>
    <t>R: Corresponde aos Riscos</t>
  </si>
  <si>
    <t>S: taxa representativa de Seguros
G: é a taxa que representa o ônus das garantias exigidas em edital;</t>
  </si>
  <si>
    <t>(1 - I)</t>
  </si>
  <si>
    <t>CF: é a taxa representativa dos custos financeiros;</t>
  </si>
  <si>
    <t>L: corresponde ao lucro/remuneração bruta do construtor</t>
  </si>
  <si>
    <t>I: é a taxa representativa dos tributos incidentes sobre o preço de venda (PIS, COFINS, CPRB e ISS).</t>
  </si>
  <si>
    <t>4. TAXA DE BDI:</t>
  </si>
  <si>
    <t xml:space="preserve">5. PREÇO TOTAL DA OBRA COM BDI(PT = CDx(1+BDI/100))  </t>
  </si>
  <si>
    <t xml:space="preserve">MODALIDADE DA LICITAÇÃO: </t>
  </si>
  <si>
    <t xml:space="preserve">ORÇAMENTISTA: </t>
  </si>
  <si>
    <t xml:space="preserve">DATA:  </t>
  </si>
  <si>
    <t>CUSTOS TRIBUTÁRIOS COM MATERIAL</t>
  </si>
  <si>
    <t>TIPO DE IMPOSTO</t>
  </si>
  <si>
    <t>LUCRO PRESUMIDO(%)</t>
  </si>
  <si>
    <t>PIS - Programa de Integração Social</t>
  </si>
  <si>
    <t>COFINS - Finaciamento da Seguridade Social</t>
  </si>
  <si>
    <t>ISS - Imposto sobre Serviço *</t>
  </si>
  <si>
    <t xml:space="preserve">SUB-TOTAL </t>
  </si>
  <si>
    <t>CPRB</t>
  </si>
  <si>
    <t>TOTAL GERAL</t>
  </si>
  <si>
    <r>
      <rPr>
        <vertAlign val="superscript"/>
        <sz val="10"/>
        <rFont val="Arial"/>
        <family val="2"/>
      </rP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 xml:space="preserve">) </t>
    </r>
    <r>
      <rPr>
        <sz val="10"/>
        <rFont val="Arial"/>
        <family val="2"/>
      </rPr>
      <t>A taxa de incidência do ISS pode ser de 2% a 5%. Foi considerada a Taxa cobrada pela Prefeitura Municipal de Itambé/PE, ou seja, 5% sobre a Mão-de-Obra e considerada esta última 50% do custo total da Obra, logo 5%x%50%  = 2,5%.</t>
    </r>
  </si>
  <si>
    <t xml:space="preserve"> TABELA DOS ENCARGOS SOCIAIS - NÃO DESONERADO</t>
  </si>
  <si>
    <t>GRUPO A - ENCARGOS PREVIDENCIÁRIOS</t>
  </si>
  <si>
    <t>ALÍQUOTA  %</t>
  </si>
  <si>
    <t>Horista</t>
  </si>
  <si>
    <t>Mensalista</t>
  </si>
  <si>
    <t>A1</t>
  </si>
  <si>
    <t>PREVIDENCIA SOCIAL (INSS)</t>
  </si>
  <si>
    <t>A2</t>
  </si>
  <si>
    <t xml:space="preserve">SESI 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</si>
  <si>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</si>
  <si>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</si>
  <si>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</si>
  <si>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</si>
  <si>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</si>
  <si>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</si>
  <si>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</si>
  <si>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</si>
  <si>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</si>
  <si>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</si>
  <si>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</si>
  <si>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</si>
  <si>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</si>
  <si>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</si>
  <si>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TOTAL DO GRUPO A</t>
  </si>
  <si>
    <t>GRUPO B - ENCARGOS TRABALHISTAS</t>
  </si>
  <si>
    <t>B1</t>
  </si>
  <si>
    <t>REPOUSO SEMANAL REMUNERADO</t>
  </si>
  <si>
    <t>Não incide</t>
  </si>
  <si>
    <t>B2</t>
  </si>
  <si>
    <t>FERIADO</t>
  </si>
  <si>
    <t>B3</t>
  </si>
  <si>
    <t>AUXÍLIO 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</si>
  <si>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</si>
  <si>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</si>
  <si>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</si>
  <si>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</si>
  <si>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</si>
  <si>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</si>
  <si>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</si>
  <si>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</si>
  <si>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</si>
  <si>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</si>
  <si>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</si>
  <si>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</si>
  <si>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</si>
  <si>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</si>
  <si>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TOTAL DO GRUPO B</t>
  </si>
  <si>
    <t>GRUPO C - OUTROS ENCARGOS TRABALHISTAS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</si>
  <si>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</si>
  <si>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</si>
  <si>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</si>
  <si>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</si>
  <si>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</si>
  <si>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</si>
  <si>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</si>
  <si>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RECISÃO SEM JUSTA CAUSA</t>
  </si>
  <si>
    <t>C5</t>
  </si>
  <si>
    <t>INDENIZAÇÃO ADICIONAL</t>
  </si>
  <si>
    <t>TOTAL DO GRUPO C</t>
  </si>
  <si>
    <t>GRUPO D - INCIDÊNCIA DO GRUPO A NO GRUPO B</t>
  </si>
  <si>
    <t>D1</t>
  </si>
  <si>
    <t xml:space="preserve">Reinsidência de A sobre B </t>
  </si>
  <si>
    <t>D2</t>
  </si>
  <si>
    <t>Reincidências de A-A9 sobre C3</t>
  </si>
  <si>
    <t>TOTAL DO GRUPO D</t>
  </si>
  <si>
    <t>TOTAL GERAL ……………………………</t>
  </si>
  <si>
    <t>BDI:</t>
  </si>
  <si>
    <t>PREFEITURA MUNICIPAL DE ITAMBÉ</t>
  </si>
  <si>
    <t>SECRETARIA DE INFRAESTRUTURA</t>
  </si>
  <si>
    <t>OBJETO: REFORMA E AMPLIAÇÃO DAS ESCOLAS NO MUNICIPIO DE ITAMBE</t>
  </si>
  <si>
    <t>TABELA DE REFERENCIA: SINAPI - 01/2023 - Pernambuco
ORSE - 11/2022 - Sergipe NÃO DESONERADA</t>
  </si>
  <si>
    <t>ITEM</t>
  </si>
  <si>
    <t>CRONOGRAMA FÍSICO-FINANCEIRO</t>
  </si>
  <si>
    <t>DISCRIÇÃO</t>
  </si>
  <si>
    <t>VALOR EM R$</t>
  </si>
  <si>
    <t>MÊS</t>
  </si>
  <si>
    <t>OBRA: AMPLIAÇÃO DA ESCOLA MOCINHA BARBALHO</t>
  </si>
  <si>
    <t>OBRA: REFORMA DA CRECHE VOVO PESSOINHA, NO DISTRITO DE QUEBEC</t>
  </si>
  <si>
    <t>OBRA: REFORMA E AMPLIAÇÃO DA ESCOLA JANDUIR JOSÉ DE OLIVEIRA</t>
  </si>
  <si>
    <t xml:space="preserve">% MENSAL </t>
  </si>
  <si>
    <t xml:space="preserve">% ACUMULADO </t>
  </si>
  <si>
    <t xml:space="preserve">DESEMBOLSO MENSAL </t>
  </si>
  <si>
    <t xml:space="preserve">DESEMB. ACUMULADO </t>
  </si>
  <si>
    <t>%</t>
  </si>
  <si>
    <t>R$</t>
  </si>
  <si>
    <t>PLACA</t>
  </si>
  <si>
    <t>M3</t>
  </si>
  <si>
    <t xml:space="preserve"> 9.2</t>
  </si>
  <si>
    <t xml:space="preserve"> 9.3</t>
  </si>
  <si>
    <t xml:space="preserve"> 9.4</t>
  </si>
  <si>
    <t xml:space="preserve"> 9.5</t>
  </si>
  <si>
    <t xml:space="preserve"> 9.6</t>
  </si>
  <si>
    <t xml:space="preserve"> 9.7</t>
  </si>
  <si>
    <t xml:space="preserve"> 9.8</t>
  </si>
  <si>
    <t xml:space="preserve"> 9.9</t>
  </si>
  <si>
    <t xml:space="preserve"> 9.10</t>
  </si>
  <si>
    <t>INSTALAÇÕES HIDROSSANITARIAS</t>
  </si>
  <si>
    <t>REFORMA DA CRECHE VOVÓ PESSOINHA, NO DISTRITO DE QUEBEC</t>
  </si>
  <si>
    <t>INSTALAÇAOES ELETRICAS</t>
  </si>
  <si>
    <t xml:space="preserve"> 7.6</t>
  </si>
  <si>
    <t xml:space="preserve"> 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</si>
</sst>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  <numFmt numFmtId="167" formatCode="#,##0.000"/>
    <numFmt numFmtId="168" formatCode="0.000"/>
    <numFmt numFmtId="169" formatCode="0.0"/>
    <numFmt numFmtId="170" formatCode="&quot;R$ &quot;#,##0.00_);[Red]\(&quot;R$ &quot;#,##0.00\)"/>
    <numFmt numFmtId="171" formatCode="&quot;R$ &quot;#,##0.00"/>
    <numFmt numFmtId="172" formatCode="_(* #,##0.0000_);_(* \(#,##0.0000\);_(* &quot;-&quot;??_);_(@_)"/>
    <numFmt numFmtId="173" formatCode="_(* #,##0.00_);_(* \(#,##0.00\);_(* &quot;&quot;??_);_(@_)"/>
  </numFmts>
  <fonts count="57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FF0000"/>
      <name val="Arial"/>
      <family val="1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i/>
      <u/>
      <sz val="16"/>
      <name val="Arial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10"/>
      <name val="Spranq eco sans"/>
      <family val="2"/>
    </font>
    <font>
      <sz val="11"/>
      <name val="Calibri"/>
      <family val="2"/>
    </font>
    <font>
      <sz val="9"/>
      <name val="Times New Roman"/>
      <family val="1"/>
    </font>
    <font>
      <b/>
      <sz val="14"/>
      <name val="Arial Narrow"/>
      <family val="2"/>
    </font>
    <font>
      <b/>
      <sz val="17"/>
      <name val="Arial Narrow"/>
      <family val="2"/>
    </font>
    <font>
      <sz val="11"/>
      <name val="Arial"/>
      <family val="1"/>
    </font>
    <font>
      <sz val="14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1"/>
      <color rgb="FFFF0000"/>
      <name val="Arial"/>
      <family val="1"/>
    </font>
    <font>
      <sz val="11"/>
      <color theme="9"/>
      <name val="Arial"/>
      <family val="1"/>
    </font>
    <font>
      <b/>
      <sz val="10"/>
      <color rgb="FF000000"/>
      <name val="Arial"/>
      <family val="2"/>
    </font>
    <font>
      <sz val="8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4" fillId="0" borderId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0" fontId="1" fillId="0" borderId="0"/>
    <xf numFmtId="2" fontId="24" fillId="0" borderId="0"/>
    <xf numFmtId="0" fontId="46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49" fillId="0" borderId="0" applyFont="0" applyFill="0" applyBorder="0" applyAlignment="0" applyProtection="0"/>
  </cellStyleXfs>
  <cellXfs count="328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right" vertical="top" wrapText="1"/>
    </xf>
    <xf numFmtId="0" fontId="7" fillId="7" borderId="4" xfId="0" applyFont="1" applyFill="1" applyBorder="1" applyAlignment="1">
      <alignment horizontal="left" vertical="top" wrapText="1"/>
    </xf>
    <xf numFmtId="0" fontId="8" fillId="8" borderId="5" xfId="0" applyFont="1" applyFill="1" applyBorder="1" applyAlignment="1">
      <alignment horizontal="right" vertical="top" wrapText="1"/>
    </xf>
    <xf numFmtId="164" fontId="10" fillId="10" borderId="7" xfId="0" applyNumberFormat="1" applyFont="1" applyFill="1" applyBorder="1" applyAlignment="1">
      <alignment horizontal="right" vertical="top" wrapText="1"/>
    </xf>
    <xf numFmtId="0" fontId="12" fillId="11" borderId="8" xfId="0" applyFont="1" applyFill="1" applyBorder="1" applyAlignment="1">
      <alignment horizontal="left" vertical="top" wrapText="1"/>
    </xf>
    <xf numFmtId="0" fontId="13" fillId="12" borderId="9" xfId="0" applyFont="1" applyFill="1" applyBorder="1" applyAlignment="1">
      <alignment horizontal="center" vertical="top" wrapText="1"/>
    </xf>
    <xf numFmtId="0" fontId="14" fillId="13" borderId="10" xfId="0" applyFont="1" applyFill="1" applyBorder="1" applyAlignment="1">
      <alignment horizontal="right" vertical="top" wrapText="1"/>
    </xf>
    <xf numFmtId="164" fontId="16" fillId="15" borderId="12" xfId="0" applyNumberFormat="1" applyFont="1" applyFill="1" applyBorder="1" applyAlignment="1">
      <alignment horizontal="right" vertical="top" wrapText="1"/>
    </xf>
    <xf numFmtId="0" fontId="18" fillId="18" borderId="0" xfId="0" applyFont="1" applyFill="1" applyAlignment="1">
      <alignment horizontal="left" vertical="top" wrapText="1"/>
    </xf>
    <xf numFmtId="0" fontId="19" fillId="19" borderId="0" xfId="0" applyFont="1" applyFill="1" applyAlignment="1">
      <alignment horizontal="center" vertical="top" wrapText="1"/>
    </xf>
    <xf numFmtId="0" fontId="20" fillId="20" borderId="0" xfId="0" applyFont="1" applyFill="1" applyAlignment="1">
      <alignment horizontal="right" vertical="top" wrapText="1"/>
    </xf>
    <xf numFmtId="0" fontId="22" fillId="22" borderId="0" xfId="0" applyFont="1" applyFill="1" applyAlignment="1">
      <alignment horizontal="left" vertical="top" wrapText="1"/>
    </xf>
    <xf numFmtId="0" fontId="23" fillId="23" borderId="0" xfId="0" applyFont="1" applyFill="1" applyAlignment="1">
      <alignment horizontal="center" vertical="top" wrapText="1"/>
    </xf>
    <xf numFmtId="0" fontId="28" fillId="0" borderId="17" xfId="1" applyFont="1" applyBorder="1" applyAlignment="1">
      <alignment horizontal="center" vertical="center" wrapText="1"/>
    </xf>
    <xf numFmtId="0" fontId="28" fillId="0" borderId="17" xfId="1" applyFont="1" applyBorder="1" applyAlignment="1">
      <alignment vertical="center" wrapText="1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49" fontId="27" fillId="0" borderId="0" xfId="1" applyNumberFormat="1" applyFont="1" applyAlignment="1">
      <alignment vertical="center"/>
    </xf>
    <xf numFmtId="2" fontId="27" fillId="0" borderId="0" xfId="1" applyNumberFormat="1" applyFont="1" applyAlignment="1">
      <alignment horizontal="center" vertical="center"/>
    </xf>
    <xf numFmtId="0" fontId="28" fillId="29" borderId="0" xfId="1" applyFont="1" applyFill="1" applyAlignment="1">
      <alignment horizontal="center" vertical="center"/>
    </xf>
    <xf numFmtId="0" fontId="27" fillId="29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4" fontId="28" fillId="0" borderId="23" xfId="1" applyNumberFormat="1" applyFont="1" applyBorder="1" applyAlignment="1">
      <alignment horizontal="center" vertical="center"/>
    </xf>
    <xf numFmtId="2" fontId="30" fillId="0" borderId="24" xfId="1" applyNumberFormat="1" applyFont="1" applyBorder="1" applyAlignment="1">
      <alignment horizontal="center" vertical="center"/>
    </xf>
    <xf numFmtId="0" fontId="30" fillId="0" borderId="24" xfId="1" applyFont="1" applyBorder="1" applyAlignment="1">
      <alignment horizontal="center" vertical="center"/>
    </xf>
    <xf numFmtId="2" fontId="30" fillId="0" borderId="24" xfId="1" applyNumberFormat="1" applyFont="1" applyBorder="1" applyAlignment="1">
      <alignment horizontal="center" vertical="center" wrapText="1"/>
    </xf>
    <xf numFmtId="4" fontId="27" fillId="0" borderId="24" xfId="1" applyNumberFormat="1" applyFont="1" applyBorder="1" applyAlignment="1">
      <alignment horizontal="center" vertical="center"/>
    </xf>
    <xf numFmtId="4" fontId="27" fillId="0" borderId="24" xfId="1" applyNumberFormat="1" applyFont="1" applyBorder="1" applyAlignment="1">
      <alignment horizontal="center" vertical="center" wrapText="1"/>
    </xf>
    <xf numFmtId="4" fontId="30" fillId="0" borderId="24" xfId="1" applyNumberFormat="1" applyFont="1" applyBorder="1" applyAlignment="1">
      <alignment horizontal="center" vertical="center" wrapText="1"/>
    </xf>
    <xf numFmtId="0" fontId="28" fillId="29" borderId="25" xfId="1" applyFont="1" applyFill="1" applyBorder="1" applyAlignment="1">
      <alignment horizontal="center" vertical="center"/>
    </xf>
    <xf numFmtId="0" fontId="28" fillId="28" borderId="0" xfId="1" applyFont="1" applyFill="1" applyAlignment="1">
      <alignment horizontal="center" vertical="center"/>
    </xf>
    <xf numFmtId="43" fontId="28" fillId="0" borderId="0" xfId="1" applyNumberFormat="1" applyFont="1" applyAlignment="1">
      <alignment horizontal="center" vertical="center" wrapText="1"/>
    </xf>
    <xf numFmtId="0" fontId="32" fillId="0" borderId="24" xfId="1" applyFont="1" applyBorder="1" applyAlignment="1">
      <alignment horizontal="center" vertical="center"/>
    </xf>
    <xf numFmtId="2" fontId="32" fillId="0" borderId="24" xfId="1" applyNumberFormat="1" applyFont="1" applyBorder="1" applyAlignment="1">
      <alignment horizontal="center" vertical="center"/>
    </xf>
    <xf numFmtId="2" fontId="32" fillId="0" borderId="24" xfId="1" applyNumberFormat="1" applyFont="1" applyBorder="1" applyAlignment="1">
      <alignment horizontal="center" vertical="center" wrapText="1"/>
    </xf>
    <xf numFmtId="2" fontId="31" fillId="0" borderId="0" xfId="1" applyNumberFormat="1" applyFont="1" applyAlignment="1">
      <alignment horizontal="center" vertical="center"/>
    </xf>
    <xf numFmtId="2" fontId="31" fillId="0" borderId="0" xfId="1" applyNumberFormat="1" applyFont="1" applyAlignment="1">
      <alignment horizontal="right" vertical="center"/>
    </xf>
    <xf numFmtId="4" fontId="30" fillId="0" borderId="0" xfId="1" applyNumberFormat="1" applyFont="1" applyAlignment="1">
      <alignment horizontal="center" vertical="center" wrapText="1"/>
    </xf>
    <xf numFmtId="0" fontId="2" fillId="26" borderId="0" xfId="0" applyFont="1" applyFill="1" applyAlignment="1">
      <alignment horizontal="left" vertical="top" wrapText="1"/>
    </xf>
    <xf numFmtId="0" fontId="11" fillId="26" borderId="0" xfId="0" applyFont="1" applyFill="1" applyAlignment="1">
      <alignment horizontal="left" vertical="top" wrapText="1"/>
    </xf>
    <xf numFmtId="0" fontId="7" fillId="24" borderId="14" xfId="0" applyFont="1" applyFill="1" applyBorder="1" applyAlignment="1">
      <alignment horizontal="left" vertical="top" wrapText="1"/>
    </xf>
    <xf numFmtId="0" fontId="7" fillId="24" borderId="14" xfId="0" applyFont="1" applyFill="1" applyBorder="1" applyAlignment="1">
      <alignment horizontal="right" vertical="top" wrapText="1"/>
    </xf>
    <xf numFmtId="4" fontId="7" fillId="24" borderId="14" xfId="0" applyNumberFormat="1" applyFont="1" applyFill="1" applyBorder="1" applyAlignment="1">
      <alignment horizontal="right" vertical="top" wrapText="1"/>
    </xf>
    <xf numFmtId="0" fontId="2" fillId="26" borderId="14" xfId="0" applyFont="1" applyFill="1" applyBorder="1" applyAlignment="1">
      <alignment horizontal="left" vertical="top" wrapText="1"/>
    </xf>
    <xf numFmtId="0" fontId="2" fillId="26" borderId="14" xfId="0" applyFont="1" applyFill="1" applyBorder="1" applyAlignment="1">
      <alignment horizontal="right" vertical="top" wrapText="1"/>
    </xf>
    <xf numFmtId="0" fontId="2" fillId="26" borderId="14" xfId="0" applyFont="1" applyFill="1" applyBorder="1" applyAlignment="1">
      <alignment horizontal="center" vertical="top" wrapText="1"/>
    </xf>
    <xf numFmtId="0" fontId="12" fillId="25" borderId="14" xfId="0" applyFont="1" applyFill="1" applyBorder="1" applyAlignment="1">
      <alignment horizontal="left" vertical="top" wrapText="1"/>
    </xf>
    <xf numFmtId="0" fontId="12" fillId="25" borderId="14" xfId="0" applyFont="1" applyFill="1" applyBorder="1" applyAlignment="1">
      <alignment horizontal="right" vertical="top" wrapText="1"/>
    </xf>
    <xf numFmtId="0" fontId="12" fillId="25" borderId="14" xfId="0" applyFont="1" applyFill="1" applyBorder="1" applyAlignment="1">
      <alignment horizontal="center" vertical="top" wrapText="1"/>
    </xf>
    <xf numFmtId="165" fontId="12" fillId="25" borderId="14" xfId="0" applyNumberFormat="1" applyFont="1" applyFill="1" applyBorder="1" applyAlignment="1">
      <alignment horizontal="right" vertical="top" wrapText="1"/>
    </xf>
    <xf numFmtId="4" fontId="12" fillId="25" borderId="14" xfId="0" applyNumberFormat="1" applyFont="1" applyFill="1" applyBorder="1" applyAlignment="1">
      <alignment horizontal="right" vertical="top" wrapText="1"/>
    </xf>
    <xf numFmtId="0" fontId="17" fillId="16" borderId="14" xfId="0" applyFont="1" applyFill="1" applyBorder="1" applyAlignment="1">
      <alignment horizontal="left" vertical="top" wrapText="1"/>
    </xf>
    <xf numFmtId="0" fontId="17" fillId="16" borderId="14" xfId="0" applyFont="1" applyFill="1" applyBorder="1" applyAlignment="1">
      <alignment horizontal="right" vertical="top" wrapText="1"/>
    </xf>
    <xf numFmtId="0" fontId="17" fillId="16" borderId="14" xfId="0" applyFont="1" applyFill="1" applyBorder="1" applyAlignment="1">
      <alignment horizontal="center" vertical="top" wrapText="1"/>
    </xf>
    <xf numFmtId="165" fontId="17" fillId="16" borderId="14" xfId="0" applyNumberFormat="1" applyFont="1" applyFill="1" applyBorder="1" applyAlignment="1">
      <alignment horizontal="right" vertical="top" wrapText="1"/>
    </xf>
    <xf numFmtId="4" fontId="17" fillId="16" borderId="14" xfId="0" applyNumberFormat="1" applyFont="1" applyFill="1" applyBorder="1" applyAlignment="1">
      <alignment horizontal="right" vertical="top" wrapText="1"/>
    </xf>
    <xf numFmtId="0" fontId="11" fillId="26" borderId="0" xfId="0" applyFont="1" applyFill="1" applyAlignment="1">
      <alignment horizontal="right" vertical="top" wrapText="1"/>
    </xf>
    <xf numFmtId="165" fontId="11" fillId="26" borderId="0" xfId="0" applyNumberFormat="1" applyFont="1" applyFill="1" applyAlignment="1">
      <alignment horizontal="right" vertical="top" wrapText="1"/>
    </xf>
    <xf numFmtId="0" fontId="12" fillId="25" borderId="13" xfId="0" applyFont="1" applyFill="1" applyBorder="1" applyAlignment="1">
      <alignment horizontal="left" vertical="top" wrapText="1"/>
    </xf>
    <xf numFmtId="0" fontId="17" fillId="17" borderId="14" xfId="0" applyFont="1" applyFill="1" applyBorder="1" applyAlignment="1">
      <alignment horizontal="left" vertical="top" wrapText="1"/>
    </xf>
    <xf numFmtId="0" fontId="17" fillId="17" borderId="14" xfId="0" applyFont="1" applyFill="1" applyBorder="1" applyAlignment="1">
      <alignment horizontal="right" vertical="top" wrapText="1"/>
    </xf>
    <xf numFmtId="0" fontId="17" fillId="17" borderId="14" xfId="0" applyFont="1" applyFill="1" applyBorder="1" applyAlignment="1">
      <alignment horizontal="center" vertical="top" wrapText="1"/>
    </xf>
    <xf numFmtId="165" fontId="17" fillId="17" borderId="14" xfId="0" applyNumberFormat="1" applyFont="1" applyFill="1" applyBorder="1" applyAlignment="1">
      <alignment horizontal="right" vertical="top" wrapText="1"/>
    </xf>
    <xf numFmtId="4" fontId="17" fillId="17" borderId="14" xfId="0" applyNumberFormat="1" applyFont="1" applyFill="1" applyBorder="1" applyAlignment="1">
      <alignment horizontal="right" vertical="top" wrapText="1"/>
    </xf>
    <xf numFmtId="0" fontId="17" fillId="26" borderId="0" xfId="0" applyFont="1" applyFill="1" applyAlignment="1">
      <alignment horizontal="center" vertical="top" wrapText="1"/>
    </xf>
    <xf numFmtId="0" fontId="17" fillId="26" borderId="0" xfId="0" applyFont="1" applyFill="1" applyAlignment="1">
      <alignment horizontal="left" vertical="top" wrapText="1"/>
    </xf>
    <xf numFmtId="0" fontId="11" fillId="26" borderId="0" xfId="0" applyFont="1" applyFill="1" applyAlignment="1">
      <alignment horizontal="center" vertical="top" wrapText="1"/>
    </xf>
    <xf numFmtId="164" fontId="7" fillId="24" borderId="14" xfId="0" applyNumberFormat="1" applyFont="1" applyFill="1" applyBorder="1" applyAlignment="1">
      <alignment horizontal="right" vertical="top" wrapText="1"/>
    </xf>
    <xf numFmtId="164" fontId="12" fillId="25" borderId="14" xfId="0" applyNumberFormat="1" applyFont="1" applyFill="1" applyBorder="1" applyAlignment="1">
      <alignment horizontal="right" vertical="top" wrapText="1"/>
    </xf>
    <xf numFmtId="167" fontId="27" fillId="0" borderId="24" xfId="1" applyNumberFormat="1" applyFont="1" applyBorder="1" applyAlignment="1">
      <alignment horizontal="center" vertical="center"/>
    </xf>
    <xf numFmtId="168" fontId="30" fillId="0" borderId="24" xfId="1" applyNumberFormat="1" applyFont="1" applyBorder="1" applyAlignment="1">
      <alignment horizontal="center" vertical="center"/>
    </xf>
    <xf numFmtId="169" fontId="30" fillId="0" borderId="24" xfId="1" applyNumberFormat="1" applyFont="1" applyBorder="1" applyAlignment="1">
      <alignment horizontal="center" vertical="center"/>
    </xf>
    <xf numFmtId="0" fontId="24" fillId="0" borderId="0" xfId="4"/>
    <xf numFmtId="0" fontId="24" fillId="0" borderId="0" xfId="5"/>
    <xf numFmtId="10" fontId="24" fillId="0" borderId="0" xfId="6" applyNumberFormat="1"/>
    <xf numFmtId="166" fontId="41" fillId="0" borderId="0" xfId="7" applyFont="1" applyFill="1" applyBorder="1"/>
    <xf numFmtId="166" fontId="41" fillId="0" borderId="0" xfId="7" applyFont="1" applyFill="1" applyBorder="1" applyAlignment="1">
      <alignment horizontal="center"/>
    </xf>
    <xf numFmtId="0" fontId="24" fillId="0" borderId="0" xfId="6"/>
    <xf numFmtId="166" fontId="24" fillId="0" borderId="0" xfId="5" applyNumberFormat="1"/>
    <xf numFmtId="10" fontId="24" fillId="0" borderId="0" xfId="5" applyNumberFormat="1"/>
    <xf numFmtId="166" fontId="42" fillId="0" borderId="0" xfId="5" applyNumberFormat="1" applyFont="1"/>
    <xf numFmtId="43" fontId="24" fillId="0" borderId="0" xfId="5" applyNumberFormat="1"/>
    <xf numFmtId="0" fontId="24" fillId="0" borderId="18" xfId="4" applyBorder="1"/>
    <xf numFmtId="0" fontId="24" fillId="0" borderId="19" xfId="4" applyBorder="1"/>
    <xf numFmtId="172" fontId="41" fillId="0" borderId="0" xfId="7" applyNumberFormat="1" applyFont="1" applyFill="1" applyBorder="1"/>
    <xf numFmtId="0" fontId="38" fillId="0" borderId="0" xfId="4" applyFont="1"/>
    <xf numFmtId="0" fontId="38" fillId="0" borderId="0" xfId="5" applyFont="1"/>
    <xf numFmtId="0" fontId="44" fillId="0" borderId="0" xfId="8" applyFont="1" applyAlignment="1">
      <alignment vertical="center"/>
    </xf>
    <xf numFmtId="0" fontId="45" fillId="0" borderId="0" xfId="8" applyFont="1"/>
    <xf numFmtId="0" fontId="38" fillId="0" borderId="25" xfId="8" applyFont="1" applyBorder="1" applyAlignment="1">
      <alignment horizontal="center"/>
    </xf>
    <xf numFmtId="0" fontId="24" fillId="0" borderId="25" xfId="8" applyFont="1" applyBorder="1" applyAlignment="1">
      <alignment horizontal="center"/>
    </xf>
    <xf numFmtId="0" fontId="24" fillId="0" borderId="25" xfId="8" applyFont="1" applyBorder="1"/>
    <xf numFmtId="10" fontId="24" fillId="0" borderId="25" xfId="8" applyNumberFormat="1" applyFont="1" applyBorder="1" applyAlignment="1">
      <alignment horizontal="right"/>
    </xf>
    <xf numFmtId="10" fontId="38" fillId="0" borderId="25" xfId="8" applyNumberFormat="1" applyFont="1" applyBorder="1" applyAlignment="1">
      <alignment horizontal="right"/>
    </xf>
    <xf numFmtId="0" fontId="24" fillId="0" borderId="25" xfId="8" applyFont="1" applyBorder="1" applyAlignment="1">
      <alignment wrapText="1"/>
    </xf>
    <xf numFmtId="10" fontId="24" fillId="0" borderId="25" xfId="8" applyNumberFormat="1" applyFont="1" applyBorder="1"/>
    <xf numFmtId="0" fontId="38" fillId="0" borderId="0" xfId="8" applyFont="1"/>
    <xf numFmtId="10" fontId="35" fillId="0" borderId="25" xfId="8" applyNumberFormat="1" applyFont="1" applyBorder="1" applyAlignment="1">
      <alignment horizontal="right"/>
    </xf>
    <xf numFmtId="4" fontId="0" fillId="0" borderId="0" xfId="0" applyNumberFormat="1"/>
    <xf numFmtId="0" fontId="0" fillId="0" borderId="25" xfId="0" applyBorder="1"/>
    <xf numFmtId="0" fontId="0" fillId="0" borderId="25" xfId="0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2" fontId="50" fillId="0" borderId="25" xfId="9" applyFont="1" applyBorder="1" applyAlignment="1">
      <alignment horizontal="center" vertical="center"/>
    </xf>
    <xf numFmtId="10" fontId="50" fillId="0" borderId="25" xfId="13" applyNumberFormat="1" applyFont="1" applyFill="1" applyBorder="1" applyAlignment="1">
      <alignment horizontal="center" vertical="center"/>
    </xf>
    <xf numFmtId="173" fontId="50" fillId="0" borderId="25" xfId="9" applyNumberFormat="1" applyFont="1" applyBorder="1" applyAlignment="1">
      <alignment horizontal="center" vertical="center"/>
    </xf>
    <xf numFmtId="43" fontId="0" fillId="0" borderId="25" xfId="11" applyFont="1" applyBorder="1" applyAlignment="1">
      <alignment horizontal="center" vertical="center"/>
    </xf>
    <xf numFmtId="9" fontId="50" fillId="0" borderId="25" xfId="12" applyFont="1" applyFill="1" applyBorder="1" applyAlignment="1">
      <alignment horizontal="center" vertical="center"/>
    </xf>
    <xf numFmtId="4" fontId="51" fillId="0" borderId="25" xfId="9" applyNumberFormat="1" applyFont="1" applyBorder="1" applyAlignment="1">
      <alignment vertical="center" wrapText="1"/>
    </xf>
    <xf numFmtId="43" fontId="0" fillId="0" borderId="25" xfId="0" applyNumberFormat="1" applyBorder="1"/>
    <xf numFmtId="2" fontId="51" fillId="0" borderId="25" xfId="9" applyFont="1" applyBorder="1" applyAlignment="1">
      <alignment vertical="center" wrapText="1"/>
    </xf>
    <xf numFmtId="43" fontId="0" fillId="0" borderId="25" xfId="11" applyFont="1" applyBorder="1" applyAlignment="1">
      <alignment horizontal="left" vertical="center"/>
    </xf>
    <xf numFmtId="43" fontId="0" fillId="0" borderId="25" xfId="0" applyNumberFormat="1" applyBorder="1" applyAlignment="1">
      <alignment horizontal="center" vertical="center"/>
    </xf>
    <xf numFmtId="0" fontId="0" fillId="32" borderId="25" xfId="0" applyFill="1" applyBorder="1" applyAlignment="1">
      <alignment horizontal="center" vertical="center"/>
    </xf>
    <xf numFmtId="2" fontId="48" fillId="0" borderId="0" xfId="9" applyFont="1" applyAlignment="1">
      <alignment vertical="center"/>
    </xf>
    <xf numFmtId="0" fontId="48" fillId="0" borderId="0" xfId="10" applyFont="1" applyAlignment="1">
      <alignment vertical="center" wrapText="1"/>
    </xf>
    <xf numFmtId="49" fontId="47" fillId="0" borderId="0" xfId="9" applyNumberFormat="1" applyFont="1" applyAlignment="1">
      <alignment vertical="center" wrapText="1"/>
    </xf>
    <xf numFmtId="0" fontId="47" fillId="0" borderId="0" xfId="10" applyFont="1" applyAlignment="1">
      <alignment horizontal="center" vertical="center"/>
    </xf>
    <xf numFmtId="10" fontId="47" fillId="0" borderId="0" xfId="10" applyNumberFormat="1" applyFont="1" applyAlignment="1">
      <alignment horizontal="center" vertical="center"/>
    </xf>
    <xf numFmtId="0" fontId="47" fillId="0" borderId="0" xfId="10" applyFont="1" applyAlignment="1">
      <alignment vertical="center" wrapText="1"/>
    </xf>
    <xf numFmtId="0" fontId="0" fillId="28" borderId="0" xfId="0" applyFill="1"/>
    <xf numFmtId="44" fontId="9" fillId="9" borderId="6" xfId="14" applyFont="1" applyFill="1" applyBorder="1" applyAlignment="1">
      <alignment horizontal="right" vertical="top" wrapText="1"/>
    </xf>
    <xf numFmtId="44" fontId="15" fillId="14" borderId="11" xfId="14" applyFont="1" applyFill="1" applyBorder="1" applyAlignment="1">
      <alignment horizontal="right" vertical="top" wrapText="1"/>
    </xf>
    <xf numFmtId="44" fontId="11" fillId="26" borderId="0" xfId="14" applyFont="1" applyFill="1" applyAlignment="1">
      <alignment horizontal="right" vertical="top" wrapText="1"/>
    </xf>
    <xf numFmtId="44" fontId="12" fillId="25" borderId="14" xfId="14" applyFont="1" applyFill="1" applyBorder="1" applyAlignment="1">
      <alignment horizontal="right" vertical="top" wrapText="1"/>
    </xf>
    <xf numFmtId="44" fontId="12" fillId="25" borderId="13" xfId="14" applyFont="1" applyFill="1" applyBorder="1" applyAlignment="1">
      <alignment horizontal="left" vertical="top" wrapText="1"/>
    </xf>
    <xf numFmtId="44" fontId="7" fillId="24" borderId="14" xfId="14" applyFont="1" applyFill="1" applyBorder="1" applyAlignment="1">
      <alignment horizontal="right" vertical="top" wrapText="1"/>
    </xf>
    <xf numFmtId="44" fontId="7" fillId="7" borderId="4" xfId="14" applyFont="1" applyFill="1" applyBorder="1" applyAlignment="1">
      <alignment horizontal="left" vertical="top" wrapText="1"/>
    </xf>
    <xf numFmtId="44" fontId="7" fillId="24" borderId="14" xfId="14" applyFont="1" applyFill="1" applyBorder="1" applyAlignment="1">
      <alignment horizontal="left" vertical="top" wrapText="1"/>
    </xf>
    <xf numFmtId="44" fontId="2" fillId="26" borderId="14" xfId="14" applyFont="1" applyFill="1" applyBorder="1" applyAlignment="1">
      <alignment horizontal="right" vertical="top" wrapText="1"/>
    </xf>
    <xf numFmtId="4" fontId="55" fillId="28" borderId="14" xfId="0" applyNumberFormat="1" applyFont="1" applyFill="1" applyBorder="1" applyAlignment="1">
      <alignment horizontal="right" vertical="top" wrapText="1"/>
    </xf>
    <xf numFmtId="0" fontId="33" fillId="28" borderId="0" xfId="0" applyFont="1" applyFill="1"/>
    <xf numFmtId="0" fontId="54" fillId="28" borderId="0" xfId="0" applyFont="1" applyFill="1"/>
    <xf numFmtId="0" fontId="11" fillId="18" borderId="0" xfId="0" applyFont="1" applyFill="1" applyAlignment="1">
      <alignment horizontal="center" vertical="center" wrapText="1"/>
    </xf>
    <xf numFmtId="0" fontId="0" fillId="28" borderId="0" xfId="0" applyFill="1" applyAlignment="1">
      <alignment vertical="center"/>
    </xf>
    <xf numFmtId="0" fontId="53" fillId="28" borderId="0" xfId="0" applyFont="1" applyFill="1" applyAlignment="1">
      <alignment vertical="center"/>
    </xf>
    <xf numFmtId="0" fontId="0" fillId="28" borderId="0" xfId="0" applyFill="1" applyAlignment="1">
      <alignment horizontal="center" vertical="center"/>
    </xf>
    <xf numFmtId="0" fontId="11" fillId="26" borderId="0" xfId="0" applyFont="1" applyFill="1" applyAlignment="1">
      <alignment horizontal="center" vertical="center" wrapText="1"/>
    </xf>
    <xf numFmtId="4" fontId="17" fillId="33" borderId="14" xfId="0" applyNumberFormat="1" applyFont="1" applyFill="1" applyBorder="1" applyAlignment="1">
      <alignment horizontal="right" vertical="top" wrapText="1"/>
    </xf>
    <xf numFmtId="44" fontId="0" fillId="0" borderId="0" xfId="0" applyNumberFormat="1"/>
    <xf numFmtId="44" fontId="0" fillId="28" borderId="0" xfId="0" applyNumberFormat="1" applyFill="1"/>
    <xf numFmtId="0" fontId="20" fillId="20" borderId="0" xfId="0" applyFont="1" applyFill="1" applyAlignment="1">
      <alignment horizontal="right" vertical="top" wrapText="1"/>
    </xf>
    <xf numFmtId="0" fontId="18" fillId="18" borderId="0" xfId="0" applyFont="1" applyFill="1" applyAlignment="1">
      <alignment horizontal="left" vertical="top" wrapText="1"/>
    </xf>
    <xf numFmtId="44" fontId="21" fillId="21" borderId="0" xfId="14" applyFont="1" applyFill="1" applyAlignment="1">
      <alignment horizontal="right" vertical="top" wrapText="1"/>
    </xf>
    <xf numFmtId="44" fontId="20" fillId="20" borderId="0" xfId="14" applyFont="1" applyFill="1" applyAlignment="1">
      <alignment horizontal="right" vertical="top" wrapText="1"/>
    </xf>
    <xf numFmtId="0" fontId="17" fillId="23" borderId="0" xfId="0" applyFont="1" applyFill="1" applyAlignment="1">
      <alignment horizontal="center" vertical="top" wrapText="1"/>
    </xf>
    <xf numFmtId="0" fontId="0" fillId="0" borderId="0" xfId="0"/>
    <xf numFmtId="0" fontId="3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top" wrapText="1"/>
    </xf>
    <xf numFmtId="0" fontId="11" fillId="26" borderId="0" xfId="0" applyFont="1" applyFill="1" applyAlignment="1">
      <alignment horizontal="right" vertical="top" wrapText="1"/>
    </xf>
    <xf numFmtId="0" fontId="11" fillId="26" borderId="0" xfId="0" applyFont="1" applyFill="1" applyAlignment="1">
      <alignment horizontal="left" vertical="top" wrapText="1"/>
    </xf>
    <xf numFmtId="44" fontId="11" fillId="26" borderId="0" xfId="14" applyFont="1" applyFill="1" applyAlignment="1">
      <alignment horizontal="right" vertical="top" wrapText="1"/>
    </xf>
    <xf numFmtId="0" fontId="17" fillId="26" borderId="0" xfId="0" applyFont="1" applyFill="1" applyAlignment="1">
      <alignment horizontal="center" vertical="top" wrapText="1"/>
    </xf>
    <xf numFmtId="0" fontId="17" fillId="17" borderId="14" xfId="0" applyFont="1" applyFill="1" applyBorder="1" applyAlignment="1">
      <alignment horizontal="left" vertical="top" wrapText="1"/>
    </xf>
    <xf numFmtId="0" fontId="7" fillId="24" borderId="14" xfId="0" applyFont="1" applyFill="1" applyBorder="1" applyAlignment="1">
      <alignment horizontal="left" vertical="top" wrapText="1"/>
    </xf>
    <xf numFmtId="0" fontId="2" fillId="26" borderId="14" xfId="0" applyFont="1" applyFill="1" applyBorder="1" applyAlignment="1">
      <alignment horizontal="left" vertical="top" wrapText="1"/>
    </xf>
    <xf numFmtId="0" fontId="12" fillId="25" borderId="14" xfId="0" applyFont="1" applyFill="1" applyBorder="1" applyAlignment="1">
      <alignment horizontal="left" vertical="top" wrapText="1"/>
    </xf>
    <xf numFmtId="0" fontId="17" fillId="16" borderId="14" xfId="0" applyFont="1" applyFill="1" applyBorder="1" applyAlignment="1">
      <alignment horizontal="left" vertical="top" wrapText="1"/>
    </xf>
    <xf numFmtId="0" fontId="2" fillId="26" borderId="0" xfId="0" applyFont="1" applyFill="1" applyAlignment="1">
      <alignment horizontal="center" wrapText="1"/>
    </xf>
    <xf numFmtId="0" fontId="2" fillId="26" borderId="0" xfId="0" applyFont="1" applyFill="1" applyAlignment="1">
      <alignment horizontal="left" vertical="top" wrapText="1"/>
    </xf>
    <xf numFmtId="0" fontId="11" fillId="26" borderId="0" xfId="0" applyFont="1" applyFill="1" applyAlignment="1">
      <alignment horizontal="center" vertical="center" wrapText="1"/>
    </xf>
    <xf numFmtId="2" fontId="27" fillId="0" borderId="24" xfId="1" applyNumberFormat="1" applyFont="1" applyBorder="1" applyAlignment="1">
      <alignment horizontal="center" vertical="center" wrapText="1"/>
    </xf>
    <xf numFmtId="2" fontId="31" fillId="0" borderId="24" xfId="1" applyNumberFormat="1" applyFont="1" applyBorder="1" applyAlignment="1">
      <alignment horizontal="right" vertical="center"/>
    </xf>
    <xf numFmtId="2" fontId="30" fillId="0" borderId="24" xfId="1" applyNumberFormat="1" applyFont="1" applyBorder="1" applyAlignment="1">
      <alignment horizontal="center" vertical="center"/>
    </xf>
    <xf numFmtId="0" fontId="28" fillId="29" borderId="25" xfId="1" applyFont="1" applyFill="1" applyBorder="1" applyAlignment="1">
      <alignment horizontal="left" vertical="center"/>
    </xf>
    <xf numFmtId="2" fontId="27" fillId="0" borderId="0" xfId="1" applyNumberFormat="1" applyFont="1" applyAlignment="1">
      <alignment horizontal="left" vertical="center" wrapText="1"/>
    </xf>
    <xf numFmtId="2" fontId="31" fillId="0" borderId="29" xfId="1" applyNumberFormat="1" applyFont="1" applyBorder="1" applyAlignment="1">
      <alignment horizontal="center" vertical="center"/>
    </xf>
    <xf numFmtId="2" fontId="27" fillId="0" borderId="30" xfId="1" applyNumberFormat="1" applyFont="1" applyBorder="1" applyAlignment="1">
      <alignment horizontal="center" vertical="center" wrapText="1"/>
    </xf>
    <xf numFmtId="2" fontId="27" fillId="0" borderId="29" xfId="1" applyNumberFormat="1" applyFont="1" applyBorder="1" applyAlignment="1">
      <alignment horizontal="center" vertical="center" wrapText="1"/>
    </xf>
    <xf numFmtId="2" fontId="27" fillId="0" borderId="31" xfId="1" applyNumberFormat="1" applyFont="1" applyBorder="1" applyAlignment="1">
      <alignment horizontal="center" vertical="center" wrapText="1"/>
    </xf>
    <xf numFmtId="2" fontId="30" fillId="0" borderId="26" xfId="1" applyNumberFormat="1" applyFont="1" applyBorder="1" applyAlignment="1">
      <alignment horizontal="center" vertical="center"/>
    </xf>
    <xf numFmtId="2" fontId="30" fillId="0" borderId="27" xfId="1" applyNumberFormat="1" applyFont="1" applyBorder="1" applyAlignment="1">
      <alignment horizontal="center" vertical="center"/>
    </xf>
    <xf numFmtId="2" fontId="30" fillId="0" borderId="28" xfId="1" applyNumberFormat="1" applyFont="1" applyBorder="1" applyAlignment="1">
      <alignment horizontal="center" vertical="center"/>
    </xf>
    <xf numFmtId="2" fontId="27" fillId="0" borderId="0" xfId="1" applyNumberFormat="1" applyFont="1" applyAlignment="1">
      <alignment horizontal="left" vertical="center"/>
    </xf>
    <xf numFmtId="2" fontId="32" fillId="0" borderId="26" xfId="1" applyNumberFormat="1" applyFont="1" applyBorder="1" applyAlignment="1">
      <alignment horizontal="center" vertical="center"/>
    </xf>
    <xf numFmtId="0" fontId="28" fillId="29" borderId="0" xfId="1" applyFont="1" applyFill="1" applyAlignment="1">
      <alignment vertical="center"/>
    </xf>
    <xf numFmtId="0" fontId="25" fillId="27" borderId="15" xfId="1" applyFont="1" applyFill="1" applyBorder="1" applyAlignment="1">
      <alignment horizontal="center" vertical="center" wrapText="1"/>
    </xf>
    <xf numFmtId="0" fontId="25" fillId="27" borderId="16" xfId="1" applyFont="1" applyFill="1" applyBorder="1" applyAlignment="1">
      <alignment horizontal="center" vertical="center" wrapText="1"/>
    </xf>
    <xf numFmtId="0" fontId="25" fillId="27" borderId="18" xfId="1" applyFont="1" applyFill="1" applyBorder="1" applyAlignment="1">
      <alignment horizontal="center" vertical="center" wrapText="1"/>
    </xf>
    <xf numFmtId="0" fontId="25" fillId="27" borderId="19" xfId="1" applyFont="1" applyFill="1" applyBorder="1" applyAlignment="1">
      <alignment horizontal="center" vertical="center" wrapText="1"/>
    </xf>
    <xf numFmtId="0" fontId="25" fillId="27" borderId="20" xfId="1" applyFont="1" applyFill="1" applyBorder="1" applyAlignment="1">
      <alignment horizontal="center" vertical="center" wrapText="1"/>
    </xf>
    <xf numFmtId="0" fontId="25" fillId="27" borderId="21" xfId="1" applyFont="1" applyFill="1" applyBorder="1" applyAlignment="1">
      <alignment horizontal="center" vertical="center" wrapText="1"/>
    </xf>
    <xf numFmtId="2" fontId="26" fillId="0" borderId="15" xfId="1" applyNumberFormat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7" fillId="0" borderId="15" xfId="1" applyFont="1" applyBorder="1" applyAlignment="1">
      <alignment horizontal="center"/>
    </xf>
    <xf numFmtId="0" fontId="27" fillId="0" borderId="17" xfId="1" applyFont="1" applyBorder="1" applyAlignment="1">
      <alignment horizontal="center"/>
    </xf>
    <xf numFmtId="0" fontId="27" fillId="0" borderId="16" xfId="1" applyFont="1" applyBorder="1" applyAlignment="1">
      <alignment horizontal="center"/>
    </xf>
    <xf numFmtId="0" fontId="27" fillId="0" borderId="18" xfId="1" applyFont="1" applyBorder="1" applyAlignment="1">
      <alignment horizontal="center"/>
    </xf>
    <xf numFmtId="0" fontId="27" fillId="0" borderId="0" xfId="1" applyFont="1" applyAlignment="1">
      <alignment horizontal="center"/>
    </xf>
    <xf numFmtId="0" fontId="27" fillId="0" borderId="19" xfId="1" applyFont="1" applyBorder="1" applyAlignment="1">
      <alignment horizontal="center"/>
    </xf>
    <xf numFmtId="0" fontId="27" fillId="0" borderId="20" xfId="1" applyFont="1" applyBorder="1" applyAlignment="1">
      <alignment horizontal="center"/>
    </xf>
    <xf numFmtId="0" fontId="27" fillId="0" borderId="22" xfId="1" applyFont="1" applyBorder="1" applyAlignment="1">
      <alignment horizontal="center"/>
    </xf>
    <xf numFmtId="0" fontId="27" fillId="0" borderId="21" xfId="1" applyFont="1" applyBorder="1" applyAlignment="1">
      <alignment horizontal="center"/>
    </xf>
    <xf numFmtId="2" fontId="26" fillId="0" borderId="18" xfId="1" applyNumberFormat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6" fillId="0" borderId="19" xfId="1" applyFont="1" applyBorder="1" applyAlignment="1">
      <alignment horizontal="center" vertical="center" wrapText="1"/>
    </xf>
    <xf numFmtId="0" fontId="26" fillId="0" borderId="20" xfId="1" applyFont="1" applyBorder="1" applyAlignment="1">
      <alignment horizontal="center" vertical="center" wrapText="1"/>
    </xf>
    <xf numFmtId="0" fontId="26" fillId="0" borderId="22" xfId="1" applyFont="1" applyBorder="1" applyAlignment="1">
      <alignment horizontal="center" vertical="center" wrapText="1"/>
    </xf>
    <xf numFmtId="0" fontId="26" fillId="0" borderId="21" xfId="1" applyFont="1" applyBorder="1" applyAlignment="1">
      <alignment horizontal="center" vertical="center" wrapText="1"/>
    </xf>
    <xf numFmtId="2" fontId="27" fillId="0" borderId="26" xfId="1" applyNumberFormat="1" applyFont="1" applyBorder="1" applyAlignment="1">
      <alignment horizontal="center" vertical="center" wrapText="1"/>
    </xf>
    <xf numFmtId="2" fontId="27" fillId="0" borderId="27" xfId="1" applyNumberFormat="1" applyFont="1" applyBorder="1" applyAlignment="1">
      <alignment horizontal="center" vertical="center" wrapText="1"/>
    </xf>
    <xf numFmtId="2" fontId="27" fillId="0" borderId="28" xfId="1" applyNumberFormat="1" applyFont="1" applyBorder="1" applyAlignment="1">
      <alignment horizontal="center" vertical="center" wrapText="1"/>
    </xf>
    <xf numFmtId="0" fontId="28" fillId="29" borderId="32" xfId="1" applyFont="1" applyFill="1" applyBorder="1" applyAlignment="1">
      <alignment horizontal="left" vertical="center"/>
    </xf>
    <xf numFmtId="0" fontId="28" fillId="29" borderId="33" xfId="1" applyFont="1" applyFill="1" applyBorder="1" applyAlignment="1">
      <alignment horizontal="left" vertical="center"/>
    </xf>
    <xf numFmtId="0" fontId="28" fillId="29" borderId="34" xfId="1" applyFont="1" applyFill="1" applyBorder="1" applyAlignment="1">
      <alignment horizontal="left" vertical="center"/>
    </xf>
    <xf numFmtId="2" fontId="27" fillId="0" borderId="35" xfId="1" applyNumberFormat="1" applyFont="1" applyBorder="1" applyAlignment="1">
      <alignment horizontal="left" vertical="center"/>
    </xf>
    <xf numFmtId="2" fontId="27" fillId="0" borderId="36" xfId="1" applyNumberFormat="1" applyFont="1" applyBorder="1" applyAlignment="1">
      <alignment horizontal="center" vertical="center" wrapText="1"/>
    </xf>
    <xf numFmtId="2" fontId="27" fillId="0" borderId="23" xfId="1" applyNumberFormat="1" applyFont="1" applyBorder="1" applyAlignment="1">
      <alignment horizontal="center" vertical="center" wrapText="1"/>
    </xf>
    <xf numFmtId="2" fontId="27" fillId="0" borderId="37" xfId="1" applyNumberFormat="1" applyFont="1" applyBorder="1" applyAlignment="1">
      <alignment horizontal="center" vertical="center" wrapText="1"/>
    </xf>
    <xf numFmtId="2" fontId="32" fillId="0" borderId="27" xfId="1" applyNumberFormat="1" applyFont="1" applyBorder="1" applyAlignment="1">
      <alignment horizontal="center" vertical="center"/>
    </xf>
    <xf numFmtId="2" fontId="32" fillId="0" borderId="28" xfId="1" applyNumberFormat="1" applyFont="1" applyBorder="1" applyAlignment="1">
      <alignment horizontal="center" vertical="center"/>
    </xf>
    <xf numFmtId="2" fontId="27" fillId="0" borderId="35" xfId="1" applyNumberFormat="1" applyFont="1" applyBorder="1" applyAlignment="1">
      <alignment horizontal="left" vertical="center" wrapText="1"/>
    </xf>
    <xf numFmtId="0" fontId="24" fillId="0" borderId="43" xfId="4" applyBorder="1" applyAlignment="1">
      <alignment horizontal="left"/>
    </xf>
    <xf numFmtId="0" fontId="24" fillId="0" borderId="25" xfId="4" applyBorder="1" applyAlignment="1">
      <alignment horizontal="left"/>
    </xf>
    <xf numFmtId="10" fontId="24" fillId="0" borderId="25" xfId="4" applyNumberFormat="1" applyBorder="1" applyAlignment="1">
      <alignment horizontal="center"/>
    </xf>
    <xf numFmtId="10" fontId="24" fillId="0" borderId="44" xfId="4" applyNumberFormat="1" applyBorder="1" applyAlignment="1">
      <alignment horizontal="center"/>
    </xf>
    <xf numFmtId="0" fontId="38" fillId="0" borderId="56" xfId="4" applyFont="1" applyBorder="1" applyAlignment="1">
      <alignment horizontal="left" vertical="center"/>
    </xf>
    <xf numFmtId="0" fontId="38" fillId="0" borderId="57" xfId="4" applyFont="1" applyBorder="1" applyAlignment="1">
      <alignment horizontal="left" vertical="center"/>
    </xf>
    <xf numFmtId="10" fontId="38" fillId="0" borderId="57" xfId="4" applyNumberFormat="1" applyFont="1" applyBorder="1" applyAlignment="1">
      <alignment horizontal="center" vertical="center"/>
    </xf>
    <xf numFmtId="10" fontId="38" fillId="0" borderId="58" xfId="4" applyNumberFormat="1" applyFont="1" applyBorder="1" applyAlignment="1">
      <alignment horizontal="center" vertical="center"/>
    </xf>
    <xf numFmtId="0" fontId="24" fillId="0" borderId="17" xfId="5" applyBorder="1" applyAlignment="1">
      <alignment horizontal="left" vertical="center" wrapText="1"/>
    </xf>
    <xf numFmtId="0" fontId="38" fillId="0" borderId="43" xfId="4" applyFont="1" applyBorder="1" applyAlignment="1">
      <alignment horizontal="left" vertical="center"/>
    </xf>
    <xf numFmtId="0" fontId="38" fillId="0" borderId="25" xfId="4" applyFont="1" applyBorder="1" applyAlignment="1">
      <alignment horizontal="left" vertical="center"/>
    </xf>
    <xf numFmtId="10" fontId="38" fillId="0" borderId="25" xfId="4" applyNumberFormat="1" applyFont="1" applyBorder="1" applyAlignment="1">
      <alignment horizontal="center" vertical="center"/>
    </xf>
    <xf numFmtId="10" fontId="38" fillId="0" borderId="44" xfId="4" applyNumberFormat="1" applyFont="1" applyBorder="1" applyAlignment="1">
      <alignment horizontal="center" vertical="center"/>
    </xf>
    <xf numFmtId="0" fontId="24" fillId="0" borderId="43" xfId="4" applyBorder="1" applyAlignment="1">
      <alignment horizontal="left" vertical="center"/>
    </xf>
    <xf numFmtId="0" fontId="24" fillId="0" borderId="25" xfId="4" applyBorder="1" applyAlignment="1">
      <alignment horizontal="left" vertical="center"/>
    </xf>
    <xf numFmtId="10" fontId="24" fillId="0" borderId="25" xfId="4" applyNumberFormat="1" applyBorder="1" applyAlignment="1">
      <alignment horizontal="center" vertical="center"/>
    </xf>
    <xf numFmtId="10" fontId="24" fillId="0" borderId="44" xfId="4" applyNumberFormat="1" applyBorder="1" applyAlignment="1">
      <alignment horizontal="center" vertical="center"/>
    </xf>
    <xf numFmtId="0" fontId="24" fillId="0" borderId="43" xfId="4" applyBorder="1" applyAlignment="1">
      <alignment horizontal="left" vertical="top"/>
    </xf>
    <xf numFmtId="0" fontId="24" fillId="0" borderId="25" xfId="4" applyBorder="1" applyAlignment="1">
      <alignment horizontal="left" vertical="top"/>
    </xf>
    <xf numFmtId="0" fontId="24" fillId="0" borderId="44" xfId="4" applyBorder="1" applyAlignment="1">
      <alignment horizontal="left" vertical="center"/>
    </xf>
    <xf numFmtId="0" fontId="38" fillId="31" borderId="43" xfId="4" applyFont="1" applyFill="1" applyBorder="1" applyAlignment="1">
      <alignment horizontal="center"/>
    </xf>
    <xf numFmtId="0" fontId="38" fillId="31" borderId="25" xfId="4" applyFont="1" applyFill="1" applyBorder="1" applyAlignment="1">
      <alignment horizontal="center"/>
    </xf>
    <xf numFmtId="0" fontId="38" fillId="31" borderId="44" xfId="4" applyFont="1" applyFill="1" applyBorder="1" applyAlignment="1">
      <alignment horizontal="center"/>
    </xf>
    <xf numFmtId="0" fontId="38" fillId="0" borderId="43" xfId="4" applyFont="1" applyBorder="1" applyAlignment="1">
      <alignment horizontal="center" vertical="center"/>
    </xf>
    <xf numFmtId="0" fontId="38" fillId="0" borderId="25" xfId="4" applyFont="1" applyBorder="1" applyAlignment="1">
      <alignment horizontal="center" vertical="center"/>
    </xf>
    <xf numFmtId="0" fontId="38" fillId="0" borderId="44" xfId="4" applyFont="1" applyBorder="1" applyAlignment="1">
      <alignment horizontal="center" vertical="center"/>
    </xf>
    <xf numFmtId="0" fontId="38" fillId="0" borderId="41" xfId="4" applyFont="1" applyBorder="1" applyAlignment="1">
      <alignment horizontal="left" vertical="center"/>
    </xf>
    <xf numFmtId="0" fontId="38" fillId="0" borderId="33" xfId="4" applyFont="1" applyBorder="1" applyAlignment="1">
      <alignment horizontal="left" vertical="center"/>
    </xf>
    <xf numFmtId="10" fontId="38" fillId="0" borderId="33" xfId="4" applyNumberFormat="1" applyFont="1" applyBorder="1" applyAlignment="1">
      <alignment horizontal="center" vertical="center"/>
    </xf>
    <xf numFmtId="10" fontId="38" fillId="0" borderId="42" xfId="4" applyNumberFormat="1" applyFont="1" applyBorder="1" applyAlignment="1">
      <alignment horizontal="center" vertical="center"/>
    </xf>
    <xf numFmtId="171" fontId="38" fillId="0" borderId="33" xfId="7" applyNumberFormat="1" applyFont="1" applyFill="1" applyBorder="1" applyAlignment="1">
      <alignment horizontal="center"/>
    </xf>
    <xf numFmtId="171" fontId="38" fillId="0" borderId="42" xfId="7" applyNumberFormat="1" applyFont="1" applyFill="1" applyBorder="1" applyAlignment="1">
      <alignment horizontal="center"/>
    </xf>
    <xf numFmtId="0" fontId="24" fillId="0" borderId="45" xfId="4" applyBorder="1" applyAlignment="1">
      <alignment horizontal="left" vertical="center"/>
    </xf>
    <xf numFmtId="0" fontId="24" fillId="0" borderId="46" xfId="4" applyBorder="1" applyAlignment="1">
      <alignment horizontal="left" vertical="center"/>
    </xf>
    <xf numFmtId="0" fontId="24" fillId="0" borderId="47" xfId="4" applyBorder="1" applyAlignment="1">
      <alignment horizontal="left" vertical="center"/>
    </xf>
    <xf numFmtId="0" fontId="24" fillId="0" borderId="54" xfId="4" applyBorder="1" applyAlignment="1">
      <alignment horizontal="left" vertical="center"/>
    </xf>
    <xf numFmtId="0" fontId="24" fillId="0" borderId="52" xfId="4" applyBorder="1" applyAlignment="1">
      <alignment horizontal="left" vertical="center"/>
    </xf>
    <xf numFmtId="0" fontId="24" fillId="0" borderId="55" xfId="4" applyBorder="1" applyAlignment="1">
      <alignment horizontal="left" vertical="center"/>
    </xf>
    <xf numFmtId="0" fontId="39" fillId="0" borderId="18" xfId="4" applyFont="1" applyBorder="1" applyAlignment="1">
      <alignment horizontal="center"/>
    </xf>
    <xf numFmtId="0" fontId="40" fillId="0" borderId="0" xfId="4" applyFont="1" applyAlignment="1">
      <alignment horizontal="center"/>
    </xf>
    <xf numFmtId="0" fontId="40" fillId="0" borderId="48" xfId="4" applyFont="1" applyBorder="1" applyAlignment="1">
      <alignment horizontal="center"/>
    </xf>
    <xf numFmtId="0" fontId="40" fillId="0" borderId="18" xfId="4" applyFont="1" applyBorder="1" applyAlignment="1">
      <alignment horizontal="center"/>
    </xf>
    <xf numFmtId="0" fontId="24" fillId="0" borderId="32" xfId="4" applyBorder="1" applyAlignment="1">
      <alignment horizontal="left" vertical="center" wrapText="1"/>
    </xf>
    <xf numFmtId="0" fontId="24" fillId="0" borderId="33" xfId="4" applyBorder="1" applyAlignment="1">
      <alignment horizontal="left" vertical="center"/>
    </xf>
    <xf numFmtId="0" fontId="24" fillId="0" borderId="42" xfId="4" applyBorder="1" applyAlignment="1">
      <alignment horizontal="left" vertical="center"/>
    </xf>
    <xf numFmtId="0" fontId="24" fillId="0" borderId="49" xfId="4" applyBorder="1" applyAlignment="1">
      <alignment horizontal="left" vertical="center" wrapText="1"/>
    </xf>
    <xf numFmtId="0" fontId="24" fillId="0" borderId="46" xfId="4" applyBorder="1" applyAlignment="1">
      <alignment horizontal="left" vertical="center" wrapText="1"/>
    </xf>
    <xf numFmtId="0" fontId="24" fillId="0" borderId="50" xfId="4" applyBorder="1" applyAlignment="1">
      <alignment horizontal="left" vertical="center" wrapText="1"/>
    </xf>
    <xf numFmtId="0" fontId="24" fillId="0" borderId="51" xfId="4" applyBorder="1" applyAlignment="1">
      <alignment horizontal="left" vertical="center" wrapText="1"/>
    </xf>
    <xf numFmtId="0" fontId="24" fillId="0" borderId="52" xfId="4" applyBorder="1" applyAlignment="1">
      <alignment horizontal="left" vertical="center" wrapText="1"/>
    </xf>
    <xf numFmtId="0" fontId="24" fillId="0" borderId="53" xfId="4" applyBorder="1" applyAlignment="1">
      <alignment horizontal="left" vertical="center" wrapText="1"/>
    </xf>
    <xf numFmtId="0" fontId="39" fillId="0" borderId="18" xfId="4" applyFont="1" applyBorder="1" applyAlignment="1">
      <alignment horizontal="center" vertical="top"/>
    </xf>
    <xf numFmtId="0" fontId="39" fillId="0" borderId="0" xfId="4" applyFont="1" applyAlignment="1">
      <alignment horizontal="center" vertical="top"/>
    </xf>
    <xf numFmtId="0" fontId="39" fillId="0" borderId="48" xfId="4" applyFont="1" applyBorder="1" applyAlignment="1">
      <alignment horizontal="center" vertical="top"/>
    </xf>
    <xf numFmtId="0" fontId="39" fillId="0" borderId="54" xfId="4" applyFont="1" applyBorder="1" applyAlignment="1">
      <alignment horizontal="center" vertical="top"/>
    </xf>
    <xf numFmtId="0" fontId="39" fillId="0" borderId="52" xfId="4" applyFont="1" applyBorder="1" applyAlignment="1">
      <alignment horizontal="center" vertical="top"/>
    </xf>
    <xf numFmtId="0" fontId="39" fillId="0" borderId="55" xfId="4" applyFont="1" applyBorder="1" applyAlignment="1">
      <alignment horizontal="center" vertical="top"/>
    </xf>
    <xf numFmtId="49" fontId="24" fillId="0" borderId="32" xfId="4" applyNumberFormat="1" applyBorder="1" applyAlignment="1">
      <alignment horizontal="justify" vertical="center" shrinkToFit="1"/>
    </xf>
    <xf numFmtId="49" fontId="24" fillId="0" borderId="33" xfId="4" applyNumberFormat="1" applyBorder="1" applyAlignment="1">
      <alignment horizontal="justify" vertical="center" shrinkToFit="1"/>
    </xf>
    <xf numFmtId="49" fontId="24" fillId="0" borderId="42" xfId="4" applyNumberFormat="1" applyBorder="1" applyAlignment="1">
      <alignment horizontal="justify" vertical="center" shrinkToFit="1"/>
    </xf>
    <xf numFmtId="0" fontId="24" fillId="0" borderId="32" xfId="4" applyBorder="1" applyAlignment="1">
      <alignment horizontal="justify" vertical="center" wrapText="1" shrinkToFit="1"/>
    </xf>
    <xf numFmtId="0" fontId="24" fillId="0" borderId="33" xfId="4" applyBorder="1" applyAlignment="1">
      <alignment horizontal="justify" vertical="center" wrapText="1" shrinkToFit="1"/>
    </xf>
    <xf numFmtId="0" fontId="24" fillId="0" borderId="42" xfId="4" applyBorder="1" applyAlignment="1">
      <alignment horizontal="justify" vertical="center" wrapText="1" shrinkToFit="1"/>
    </xf>
    <xf numFmtId="0" fontId="24" fillId="0" borderId="25" xfId="4" applyBorder="1" applyAlignment="1">
      <alignment horizontal="center" vertical="center"/>
    </xf>
    <xf numFmtId="0" fontId="24" fillId="0" borderId="44" xfId="4" applyBorder="1" applyAlignment="1">
      <alignment horizontal="center" vertical="center"/>
    </xf>
    <xf numFmtId="0" fontId="24" fillId="0" borderId="25" xfId="4" applyBorder="1" applyAlignment="1">
      <alignment horizontal="center"/>
    </xf>
    <xf numFmtId="0" fontId="24" fillId="0" borderId="44" xfId="4" applyBorder="1" applyAlignment="1">
      <alignment horizontal="center"/>
    </xf>
    <xf numFmtId="0" fontId="36" fillId="0" borderId="45" xfId="4" applyFont="1" applyBorder="1" applyAlignment="1">
      <alignment horizontal="center" vertical="center"/>
    </xf>
    <xf numFmtId="0" fontId="36" fillId="0" borderId="46" xfId="4" applyFont="1" applyBorder="1" applyAlignment="1">
      <alignment horizontal="center" vertical="center"/>
    </xf>
    <xf numFmtId="0" fontId="38" fillId="0" borderId="46" xfId="4" applyFont="1" applyBorder="1" applyAlignment="1">
      <alignment horizontal="right" vertical="center"/>
    </xf>
    <xf numFmtId="0" fontId="38" fillId="0" borderId="47" xfId="4" applyFont="1" applyBorder="1" applyAlignment="1">
      <alignment horizontal="right" vertical="center"/>
    </xf>
    <xf numFmtId="0" fontId="24" fillId="0" borderId="32" xfId="4" applyBorder="1" applyAlignment="1">
      <alignment horizontal="left" vertical="center"/>
    </xf>
    <xf numFmtId="0" fontId="38" fillId="0" borderId="42" xfId="4" applyFont="1" applyBorder="1" applyAlignment="1">
      <alignment horizontal="left" vertical="center"/>
    </xf>
    <xf numFmtId="0" fontId="36" fillId="0" borderId="25" xfId="4" applyFont="1" applyBorder="1" applyAlignment="1">
      <alignment horizontal="center" vertical="center" wrapText="1"/>
    </xf>
    <xf numFmtId="170" fontId="38" fillId="0" borderId="33" xfId="4" applyNumberFormat="1" applyFont="1" applyBorder="1" applyAlignment="1">
      <alignment horizontal="center" vertical="center"/>
    </xf>
    <xf numFmtId="170" fontId="38" fillId="0" borderId="42" xfId="4" applyNumberFormat="1" applyFont="1" applyBorder="1" applyAlignment="1">
      <alignment horizontal="center" vertical="center"/>
    </xf>
    <xf numFmtId="0" fontId="38" fillId="0" borderId="44" xfId="4" applyFont="1" applyBorder="1" applyAlignment="1">
      <alignment horizontal="left" vertical="center"/>
    </xf>
    <xf numFmtId="0" fontId="34" fillId="30" borderId="15" xfId="4" applyFont="1" applyFill="1" applyBorder="1" applyAlignment="1">
      <alignment horizontal="center" vertical="center" wrapText="1"/>
    </xf>
    <xf numFmtId="0" fontId="34" fillId="30" borderId="17" xfId="4" applyFont="1" applyFill="1" applyBorder="1" applyAlignment="1">
      <alignment horizontal="center" vertical="center" wrapText="1"/>
    </xf>
    <xf numFmtId="0" fontId="34" fillId="30" borderId="16" xfId="4" applyFont="1" applyFill="1" applyBorder="1" applyAlignment="1">
      <alignment horizontal="center" vertical="center" wrapText="1"/>
    </xf>
    <xf numFmtId="0" fontId="34" fillId="30" borderId="20" xfId="4" applyFont="1" applyFill="1" applyBorder="1" applyAlignment="1">
      <alignment horizontal="center" vertical="center" wrapText="1"/>
    </xf>
    <xf numFmtId="0" fontId="34" fillId="30" borderId="22" xfId="4" applyFont="1" applyFill="1" applyBorder="1" applyAlignment="1">
      <alignment horizontal="center" vertical="center" wrapText="1"/>
    </xf>
    <xf numFmtId="0" fontId="34" fillId="30" borderId="21" xfId="4" applyFont="1" applyFill="1" applyBorder="1" applyAlignment="1">
      <alignment horizontal="center" vertical="center" wrapText="1"/>
    </xf>
    <xf numFmtId="0" fontId="35" fillId="0" borderId="38" xfId="4" applyFont="1" applyBorder="1" applyAlignment="1">
      <alignment horizontal="center" vertical="center" wrapText="1"/>
    </xf>
    <xf numFmtId="0" fontId="35" fillId="0" borderId="39" xfId="4" applyFont="1" applyBorder="1" applyAlignment="1">
      <alignment horizontal="center" vertical="center" wrapText="1"/>
    </xf>
    <xf numFmtId="0" fontId="35" fillId="0" borderId="40" xfId="4" applyFont="1" applyBorder="1" applyAlignment="1">
      <alignment horizontal="center" vertical="center" wrapText="1"/>
    </xf>
    <xf numFmtId="0" fontId="36" fillId="0" borderId="25" xfId="4" applyFont="1" applyBorder="1" applyAlignment="1">
      <alignment horizontal="left" vertical="center"/>
    </xf>
    <xf numFmtId="0" fontId="37" fillId="0" borderId="25" xfId="4" applyFont="1" applyBorder="1" applyAlignment="1">
      <alignment horizontal="left" vertical="center"/>
    </xf>
    <xf numFmtId="0" fontId="36" fillId="0" borderId="25" xfId="4" applyFont="1" applyBorder="1" applyAlignment="1">
      <alignment horizontal="left" vertical="center" wrapText="1"/>
    </xf>
    <xf numFmtId="0" fontId="37" fillId="0" borderId="25" xfId="4" applyFont="1" applyBorder="1" applyAlignment="1">
      <alignment horizontal="left" vertical="center" wrapText="1"/>
    </xf>
    <xf numFmtId="0" fontId="38" fillId="0" borderId="32" xfId="8" applyFont="1" applyBorder="1" applyAlignment="1">
      <alignment horizontal="right"/>
    </xf>
    <xf numFmtId="0" fontId="38" fillId="0" borderId="34" xfId="8" applyFont="1" applyBorder="1" applyAlignment="1">
      <alignment horizontal="right"/>
    </xf>
    <xf numFmtId="0" fontId="35" fillId="0" borderId="32" xfId="8" applyFont="1" applyBorder="1"/>
    <xf numFmtId="0" fontId="35" fillId="0" borderId="34" xfId="8" applyFont="1" applyBorder="1"/>
    <xf numFmtId="0" fontId="38" fillId="0" borderId="32" xfId="8" applyFont="1" applyBorder="1" applyAlignment="1">
      <alignment horizontal="center"/>
    </xf>
    <xf numFmtId="0" fontId="38" fillId="0" borderId="34" xfId="8" applyFont="1" applyBorder="1" applyAlignment="1">
      <alignment horizontal="center"/>
    </xf>
    <xf numFmtId="0" fontId="44" fillId="0" borderId="0" xfId="8" applyFont="1" applyAlignment="1">
      <alignment horizontal="center" vertical="center"/>
    </xf>
    <xf numFmtId="0" fontId="0" fillId="0" borderId="25" xfId="0" applyBorder="1" applyAlignment="1">
      <alignment horizontal="center"/>
    </xf>
    <xf numFmtId="0" fontId="47" fillId="0" borderId="54" xfId="10" applyFont="1" applyBorder="1" applyAlignment="1">
      <alignment horizontal="center" vertical="center" wrapText="1"/>
    </xf>
    <xf numFmtId="0" fontId="47" fillId="0" borderId="52" xfId="10" applyFont="1" applyBorder="1" applyAlignment="1">
      <alignment horizontal="center" vertical="center" wrapText="1"/>
    </xf>
    <xf numFmtId="2" fontId="47" fillId="0" borderId="0" xfId="9" applyFont="1" applyAlignment="1">
      <alignment horizontal="center" vertical="center"/>
    </xf>
    <xf numFmtId="0" fontId="47" fillId="0" borderId="0" xfId="10" applyFont="1" applyAlignment="1">
      <alignment horizontal="center" vertical="center" wrapText="1"/>
    </xf>
    <xf numFmtId="49" fontId="52" fillId="0" borderId="0" xfId="9" applyNumberFormat="1" applyFont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/>
    </xf>
    <xf numFmtId="4" fontId="0" fillId="0" borderId="59" xfId="0" applyNumberFormat="1" applyBorder="1" applyAlignment="1">
      <alignment horizontal="center" vertical="center"/>
    </xf>
    <xf numFmtId="4" fontId="0" fillId="0" borderId="60" xfId="0" applyNumberFormat="1" applyBorder="1" applyAlignment="1">
      <alignment horizontal="center" vertical="center"/>
    </xf>
  </cellXfs>
  <cellStyles count="15">
    <cellStyle name="Moeda" xfId="14" builtinId="4"/>
    <cellStyle name="Normal" xfId="0" builtinId="0"/>
    <cellStyle name="Normal 10 2 2" xfId="8" xr:uid="{494875AD-5502-401B-B620-605FCE453B63}"/>
    <cellStyle name="Normal 12" xfId="5" xr:uid="{460A63F3-FB8F-4E38-804C-8130FC62D459}"/>
    <cellStyle name="Normal 15" xfId="4" xr:uid="{FEF505E4-8C6E-4026-818F-F0B0B6BE778C}"/>
    <cellStyle name="Normal 2 2 2 2 2" xfId="6" xr:uid="{64521B2D-B9E0-4902-A21B-F79ABF8A2417}"/>
    <cellStyle name="Normal 3 2 2" xfId="1" xr:uid="{8204D8BD-70D1-4290-97B0-5439F95EC2AF}"/>
    <cellStyle name="Normal_CRONOGRAMA FÍSICO-FINANCEIRO PRAÇAS ABR08" xfId="9" xr:uid="{D828F383-04AD-4284-8E87-BBA71F2A16E9}"/>
    <cellStyle name="Normal_Plan1" xfId="10" xr:uid="{8924D50D-E0E6-4C83-B284-F58DEDAA6786}"/>
    <cellStyle name="Porcentagem" xfId="12" builtinId="5"/>
    <cellStyle name="Porcentagem 8" xfId="13" xr:uid="{20BCB125-F294-40D8-BAA0-E75D7719E8C6}"/>
    <cellStyle name="Separador de milhares 2" xfId="3" xr:uid="{0C96AF65-FB4F-439C-889A-E0015668C9D7}"/>
    <cellStyle name="Vírgula" xfId="11" builtinId="3"/>
    <cellStyle name="Vírgula 2" xfId="2" xr:uid="{FBE3FFD7-8F90-4F76-8F7C-800351E69CEB}"/>
    <cellStyle name="Vírgula 2 2 2" xfId="7" xr:uid="{4C8D0E21-7CDC-42FB-B70E-7EE0930D14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38100</xdr:rowOff>
    </xdr:from>
    <xdr:to>
      <xdr:col>3</xdr:col>
      <xdr:colOff>22861</xdr:colOff>
      <xdr:row>2</xdr:row>
      <xdr:rowOff>68580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507E7B-BBAF-4CC3-83EF-3F5A9B077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1" y="38100"/>
          <a:ext cx="24993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99060</xdr:rowOff>
    </xdr:from>
    <xdr:to>
      <xdr:col>1</xdr:col>
      <xdr:colOff>899160</xdr:colOff>
      <xdr:row>1</xdr:row>
      <xdr:rowOff>1005840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8D6F2A-BB09-49F5-943E-95B9CACD0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99060"/>
          <a:ext cx="16535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35983</xdr:colOff>
      <xdr:row>1</xdr:row>
      <xdr:rowOff>17991</xdr:rowOff>
    </xdr:from>
    <xdr:to>
      <xdr:col>11</xdr:col>
      <xdr:colOff>655108</xdr:colOff>
      <xdr:row>5</xdr:row>
      <xdr:rowOff>16086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B014A4F-38D5-4DB6-A8AC-541A7DA03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9183" y="208491"/>
          <a:ext cx="2082165" cy="6915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83821</xdr:colOff>
      <xdr:row>0</xdr:row>
      <xdr:rowOff>0</xdr:rowOff>
    </xdr:from>
    <xdr:to>
      <xdr:col>2</xdr:col>
      <xdr:colOff>68581</xdr:colOff>
      <xdr:row>3</xdr:row>
      <xdr:rowOff>792480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FC6EC3-97EE-4247-B2B2-57AE39029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1" y="0"/>
          <a:ext cx="2598420" cy="1630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15240</xdr:colOff>
      <xdr:row>1</xdr:row>
      <xdr:rowOff>975360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309F0A-BB89-4ED7-8052-C89BEDA0C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69164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35983</xdr:colOff>
      <xdr:row>1</xdr:row>
      <xdr:rowOff>17991</xdr:rowOff>
    </xdr:from>
    <xdr:to>
      <xdr:col>11</xdr:col>
      <xdr:colOff>655108</xdr:colOff>
      <xdr:row>4</xdr:row>
      <xdr:rowOff>259080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73FD88-7E00-471B-B787-52E189EE8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0143" y="200871"/>
          <a:ext cx="2082165" cy="7821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2</xdr:col>
      <xdr:colOff>922020</xdr:colOff>
      <xdr:row>2</xdr:row>
      <xdr:rowOff>137160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7DE6FE6-D5E5-4DAC-907F-A3D1387D4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2293620" cy="12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35983</xdr:colOff>
      <xdr:row>1</xdr:row>
      <xdr:rowOff>17991</xdr:rowOff>
    </xdr:from>
    <xdr:to>
      <xdr:col>11</xdr:col>
      <xdr:colOff>655108</xdr:colOff>
      <xdr:row>5</xdr:row>
      <xdr:rowOff>16086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2D69A5-A350-4609-A6A2-0C872AE23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9183" y="208491"/>
          <a:ext cx="2082165" cy="6915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922020</xdr:colOff>
      <xdr:row>2</xdr:row>
      <xdr:rowOff>99060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25B381-916F-4AA9-922F-82948ADB4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293620" cy="12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883920</xdr:colOff>
      <xdr:row>2</xdr:row>
      <xdr:rowOff>83820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CD0FAE1-0D2B-41CD-9911-2A3295E05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16459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35983</xdr:colOff>
      <xdr:row>1</xdr:row>
      <xdr:rowOff>17991</xdr:rowOff>
    </xdr:from>
    <xdr:to>
      <xdr:col>11</xdr:col>
      <xdr:colOff>655108</xdr:colOff>
      <xdr:row>5</xdr:row>
      <xdr:rowOff>16086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77C376-DD16-4426-9C92-35C423B33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9183" y="208491"/>
          <a:ext cx="2082165" cy="6915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45720</xdr:rowOff>
    </xdr:from>
    <xdr:to>
      <xdr:col>2</xdr:col>
      <xdr:colOff>998220</xdr:colOff>
      <xdr:row>2</xdr:row>
      <xdr:rowOff>68580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00849B-BA5F-4471-89A0-69C32BF35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243078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uize/Documents/PMI/2020/SECRETARIA%20DE%20INFRA/Pavimenta&#231;&#227;o%20Padre%20Van%20Lil/PO_PAV_RUA_URSULINO_PEREIRA%20_e_PADRE_VAN_LIL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8611bd1333be1ac/&#193;rea%20de%20Trabalho/PREFEITURA%20DE%20ITAMB&#201;%20-%20PE/REFORMA%20DAS%20ESCOLAS.xlsx" TargetMode="External"/><Relationship Id="rId1" Type="http://schemas.openxmlformats.org/officeDocument/2006/relationships/externalLinkPath" Target="https://d.docs.live.net/c8611bd1333be1ac/&#193;rea%20de%20Trabalho/PREFEITURA%20DE%20ITAMB&#201;%20-%20PE/REFORMA%20DAS%20ESCOL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ze/OneDrive/Documentos/PMI/2020/SECRETARIA%20DE%20INFRA/Ampliaca&#231;&#227;o%20PMI/OR&#199;AMENTO%20AMPLIA&#199;&#195;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M"/>
      <sheetName val="PLANILHA ORÇAMENTÁRIA"/>
      <sheetName val="MEMÓRIA DE CÁLCULO"/>
      <sheetName val="RESUMO"/>
      <sheetName val="CRONOGRAMA"/>
      <sheetName val="COMPOSIÇÕES ANALÍTICAS"/>
      <sheetName val="COMPOSIÇÃO DO BDI"/>
      <sheetName val="ENCARGOS SOCIAIS"/>
      <sheetName val="TAB SINAPI JAN18 NÃO DESON."/>
      <sheetName val="TAB SINAPI JAN18 DESON."/>
    </sheetNames>
    <sheetDataSet>
      <sheetData sheetId="0" refreshError="1"/>
      <sheetData sheetId="1" refreshError="1">
        <row r="2">
          <cell r="E2" t="str">
            <v>PREFEITURA MUNICIPAL DE ITAMBÉ</v>
          </cell>
        </row>
        <row r="3">
          <cell r="E3" t="str">
            <v>SECRETARIA DE INFRAESTRUTURA</v>
          </cell>
        </row>
        <row r="11">
          <cell r="E11" t="str">
            <v>SERVIÇOS PRELIMINARES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AFAYETE"/>
      <sheetName val="MEMORIA DE CALCULO LAFAYETE"/>
      <sheetName val="MOCINHA BARBALHO"/>
      <sheetName val="MEMORIA DE CALCULO MOCINHA"/>
      <sheetName val="VOVO PESSOINHA"/>
      <sheetName val="MEMORIA DE CALCULO PESSOINHA"/>
      <sheetName val="JANDUIR OK"/>
      <sheetName val="MEMORIA DE CALCULO JANDUIR"/>
      <sheetName val="CRONOGRAMA"/>
      <sheetName val="COMPOSIÇÕES"/>
      <sheetName val="COMPOSIÇÃO DO BDI"/>
      <sheetName val="ENCARGOS SOCIAIS"/>
    </sheetNames>
    <sheetDataSet>
      <sheetData sheetId="0">
        <row r="2">
          <cell r="D2" t="str">
            <v>OBRA: REFORMA DA ESCOLA LAFAYETE NUNES MACHADO</v>
          </cell>
        </row>
        <row r="9">
          <cell r="D9" t="str">
            <v>SERVIÇOS PRELIMINARES</v>
          </cell>
        </row>
        <row r="10">
          <cell r="D10" t="str">
            <v>DEMOLIÇÃO MANUAL DE PISO CIMENTADO SOBRE LASTRO DE CONCRETO - REV 01</v>
          </cell>
          <cell r="E10" t="str">
            <v>M²</v>
          </cell>
        </row>
        <row r="12">
          <cell r="D12" t="str">
            <v>CONTRAPISO EM ARGAMASSA TRAÇO 1:4 (CIMENTO E AREIA), PREPARO MANUAL, APLICADO EM ÁREAS MOLHADAS SOBRE IMPERMEABILIZAÇÃO, ACABAMENTO NÃO REFORÇADO, ESPESSURA 3CM. AF_07/2021</v>
          </cell>
          <cell r="E12" t="str">
            <v>M²</v>
          </cell>
        </row>
        <row r="13">
          <cell r="D13" t="str">
            <v>EXECUÇÃO DE PASSEIO (CALÇADA) OU PISO DE CONCRETO COM CONCRETO MOLDADO IN LOCO, FEITO EM OBRA, ACABAMENTO CONVENCIONAL, ESPESSURA 8 CM, ARMADO. AF_08/2022</v>
          </cell>
        </row>
        <row r="14">
          <cell r="D14" t="str">
            <v>PINTURA</v>
          </cell>
        </row>
        <row r="15">
          <cell r="D15" t="str">
            <v>PINTURA DE DEMARCAÇÃO DE QUADRA POLIESPORTIVA COM TINTA EPÓXI, E = 5 CM, APLICAÇÃO MANUAL. AF_05/2021</v>
          </cell>
          <cell r="E15" t="str">
            <v>M</v>
          </cell>
        </row>
        <row r="17">
          <cell r="D17" t="str">
            <v xml:space="preserve">	REVISÃO DE PONTO DE TOMADA SIMPLES COM REPOSIÇÃO DA TOMADA E DA FIAÇÃO</v>
          </cell>
          <cell r="E17" t="str">
            <v>PT</v>
          </cell>
        </row>
        <row r="18">
          <cell r="D18" t="str">
            <v>REVISÃO DE PONTO DE INTERRUPTOR COM REPOSIÇÃO DO INTERRUPTOR E FIAÇÃO</v>
          </cell>
          <cell r="E18" t="str">
            <v>PT</v>
          </cell>
        </row>
        <row r="19">
          <cell r="D19" t="str">
            <v>HIDRAULICA</v>
          </cell>
        </row>
        <row r="20">
          <cell r="D20" t="str">
            <v>CAIXA DE DESCARGA DE SOBREPOR COMPLETA AKROS OU SIMILAR</v>
          </cell>
          <cell r="E20" t="str">
            <v>UND</v>
          </cell>
        </row>
        <row r="21">
          <cell r="D21" t="str">
            <v>SIFÃO DO TIPO FLEXÍVEL EM PVC 1  X 1.1/2  - FORNECIMENTO E INSTALAÇÃO. AF_01/2020</v>
          </cell>
          <cell r="E21" t="str">
            <v>UND</v>
          </cell>
        </row>
        <row r="22">
          <cell r="D22" t="str">
            <v>ENGATE FLEXÍVEL EM PLÁSTICO BRANCO, 1/2 X 30CM - FORNECIMENTO E INSTALAÇÃO. AF_01/2020</v>
          </cell>
          <cell r="E22" t="str">
            <v>UND</v>
          </cell>
        </row>
        <row r="23">
          <cell r="D23" t="str">
            <v>TORNEIRA CROMADA LONGA, DE PAREDE, 1/2 OU 3/4, PARA PIA DE COZINHA, PADRÃO POPULAR - FORNECIMENTO E INSTALAÇÃO. AF_01/2020</v>
          </cell>
          <cell r="E23" t="str">
            <v>UND</v>
          </cell>
        </row>
        <row r="24">
          <cell r="D24" t="str">
            <v>DIVERSOS</v>
          </cell>
        </row>
        <row r="25">
          <cell r="D25" t="str">
            <v>ALAMBRADO COM TELA DE ARAME GALVANIZADO FIO 12 BWG, MALHA 3, COM TUBO DE AÇO GALVANIZADO 3(VERTICAL) E DE 1.1/2(HORIZONTAL SUPERIOR), FORMANDO QUADROS DE 3,10 X 2.50 M, ASSENTADA SOBRE ALAMBRADO EXISTENTE</v>
          </cell>
          <cell r="E25" t="str">
            <v>M2</v>
          </cell>
        </row>
        <row r="26">
          <cell r="D26" t="str">
            <v xml:space="preserve">	ALAMBRADO COM TELA DE NYLON, MALHA 3.6 MM, , EXCETO MURETA</v>
          </cell>
          <cell r="E26" t="str">
            <v>M2</v>
          </cell>
        </row>
        <row r="27">
          <cell r="D27" t="str">
            <v>FORRO EM RÉGUAS DE PVC, FRISADO, PARA AMBIENTES COMERCIAIS, INCLUSIVE ESTRUTURA DE FIXAÇÃO. AF_05/2017_PS</v>
          </cell>
          <cell r="E27" t="str">
            <v>M2</v>
          </cell>
        </row>
        <row r="28">
          <cell r="D28" t="str">
            <v>FORRO EM PLACAS DE GESSO, PARA AMBIENTES RESIDENCIAIS. AF_05/2017_PS</v>
          </cell>
          <cell r="E28" t="str">
            <v>M2</v>
          </cell>
        </row>
        <row r="29">
          <cell r="C29" t="str">
            <v>7.0</v>
          </cell>
          <cell r="D29" t="str">
            <v>COBERTA</v>
          </cell>
        </row>
        <row r="30">
          <cell r="D30" t="str">
            <v>RETIRADA E RECOLOCAÇÃO DE  TELHA CERÂMICA CAPA-CANAL, COM ATÉ DUAS ÁGUAS, INCLUSO IÇAMENTO. AF_07/2019</v>
          </cell>
          <cell r="E30" t="str">
            <v>M2</v>
          </cell>
          <cell r="F30">
            <v>934</v>
          </cell>
        </row>
        <row r="31">
          <cell r="D31" t="str">
            <v>CUMEEIRA E ESPIGÃO PARA TELHA CERÂMICA EMBOÇADA COM ARGAMASSA TRAÇO 1:2:9 (CIMENTO, CAL E AREIA), PARA TELHADOS COM MAIS DE 2 ÁGUAS, INCLUSO TRANSPORTE VERTICAL. AF_07/2019</v>
          </cell>
          <cell r="E31" t="str">
            <v>M</v>
          </cell>
        </row>
        <row r="32">
          <cell r="D32" t="str">
            <v>DIVERSOS</v>
          </cell>
        </row>
        <row r="33">
          <cell r="D33" t="str">
            <v>LIMPEZA GERAL</v>
          </cell>
          <cell r="E33" t="str">
            <v>M2</v>
          </cell>
          <cell r="F33">
            <v>1009</v>
          </cell>
        </row>
      </sheetData>
      <sheetData sheetId="1"/>
      <sheetData sheetId="2">
        <row r="2">
          <cell r="D2" t="str">
            <v>OBRA: AMPLIAÇÃO DA ESCOLA MOCINHA BARBALHO</v>
          </cell>
        </row>
        <row r="10">
          <cell r="D10" t="str">
            <v>DEMOLIÇÃO MANUAL DE PISO CIMENTADO SOBRE LASTRO DE CONCRETO - REV 01</v>
          </cell>
          <cell r="E10" t="str">
            <v>M2</v>
          </cell>
        </row>
        <row r="11">
          <cell r="D11" t="str">
            <v>ESCAVAÇÃO MANUAL DE VALA COM PROFUNDIDADE MENOR OU IGUAL A 1,30 M. AF_02/2021</v>
          </cell>
          <cell r="E11" t="str">
            <v>M3</v>
          </cell>
        </row>
        <row r="12">
          <cell r="C12" t="str">
            <v>1.3</v>
          </cell>
          <cell r="D12" t="str">
            <v>LASTRO DE CONCRETO MAGRO, APLICADO EM PISOS, LAJES SOBRE SOLO OU RADIERS. AF_08/2017</v>
          </cell>
          <cell r="E12" t="str">
            <v>M3</v>
          </cell>
        </row>
        <row r="13">
          <cell r="D13" t="str">
            <v>FUNDAÇÃO</v>
          </cell>
        </row>
        <row r="14">
          <cell r="D14" t="str">
            <v>ARMAÇÃO DE BLOCO, VIGA BALDRAME OU SAPATA UTILIZANDO AÇO CA-50 DE 8 MM - MONTAGEM. AF_06/2017</v>
          </cell>
          <cell r="E14" t="str">
            <v>KG</v>
          </cell>
        </row>
        <row r="15">
          <cell r="D15" t="str">
            <v>FABRICAÇÃO, MONTAGEM E DESMONTAGEM DE FÔRMA PARA SAPATA, EM CHAPA DE MADEIRA COMPENSADA RESINADA, E=17 MM, 2 UTILIZAÇÕES. AF_06/2017</v>
          </cell>
          <cell r="E15" t="str">
            <v>M2</v>
          </cell>
        </row>
        <row r="16">
          <cell r="D16" t="str">
            <v>CONCRETAGEM DE SAPATAS, FCK 30 MPA, COM USO DE BOMBA  LANÇAMENTO, ADENSAMENTO E ACABAMENTO. AF_11/2016</v>
          </cell>
          <cell r="E16" t="str">
            <v>M3</v>
          </cell>
        </row>
        <row r="17">
          <cell r="D17" t="str">
            <v>ARMAÇÃO DE BLOCO, VIGA BALDRAME E SAPATA UTILIZANDO AÇO CA-60 DE 5 MM - MONTAGEM. AF_06/2017</v>
          </cell>
          <cell r="E17" t="str">
            <v>KG</v>
          </cell>
        </row>
        <row r="18">
          <cell r="D18" t="str">
            <v>CONCRETAGEM DE BLOCOS DE COROAMENTO E VIGAS BALDRAMES, FCK 30 MPA, COM USO DE BOMBA  LANÇAMENTO, ADENSAMENTO E ACABAMENTO. AF_06/2017</v>
          </cell>
          <cell r="E18" t="str">
            <v>M3</v>
          </cell>
        </row>
        <row r="19">
          <cell r="D19" t="str">
            <v>SUPERESTRUTURA</v>
          </cell>
        </row>
        <row r="20">
          <cell r="D20" t="str">
            <v>ARMAÇÃO DE PILAR OU VIGA DE ESTRUTURA CONVENCIONAL DE CONCRETO ARMADO UTILIZANDO AÇO CA-50 DE 10,0 MM - MONTAGEM. AF_06/2022</v>
          </cell>
          <cell r="E20" t="str">
            <v>KG</v>
          </cell>
        </row>
        <row r="21">
          <cell r="D21" t="str">
            <v>ARMAÇÃO DE PILAR OU VIGA DE ESTRUTURA CONVENCIONAL DE CONCRETO ARMADO UTILIZANDO AÇO CA-60 DE 5,0 MM - MONTAGEM. AF_06/2022</v>
          </cell>
          <cell r="E21" t="str">
            <v>KG</v>
          </cell>
        </row>
        <row r="22">
          <cell r="D22" t="str">
            <v>CONCRETAGEM DE PILARES, FCK = 25 MPA, COM USO DE BOMBA - LANÇAMENTO, ADENSAMENTO E ACABAMENTO. AF_02/2022</v>
          </cell>
          <cell r="E22" t="str">
            <v>M3</v>
          </cell>
        </row>
        <row r="23">
          <cell r="D23" t="str">
            <v>MONTAGEM E DESMONTAGEM DE FÔRMA DE VIGA, ESCORAMENTO METÁLICO, PÉ-DIREITO SIMPLES, EM CHAPA DE MADEIRA PLASTIFICADA, 18 UTILIZAÇÕES. AF_09/2020</v>
          </cell>
          <cell r="E23" t="str">
            <v>M2</v>
          </cell>
        </row>
        <row r="24">
          <cell r="D24" t="str">
            <v>PISO</v>
          </cell>
        </row>
        <row r="25">
          <cell r="D25" t="str">
            <v>CONTRAPISO EM ARGAMASSA TRAÇO 1:4 (CIMENTO E AREIA), PREPARO MANUAL, APLICADO EM ÁREAS MOLHADAS SOBRE IMPERMEABILIZAÇÃO, ACABAMENTO NÃO REFORÇADO, ESPESSURA 3CM. AF_07/2021</v>
          </cell>
          <cell r="E25" t="str">
            <v>M2</v>
          </cell>
        </row>
        <row r="26">
          <cell r="D26" t="str">
            <v>EXECUÇÃO DE PASSEIO (CALÇADA) OU PISO DE CONCRETO COM CONCRETO MOLDADO IN LOCO, FEITO EM OBRA, ACABAMENTO CONVENCIONAL, ESPESSURA 8 CM, ARMADO. AF_08/2022</v>
          </cell>
          <cell r="E26" t="str">
            <v>M2</v>
          </cell>
        </row>
        <row r="27">
          <cell r="D27" t="str">
            <v xml:space="preserve">	PISO DE BLOCOS (LAJOTA) HEXAGONAIS (SEXTAVADO) DE CONCRETO FCK=15MPA E = 8CM CONCRETO SOBRE COLCHÃO DE AREIA</v>
          </cell>
          <cell r="E27" t="str">
            <v>M2</v>
          </cell>
        </row>
        <row r="28">
          <cell r="D28" t="str">
            <v>REVESTIMENTO E PINTURA</v>
          </cell>
        </row>
        <row r="29">
          <cell r="D29" t="str">
            <v>MASSA ÚNICA, PARA RECEBIMENTO DE PINTURA, EM ARGAMASSA TRAÇO 1:2:8, PREPARO MECÂNICO COM BETONEIRA 400L, APLICADA MANUALMENTE EM FACES INTERNAS DE PAREDES, ESPESSURA DE 20MM, COM EXECUÇÃO DE TALISCAS. AF_06/2014</v>
          </cell>
          <cell r="E29" t="str">
            <v>M2</v>
          </cell>
        </row>
        <row r="30">
          <cell r="D30" t="str">
            <v>APLICAÇÃO E LIXAMENTO DE MASSA LÁTEX EM PAREDES, DUAS DEMÃOS. AF_06/2014</v>
          </cell>
          <cell r="E30" t="str">
            <v>M2</v>
          </cell>
        </row>
        <row r="31">
          <cell r="D31" t="str">
            <v>APLICAÇÃO MANUAL DE FUNDO SELADOR ACRÍLICO EM PAREDES EXTERNAS DE CASAS. AF_06/2014</v>
          </cell>
          <cell r="E31" t="str">
            <v>M2</v>
          </cell>
        </row>
        <row r="32">
          <cell r="D32" t="str">
            <v>APLICAÇÃO MANUAL DE TINTA LÁTEX ACRÍLICA EM PAREDE EXTERNAS DE CASAS, DUAS DEMÃOS. AF_11/2016</v>
          </cell>
          <cell r="E32" t="str">
            <v>M2</v>
          </cell>
        </row>
        <row r="33">
          <cell r="D33" t="str">
            <v>ELETRICA</v>
          </cell>
        </row>
        <row r="34">
          <cell r="D34" t="str">
            <v xml:space="preserve">	REVISÃO DE PONTO DE TOMADA SIMPLES COM REPOSIÇÃO DA TOMADA E DA FIAÇÃO</v>
          </cell>
          <cell r="E34" t="str">
            <v>PT</v>
          </cell>
        </row>
        <row r="35">
          <cell r="D35" t="str">
            <v>REVISÃO DE PONTO DE INTERRUPTOR COM REPOSIÇÃO DO INTERRUPTOR E FIAÇÃO</v>
          </cell>
          <cell r="E35" t="str">
            <v>PT</v>
          </cell>
        </row>
        <row r="36">
          <cell r="D36" t="str">
            <v>REVISÃO DE PONTO DE LUZ TIPO 3, EM TETO OU PAREDE</v>
          </cell>
          <cell r="E36" t="str">
            <v>PT</v>
          </cell>
        </row>
        <row r="37">
          <cell r="D37" t="str">
            <v>LÂMPADA COMPACTA DE LED 10 W, BASE E27 - FORNECIMENTO E INSTALAÇÃO. AF_02/2020</v>
          </cell>
          <cell r="E37" t="str">
            <v>UN</v>
          </cell>
        </row>
        <row r="39">
          <cell r="D39" t="str">
            <v>TRAMA DE MADEIRA COMPOSTA POR RIPAS, CAIBROS E TERÇAS PARA TELHADOS DE ATÉ 2 ÁGUAS PARA TELHA CERÂMICA CAPA-CANAL, INCLUSO TRANSPORTE VERTICAL. AF_07/2019</v>
          </cell>
          <cell r="E39" t="str">
            <v>M2</v>
          </cell>
          <cell r="F39">
            <v>72.2</v>
          </cell>
        </row>
        <row r="40">
          <cell r="D40" t="str">
            <v>TELHAMENTO COM TELHA CERÂMICA CAPA-CANAL, TIPO COLONIAL, COM ATÉ 2 ÁGUAS, INCLUSO TRANSPORTE VERTICAL. AF_07/2019</v>
          </cell>
          <cell r="E40" t="str">
            <v>M2</v>
          </cell>
        </row>
        <row r="41">
          <cell r="D41" t="str">
            <v>CALHA EM CHAPA DE ALUMINIO,
DESENVOLVIMENTO 160 CM</v>
          </cell>
          <cell r="E41" t="str">
            <v>M</v>
          </cell>
        </row>
        <row r="42">
          <cell r="D42" t="str">
            <v>TUBO PVC, SÉRIE R, ÁGUA PLUVIAL, DN 100 MM, FORNECIDO E INSTALADO EM RAMAL DE ENCAMINHAMENTO. AF_06/2022</v>
          </cell>
          <cell r="E42" t="str">
            <v>M</v>
          </cell>
        </row>
        <row r="43">
          <cell r="D43" t="str">
            <v>RETIRADA E RECOLOCAÇÃO DE  TELHA CERÂMICA CAPA-CANAL, COM ATÉ DUAS ÁGUAS, INCLUSO IÇAMENTO. AF_07/2019</v>
          </cell>
          <cell r="E43" t="str">
            <v>M2</v>
          </cell>
          <cell r="F43">
            <v>369</v>
          </cell>
        </row>
        <row r="44">
          <cell r="D44" t="str">
            <v>CUMEEIRA E ESPIGÃO PARA TELHA CERÂMICA EMBOÇADA COM ARGAMASSA TRAÇO 1:2:9 (CIMENTO, CAL E AREIA), PARA TELHADOS COM MAIS DE 2 ÁGUAS, INCLUSO TRANSPORTE VERTICAL. AF_07/2019</v>
          </cell>
          <cell r="E44" t="str">
            <v>M</v>
          </cell>
          <cell r="F44">
            <v>44</v>
          </cell>
        </row>
        <row r="45">
          <cell r="D45" t="str">
            <v>DIVERSOS</v>
          </cell>
        </row>
        <row r="46">
          <cell r="D46" t="str">
            <v>FORRO EM RÉGUAS DE PVC, FRISADO, PARA AMBIENTES COMERCIAIS, INCLUSIVE ESTRUTURA DE FIXAÇÃO. AF_05/2017_PS</v>
          </cell>
          <cell r="E46" t="str">
            <v>M2</v>
          </cell>
        </row>
        <row r="47">
          <cell r="D47" t="str">
            <v>LIMPEZA GERAL</v>
          </cell>
          <cell r="E47" t="str">
            <v>M2</v>
          </cell>
          <cell r="F47">
            <v>207.35</v>
          </cell>
        </row>
      </sheetData>
      <sheetData sheetId="3"/>
      <sheetData sheetId="4">
        <row r="2">
          <cell r="D2" t="str">
            <v>OBRA: REFORMA DA CRECHE VOVO PESSOINHA, NO DISTRITO DE QUEBEC</v>
          </cell>
        </row>
        <row r="10">
          <cell r="D10" t="str">
            <v>DEMOLIÇÃO DE ALVENARIA DE BLOCO FURADO, DE FORMA MANUAL, SEM REAPROVEITAMENTO. AF_12/2017</v>
          </cell>
          <cell r="E10" t="str">
            <v>M3</v>
          </cell>
        </row>
        <row r="13">
          <cell r="D13" t="str">
            <v>ATERRO MANUAL DE VALAS COM AREIA PARA ATERRO E COMPACTAÇÃO MECANIZADA. AF_05/2016</v>
          </cell>
          <cell r="E13" t="str">
            <v>M3</v>
          </cell>
        </row>
        <row r="14">
          <cell r="D14" t="str">
            <v>ELEVAÇÃO</v>
          </cell>
        </row>
        <row r="15">
          <cell r="D15" t="str">
            <v>ALVENARIA EMBASAMENTO TIJOLO CERAMICO FURADO 10X20X20 CM</v>
          </cell>
          <cell r="E15" t="str">
            <v>M3</v>
          </cell>
        </row>
        <row r="16">
          <cell r="D16" t="str">
            <v>ALVENARIA DE VEDAÇÃO DE BLOCOS CERÂMICOS FURADOS NA HORIZONTAL DE 9X19X19 CM (ESPESSURA 9 CM) E ARGAMASSA DE ASSENTAMENTO COM PREPARO MANUAL. AF_12/2021</v>
          </cell>
          <cell r="E16" t="str">
            <v>M2</v>
          </cell>
        </row>
        <row r="17">
          <cell r="D17" t="str">
            <v>REVESTIMENTO</v>
          </cell>
        </row>
        <row r="18">
          <cell r="D18" t="str">
            <v>CHAPISCO APLICADO EM ALVENARIAS E ESTRUTURAS DE CONCRETO INTERNAS, COM COLHER DE PEDREIRO.  ARGAMASSA TRAÇO 1:3 COM PREPARO MANUAL. AF_06/2014</v>
          </cell>
          <cell r="E18" t="str">
            <v>M2</v>
          </cell>
        </row>
        <row r="19">
          <cell r="D19" t="str">
            <v>MASSA ÚNICA, PARA RECEBIMENTO DE PINTURA, EM ARGAMASSA TRAÇO 1:2:8, PREPARO MECÂNICO COM BETONEIRA 400L, APLICADA MANUALMENTE EM FACES INTERNAS DE PAREDES, ESPESSURA DE 20MM, COM EXECUÇÃO DE TALISCAS. AF_06/2014</v>
          </cell>
          <cell r="E19" t="str">
            <v>M2</v>
          </cell>
        </row>
        <row r="21">
          <cell r="D21" t="str">
            <v>CONTRAPISO EM ARGAMASSA TRAÇO 1:4 (CIMENTO E AREIA), PREPARO MANUAL, APLICADO EM ÁREAS MOLHADAS SOBRE IMPERMEABILIZAÇÃO, ACABAMENTO NÃO REFORÇADO, ESPESSURA 3CM. AF_07/2021</v>
          </cell>
          <cell r="E21" t="str">
            <v>M2</v>
          </cell>
        </row>
        <row r="22">
          <cell r="D22" t="str">
            <v>PISO CIMENTADO, TRAÇO 1:3 (CIMENTO E AREIA), ACABAMENTO LISO, ESPESSURA 4,0 CM, PREPARO MECÂNICO DA ARGAMASSA. AF_09/2020</v>
          </cell>
          <cell r="E22" t="str">
            <v>M2</v>
          </cell>
        </row>
        <row r="23">
          <cell r="D23" t="str">
            <v xml:space="preserve">	PISO DE BLOCOS (LAJOTA) HEXAGONAIS (SEXTAVADO) DE CONCRETO FCK=15MPA E = 8CM CONCRETO SOBRE COLCHÃO DE AREIA</v>
          </cell>
          <cell r="E23" t="str">
            <v>M2</v>
          </cell>
        </row>
        <row r="24">
          <cell r="D24" t="str">
            <v>REVESTIMENTO CERÂMICO PARA PISO COM PLACAS TIPO ESMALTADA EXTRA DE DIMENSÕES 35X35 CM APLICADA EM AMBIENTES DE ÁREA ENTRE 5 M2 E 10 M2. AF_06/2014</v>
          </cell>
          <cell r="E24" t="str">
            <v>M2</v>
          </cell>
        </row>
        <row r="25">
          <cell r="D25" t="str">
            <v>PINTURA</v>
          </cell>
        </row>
        <row r="26">
          <cell r="D26" t="str">
            <v xml:space="preserve">	PREPARO DE SUPERFÍCIE COM LIXAMENTO DE PAREDES E TETOS</v>
          </cell>
          <cell r="E26" t="str">
            <v>M2</v>
          </cell>
          <cell r="F26">
            <v>1065.75</v>
          </cell>
        </row>
        <row r="27">
          <cell r="D27" t="str">
            <v>APLICAÇÃO MANUAL DE MASSA ACRÍLICA EM PAREDES EXTERNAS DE CASAS, DUAS DEMÃOS. AF_05/2017</v>
          </cell>
          <cell r="E27" t="str">
            <v>M2</v>
          </cell>
          <cell r="F27">
            <v>784.94999999999993</v>
          </cell>
        </row>
        <row r="28">
          <cell r="D28" t="str">
            <v>APLICAÇÃO MANUAL DE FUNDO SELADOR ACRÍLICO EM PAREDES EXTERNAS DE CASAS. AF_06/2014</v>
          </cell>
          <cell r="E28" t="str">
            <v>M2</v>
          </cell>
          <cell r="F28">
            <v>1065.75</v>
          </cell>
        </row>
        <row r="29">
          <cell r="D29" t="str">
            <v>APLICAÇÃO MANUAL DE TINTA LÁTEX ACRÍLICA EM PAREDE EXTERNAS DE CASAS, DUAS DEMÃOS. AF_11/2016</v>
          </cell>
          <cell r="E29" t="str">
            <v>M2</v>
          </cell>
          <cell r="F29">
            <v>1065.75</v>
          </cell>
        </row>
        <row r="30">
          <cell r="D30" t="str">
            <v>PINTURA TINTA DE ACABAMENTO (PIGMENTADA) ESMALTE SINTÉTICO ACETINADO EM MADEIRA, 2 DEMÃOS. AF_01/2021</v>
          </cell>
          <cell r="E30" t="str">
            <v>M2</v>
          </cell>
          <cell r="F30">
            <v>68.490000000000009</v>
          </cell>
        </row>
        <row r="31">
          <cell r="D31" t="str">
            <v>PINTURA COM TINTA ALQUÍDICA DE ACABAMENTO (ESMALTE SINTÉTICO ACETINADO) PULVERIZADA SOBRE SUPERFÍCIES METÁLICAS (EXCETO PERFIL) EXECUTADO EM OBRA (02 DEMÃOS). AF_01/2020_P</v>
          </cell>
          <cell r="E31" t="str">
            <v>M2</v>
          </cell>
          <cell r="F31">
            <v>15.27</v>
          </cell>
        </row>
        <row r="32">
          <cell r="D32" t="str">
            <v>INSTALÇAOES ELETRICAS</v>
          </cell>
        </row>
        <row r="33">
          <cell r="D33" t="str">
            <v xml:space="preserve">	REVISÃO DE PONTO DE TOMADA SIMPLES COM REPOSIÇÃO DA TOMADA E DA FIAÇÃO</v>
          </cell>
          <cell r="E33" t="str">
            <v>PT</v>
          </cell>
        </row>
        <row r="34">
          <cell r="D34" t="str">
            <v>REVISÃO DE PONTO DE INTERRUPTOR COM REPOSIÇÃO DO INTERRUPTOR E FIAÇÃO</v>
          </cell>
          <cell r="E34" t="str">
            <v>PT</v>
          </cell>
        </row>
        <row r="35">
          <cell r="D35" t="str">
            <v>PONTO DE TOMADA RESIDENCIAL INCLUINDO TOMADA 10A/250V, CAIXA ELÉTRICA, ELETRODUTO, CABO, RASGO, QUEBRA E CHUMBAMENTO. AF_01/2016</v>
          </cell>
          <cell r="E35" t="str">
            <v>UN</v>
          </cell>
        </row>
        <row r="36">
          <cell r="D36" t="str">
            <v>CABO DE COBRE FLEXÍVEL ISOLADO, 2,5 MM², ANTI-CHAMA 450/750 V, PARA CIRCUITOS TERMINAIS - FORNECIMENTO E INSTALAÇÃO. AF_12/2015</v>
          </cell>
          <cell r="E36" t="str">
            <v>M</v>
          </cell>
        </row>
        <row r="37">
          <cell r="D37" t="str">
            <v>REVISÃO DE PONTO DE LUZ TIPO 3, EM TETO OU PAREDE</v>
          </cell>
          <cell r="E37" t="str">
            <v>UND</v>
          </cell>
        </row>
        <row r="38">
          <cell r="D38" t="str">
            <v>LÂMPADA COMPACTA DE LED 10 W, BASE E27 - FORNECIMENTO E INSTALAÇÃO. AF_02/2020</v>
          </cell>
          <cell r="E38" t="str">
            <v>UN</v>
          </cell>
        </row>
        <row r="39">
          <cell r="D39" t="str">
            <v>INSTALÇAOES HIDROSSANITARIAS</v>
          </cell>
        </row>
        <row r="40">
          <cell r="D40" t="str">
            <v>VASO SANITÁRIO INFANTIL LOUÇA BRANCA - FORNECIMENTO E INSTALACAO. AF_01/2020</v>
          </cell>
          <cell r="E40" t="str">
            <v>UND</v>
          </cell>
        </row>
        <row r="41">
          <cell r="D41" t="str">
            <v>CAIXA DE DESCARGA DE SOBREPOR COMPLETA AKROS OU SIMILAR</v>
          </cell>
          <cell r="E41" t="str">
            <v>UND</v>
          </cell>
        </row>
        <row r="42">
          <cell r="D42" t="str">
            <v>TORNEIRA DE BOIA PARA CAIXA D'ÁGUA, ROSCÁVEL, 3/4" - FORNECIMENTO E INSTALAÇÃO. AF_08/2021</v>
          </cell>
          <cell r="E42" t="str">
            <v>UND</v>
          </cell>
        </row>
        <row r="43">
          <cell r="D43" t="str">
            <v>VASO SANITÁRIO SIFONADO COM CAIXA ACOPLADA LOUÇA BRANCA - PADRÃO MÉDIO, INCLUSO ENGATE FLEXÍVEL EM METAL CROMADO, 1/2  X 40CM - FORNECIMENTO E INSTALAÇÃO. AF_01/2020</v>
          </cell>
          <cell r="E43" t="str">
            <v>UND</v>
          </cell>
        </row>
        <row r="44">
          <cell r="D44" t="str">
            <v>CHUVEIRO ELÉTRICO COMUM CORPO PLÁSTICO, TIPO DUCHA  FORNECIMENTO E INSTALAÇÃO. AF_01/2020</v>
          </cell>
          <cell r="E44" t="str">
            <v>UND</v>
          </cell>
        </row>
        <row r="45">
          <cell r="D45" t="str">
            <v>TORNEIRA CROMADA LONGA, DE PAREDE, 1/2 OU 3/4, PARA PIA DE COZINHA, PADRÃO POPULAR - FORNECIMENTO E INSTALAÇÃO. AF_01/2020</v>
          </cell>
          <cell r="E45" t="str">
            <v>UND</v>
          </cell>
        </row>
        <row r="46">
          <cell r="D46" t="str">
            <v>TORNEIRA CROMADA LONGA, DE PAREDE, 1/2 OU 3/4, PARA PIA DE COZINHA, PADRÃO POPULAR - FORNECIMENTO E INSTALAÇÃO. AF_01/2020</v>
          </cell>
          <cell r="E46" t="str">
            <v>UN</v>
          </cell>
        </row>
        <row r="47">
          <cell r="D47" t="str">
            <v>PONTO DE CONSUMO TERMINAL DE ÁGUA FRIA (SUBRAMAL) COM TUBULAÇÃO DE PVC, DN 25 MM, INSTALADO EM RAMAL DE ÁGUA, INCLUSOS RASGO E CHUMBAMENTO EM ALVENARIA. AF_12/2014</v>
          </cell>
          <cell r="E47" t="str">
            <v>UN</v>
          </cell>
        </row>
        <row r="48">
          <cell r="D48" t="str">
            <v>COBERTA</v>
          </cell>
        </row>
        <row r="49">
          <cell r="D49" t="str">
            <v>TRAMA DE MADEIRA COMPOSTA POR RIPAS, CAIBROS E TERÇAS PARA TELHADOS DE ATÉ 2 ÁGUAS PARA TELHA CERÂMICA CAPA-CANAL, INCLUSO TRANSPORTE VERTICAL. AF_07/2019</v>
          </cell>
          <cell r="E49" t="str">
            <v>M2</v>
          </cell>
        </row>
        <row r="50">
          <cell r="D50" t="str">
            <v>TELHAMENTO COM TELHA CERÂMICA CAPA-CANAL, TIPO COLONIAL, COM ATÉ 2 ÁGUAS, INCLUSO TRANSPORTE VERTICAL. AF_07/2019</v>
          </cell>
          <cell r="E50" t="str">
            <v>M2</v>
          </cell>
        </row>
        <row r="51">
          <cell r="D51" t="str">
            <v>CALHA EM CHAPA DE ALUMINIO,
DESENVOLVIMENTO 160 CM</v>
          </cell>
          <cell r="E51" t="str">
            <v>M</v>
          </cell>
        </row>
        <row r="52">
          <cell r="D52" t="str">
            <v>TUBO PVC, SÉRIE R, ÁGUA PLUVIAL, DN 100 MM, FORNECIDO E INSTALADO EM RAMAL DE ENCAMINHAMENTO. AF_06/2022</v>
          </cell>
          <cell r="E52" t="str">
            <v>M</v>
          </cell>
        </row>
        <row r="53">
          <cell r="D53" t="str">
            <v>RETIRADA E RECOLOCAÇÃO DE  TELHA CERÂMICA CAPA-CANAL, COM ATÉ DUAS ÁGUAS, INCLUSO IÇAMENTO. AF_07/2019</v>
          </cell>
          <cell r="E53" t="str">
            <v>UND</v>
          </cell>
        </row>
        <row r="54">
          <cell r="D54" t="str">
            <v>CUMEEIRA E ESPIGÃO PARA TELHA CERÂMICA EMBOÇADA COM ARGAMASSA TRAÇO 1:2:9 (CIMENTO, CAL E AREIA), PARA TELHADOS COM MAIS DE 2 ÁGUAS, INCLUSO TRANSPORTE VERTICAL. AF_07/2019</v>
          </cell>
          <cell r="E54" t="str">
            <v>M</v>
          </cell>
        </row>
        <row r="55">
          <cell r="D55" t="str">
            <v>RETIRADA E RECOLOCAÇÃO DE CAIBRO EM TELHADOS DE ATÉ 2 ÁGUAS COM TELHA CERÂMICA CAPA-CANAL, INCLUSO TRANSPORTE VERTICAL. AF_07/2019</v>
          </cell>
          <cell r="E55" t="str">
            <v>M2</v>
          </cell>
        </row>
        <row r="56">
          <cell r="D56" t="str">
            <v>RETIRADA E RECOLOCAÇÃO DE RIPA EM TELHADOS DE MAIS DE 2 ÁGUAS COM TELHA CERÂMICA CAPA-CANAL, INCLUSO TRANSPORTE VERTICAL. AF_07/2019</v>
          </cell>
          <cell r="E56" t="str">
            <v>M2</v>
          </cell>
        </row>
        <row r="57">
          <cell r="D57" t="str">
            <v>ESQUADRIAS</v>
          </cell>
        </row>
        <row r="58">
          <cell r="D58" t="str">
            <v>KIT DE PORTA DE MADEIRA PARA PINTURA, SEMI-OCA (LEVE OU MÉDIA), PADRÃO MÉDIO, 80X210CM, ESPESSURA DE 3,5CM, ITENS INCLUSOS: DOBRADIÇAS, MONTAGEM E INSTALAÇÃO DO BATENTE, FECHADURA COM EXECUÇÃO DO FURO - FORNECIMENTO E INSTALAÇÃO. AF_12/2019</v>
          </cell>
          <cell r="E58" t="str">
            <v>UN</v>
          </cell>
        </row>
        <row r="59">
          <cell r="D59" t="str">
            <v>KIT DE PORTA DE MADEIRA PARA PINTURA, SEMI-OCA (LEVE OU MÉDIA), PADRÃO MÉDIO, 70X210CM, ESPESSURA DE 3,5CM, ITENS INCLUSOS: DOBRADIÇAS, MONTAGEM E INSTALAÇÃO DO BATENTE, FECHADURA COM EXECUÇÃO DO FURO - FORNECIMENTO E INSTALAÇÃO. AF_12/2019</v>
          </cell>
          <cell r="E59" t="str">
            <v>UN</v>
          </cell>
        </row>
        <row r="60">
          <cell r="D60" t="str">
            <v>FECHADURA DE EMBUTIR COM CILINDRO, EXTERNA, COMPLETA, ACABAMENTO PADRÃO MÉDIO, INCLUSO EXECUÇÃO DE FURO - FORNECIMENTO E INSTALAÇÃO. AF_12/2019</v>
          </cell>
          <cell r="E60" t="str">
            <v>UN</v>
          </cell>
        </row>
        <row r="61">
          <cell r="D61" t="str">
            <v>REVISÃO DE ESQUADRIA DE MADEIRA</v>
          </cell>
          <cell r="E61" t="str">
            <v>M2</v>
          </cell>
        </row>
        <row r="62">
          <cell r="D62" t="str">
            <v>DIVERSOS</v>
          </cell>
        </row>
        <row r="63">
          <cell r="D63" t="str">
            <v>IMPERMEABILIZAÇÃO DE SUPERFÍCIE COM EMULSÃO ASFÁLTICA, 2 DEMÃOS AF_06/2018</v>
          </cell>
          <cell r="E63" t="str">
            <v>M2</v>
          </cell>
          <cell r="F63">
            <v>34</v>
          </cell>
        </row>
        <row r="64">
          <cell r="D64" t="str">
            <v>FORRO EM RÉGUAS DE PVC, FRISADO, PARA AMBIENTES COMERCIAIS, INCLUSIVE ESTRUTURA DE FIXAÇÃO. AF_05/2017_PS</v>
          </cell>
          <cell r="E64" t="str">
            <v>M2</v>
          </cell>
          <cell r="F64">
            <v>256</v>
          </cell>
        </row>
        <row r="65">
          <cell r="D65" t="str">
            <v>GRADIL EM FERRO FIXADO EM VÃOS DE JANELAS, FORMADO POR BARRAS CHATAS DE 25X4,8 MM. AF_04/2019</v>
          </cell>
          <cell r="E65" t="str">
            <v>M2</v>
          </cell>
        </row>
        <row r="66">
          <cell r="D66" t="str">
            <v>PORTÃO EM TUBO DE AÇO GALVANIZADO COM QUADRO DE DN 1, E VERTICAIS DE DN 1/2</v>
          </cell>
          <cell r="E66" t="str">
            <v>M2</v>
          </cell>
        </row>
        <row r="67">
          <cell r="D67" t="str">
            <v>PRATELEIRA EM COMPENSADO REVESTIDA COM FÓRMICA</v>
          </cell>
          <cell r="E67" t="str">
            <v>M2</v>
          </cell>
        </row>
        <row r="68">
          <cell r="D68" t="str">
            <v>DIVERSOS</v>
          </cell>
        </row>
        <row r="69">
          <cell r="D69" t="str">
            <v>LIMPEZA GERAL</v>
          </cell>
          <cell r="E69" t="str">
            <v>M2</v>
          </cell>
          <cell r="F69">
            <v>561</v>
          </cell>
        </row>
      </sheetData>
      <sheetData sheetId="5"/>
      <sheetData sheetId="6">
        <row r="15">
          <cell r="D15" t="str">
            <v>INFRAESTRUTURA</v>
          </cell>
        </row>
        <row r="16">
          <cell r="D16" t="str">
            <v>ESCAVAÇÃO MANUAL PARA BLOCO DE COROAMENTO OU SAPATA (INCLUINDO ESCAVAÇÃO PARA COLOCAÇÃO DE FÔRMAS). AF_06/2017</v>
          </cell>
        </row>
        <row r="17">
          <cell r="D17" t="str">
            <v>ARMAÇÃO DE BLOCO, VIGA BALDRAME OU SAPATA UTILIZANDO AÇO CA-50 DE 10 MM - MONTAGEM. AF_06/2017</v>
          </cell>
        </row>
        <row r="18">
          <cell r="D18" t="str">
            <v>FABRICAÇÃO, MONTAGEM E DESMONTAGEM DE FÔRMA PARA SAPATA, EM MADEIRA SERRADA, E=25 MM, 4 UTILIZAÇÕES. AF_06/2017</v>
          </cell>
        </row>
        <row r="19">
          <cell r="D19" t="str">
            <v>LASTRO DE CONCRETO MAGRO, APLICADO EM BLOCOS DE COROAMENTO OU SAPATAS. AF_08/2017</v>
          </cell>
        </row>
        <row r="20">
          <cell r="D20" t="str">
            <v>CONCRETAGEM DE SAPATAS, FCK 30 MPA, COM USO DE BOMBA  LANÇAMENTO, ADENSAMENTO E ACABAMENTO. AF_11/2016</v>
          </cell>
        </row>
        <row r="21">
          <cell r="D21" t="str">
            <v>FABRICAÇÃO, MONTAGEM E DESMONTAGEM DE FÔRMA PARA VIGA BALDRAME, EM MADEIRA SERRADA, E=25 MM, 4 UTILIZAÇÕES. AF_06/2017</v>
          </cell>
        </row>
        <row r="22">
          <cell r="D22" t="str">
            <v>CONCRETAGEM DE BLOCOS DE COROAMENTO E VIGAS BALDRAMES, FCK 30 MPA, COM USO DE BOMBA  LANÇAMENTO, ADENSAMENTO E ACABAMENTO. AF_06/2017</v>
          </cell>
        </row>
        <row r="23">
          <cell r="D23" t="str">
            <v>SUPRAESTRUTURA</v>
          </cell>
        </row>
        <row r="24">
          <cell r="D24" t="str">
            <v>MONTAGEM E DESMONTAGEM DE FÔRMA DE PILARES RETANGULARES E ESTRUTURAS SIMILARES, PÉ-DIREITO SIMPLES, EM CHAPA DE MADEIRA COMPENSADA RESINADA, 6 UTILIZAÇÕES. AF_09/2020</v>
          </cell>
        </row>
        <row r="25">
          <cell r="D25" t="str">
            <v>MONTAGEM E DESMONTAGEM DE FÔRMA DE VIGA, ESCORAMENTO METÁLICO, PÉ-DIREITO SIMPLES, EM CHAPA DE MADEIRA RESINADA, 6 UTILIZAÇÕES. AF_09/2020</v>
          </cell>
        </row>
        <row r="26">
          <cell r="D26" t="str">
            <v>ARMAÇÃO DE PILAR OU VIGA DE ESTRUTURA CONVENCIONAL DE CONCRETO ARMADO UTILIZANDO AÇO CA-50 DE 10,0 MM - MONTAGEM. AF_06/2022</v>
          </cell>
        </row>
        <row r="27">
          <cell r="D27" t="str">
            <v>CONCRETAGEM DE PILARES, FCK = 25 MPA,  COM USO DE BALDES - LANÇAMENTO, ADENSAMENTO E ACABAMENTO. AF_02/2022</v>
          </cell>
        </row>
        <row r="28">
          <cell r="D28" t="str">
            <v>CONCRETAGEM DE VIGAS E LAJES, FCK=25 MPA, PARA LAJES PREMOLDADAS COM USO DE BOMBA - LANÇAMENTO, ADENSAMENTO E ACABAMENTO. AF_02/2022</v>
          </cell>
        </row>
      </sheetData>
      <sheetData sheetId="7"/>
      <sheetData sheetId="8">
        <row r="4">
          <cell r="F4" t="str">
            <v>OBJETO: REFORMA E AMPLIAÇÃO DAS ESCOLAS NO MUNICIPIO DE ITAMBE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COMPOSIÇÃO"/>
      <sheetName val="CRONOGRAMA"/>
      <sheetName val="MEMORIA DE CALCULO"/>
      <sheetName val="COMPOSIÇÃO CARRO"/>
      <sheetName val="COMPOSIÇÃO DO BDI"/>
      <sheetName val="ENCARGOS SOCIAIS"/>
    </sheetNames>
    <sheetDataSet>
      <sheetData sheetId="0" refreshError="1">
        <row r="6">
          <cell r="I6">
            <v>0.20599999999999999</v>
          </cell>
        </row>
        <row r="16">
          <cell r="E16" t="str">
            <v>M2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showOutlineSymbols="0" showWhiteSpace="0" topLeftCell="A21" workbookViewId="0">
      <selection activeCell="H33" sqref="H33:J33"/>
    </sheetView>
  </sheetViews>
  <sheetFormatPr defaultRowHeight="13.8"/>
  <cols>
    <col min="1" max="2" width="10" bestFit="1" customWidth="1"/>
    <col min="3" max="3" width="13.19921875" bestFit="1" customWidth="1"/>
    <col min="4" max="4" width="60" bestFit="1" customWidth="1"/>
    <col min="5" max="5" width="8" bestFit="1" customWidth="1"/>
    <col min="6" max="10" width="13" bestFit="1" customWidth="1"/>
    <col min="12" max="12" width="9.8984375" bestFit="1" customWidth="1"/>
  </cols>
  <sheetData>
    <row r="1" spans="1:12">
      <c r="A1" s="1"/>
      <c r="B1" s="1"/>
      <c r="C1" s="1"/>
      <c r="D1" s="1"/>
      <c r="E1" s="152" t="s">
        <v>1</v>
      </c>
      <c r="F1" s="152"/>
      <c r="G1" s="152" t="s">
        <v>2</v>
      </c>
      <c r="H1" s="152"/>
      <c r="I1" s="152" t="s">
        <v>3</v>
      </c>
      <c r="J1" s="152"/>
    </row>
    <row r="2" spans="1:12" ht="79.95" customHeight="1">
      <c r="A2" s="12"/>
      <c r="B2" s="12"/>
      <c r="C2" s="12"/>
      <c r="D2" s="137" t="s">
        <v>96</v>
      </c>
      <c r="E2" s="146" t="s">
        <v>4</v>
      </c>
      <c r="F2" s="146"/>
      <c r="G2" s="146" t="s">
        <v>5</v>
      </c>
      <c r="H2" s="146"/>
      <c r="I2" s="146" t="s">
        <v>6</v>
      </c>
      <c r="J2" s="146"/>
    </row>
    <row r="3" spans="1:12">
      <c r="A3" s="151" t="s">
        <v>7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2" ht="30" customHeight="1">
      <c r="A4" s="2" t="s">
        <v>8</v>
      </c>
      <c r="B4" s="4" t="s">
        <v>9</v>
      </c>
      <c r="C4" s="2" t="s">
        <v>10</v>
      </c>
      <c r="D4" s="2" t="s">
        <v>11</v>
      </c>
      <c r="E4" s="3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17</v>
      </c>
      <c r="L4" s="103"/>
    </row>
    <row r="5" spans="1:12" ht="24" customHeight="1">
      <c r="A5" s="5" t="s">
        <v>18</v>
      </c>
      <c r="B5" s="5"/>
      <c r="C5" s="5"/>
      <c r="D5" s="5" t="s">
        <v>19</v>
      </c>
      <c r="E5" s="5"/>
      <c r="F5" s="6"/>
      <c r="G5" s="5"/>
      <c r="H5" s="5"/>
      <c r="I5" s="125">
        <f>SUM(I6)</f>
        <v>4335.58</v>
      </c>
      <c r="J5" s="7">
        <f>I5/H33</f>
        <v>3.5604679151137041E-2</v>
      </c>
      <c r="K5" s="124"/>
      <c r="L5" s="124"/>
    </row>
    <row r="6" spans="1:12" ht="25.95" customHeight="1">
      <c r="A6" s="8" t="s">
        <v>20</v>
      </c>
      <c r="B6" s="10" t="s">
        <v>21</v>
      </c>
      <c r="C6" s="8" t="s">
        <v>22</v>
      </c>
      <c r="D6" s="8" t="s">
        <v>23</v>
      </c>
      <c r="E6" s="9" t="s">
        <v>24</v>
      </c>
      <c r="F6" s="10">
        <v>118.2</v>
      </c>
      <c r="G6" s="126">
        <v>29.85</v>
      </c>
      <c r="H6" s="142">
        <f>ROUND(G6+G6*G2,2)</f>
        <v>36.68</v>
      </c>
      <c r="I6" s="126">
        <f>ROUND(F6*H6,2)</f>
        <v>4335.58</v>
      </c>
      <c r="J6" s="11">
        <f>I6/H33</f>
        <v>3.5604679151137041E-2</v>
      </c>
      <c r="K6" s="124"/>
      <c r="L6" s="124"/>
    </row>
    <row r="7" spans="1:12" ht="24" customHeight="1">
      <c r="A7" s="5" t="s">
        <v>25</v>
      </c>
      <c r="B7" s="5"/>
      <c r="C7" s="5"/>
      <c r="D7" s="5" t="s">
        <v>26</v>
      </c>
      <c r="E7" s="5"/>
      <c r="F7" s="6"/>
      <c r="G7" s="131"/>
      <c r="H7" s="131"/>
      <c r="I7" s="125">
        <f>SUM(I8+I9)</f>
        <v>12322.949999999999</v>
      </c>
      <c r="J7" s="7">
        <f>I7/H33</f>
        <v>0.10119861262979905</v>
      </c>
      <c r="K7" s="124"/>
      <c r="L7" s="124"/>
    </row>
    <row r="8" spans="1:12" ht="52.05" customHeight="1">
      <c r="A8" s="8" t="s">
        <v>27</v>
      </c>
      <c r="B8" s="10" t="s">
        <v>28</v>
      </c>
      <c r="C8" s="8" t="s">
        <v>29</v>
      </c>
      <c r="D8" s="8" t="s">
        <v>30</v>
      </c>
      <c r="E8" s="9" t="s">
        <v>31</v>
      </c>
      <c r="F8" s="10">
        <v>38.200000000000003</v>
      </c>
      <c r="G8" s="126">
        <v>52.2</v>
      </c>
      <c r="H8" s="142">
        <f>ROUND(G8+G8*G2,2)</f>
        <v>64.14</v>
      </c>
      <c r="I8" s="126">
        <f>ROUND(F8*H8,2)</f>
        <v>2450.15</v>
      </c>
      <c r="J8" s="11">
        <f>I8/H33</f>
        <v>2.0121138261122717E-2</v>
      </c>
      <c r="K8" s="139"/>
      <c r="L8" s="124"/>
    </row>
    <row r="9" spans="1:12" ht="52.05" customHeight="1">
      <c r="A9" s="8" t="s">
        <v>32</v>
      </c>
      <c r="B9" s="10" t="s">
        <v>33</v>
      </c>
      <c r="C9" s="8" t="s">
        <v>29</v>
      </c>
      <c r="D9" s="8" t="s">
        <v>34</v>
      </c>
      <c r="E9" s="9" t="s">
        <v>31</v>
      </c>
      <c r="F9" s="10">
        <v>80</v>
      </c>
      <c r="G9" s="126">
        <v>100.43</v>
      </c>
      <c r="H9" s="126">
        <f>ROUND(G9+G9*G2,2)</f>
        <v>123.41</v>
      </c>
      <c r="I9" s="126">
        <f>ROUND(F9*H9,2)</f>
        <v>9872.7999999999993</v>
      </c>
      <c r="J9" s="11">
        <f>I9/H33</f>
        <v>8.1077474368676336E-2</v>
      </c>
      <c r="K9" s="138"/>
      <c r="L9" s="124"/>
    </row>
    <row r="10" spans="1:12" ht="24" customHeight="1">
      <c r="A10" s="5" t="s">
        <v>35</v>
      </c>
      <c r="B10" s="5"/>
      <c r="C10" s="5"/>
      <c r="D10" s="5" t="s">
        <v>36</v>
      </c>
      <c r="E10" s="5"/>
      <c r="F10" s="6"/>
      <c r="G10" s="131"/>
      <c r="H10" s="131"/>
      <c r="I10" s="125">
        <f>SUM(I11)</f>
        <v>1857.4</v>
      </c>
      <c r="J10" s="7">
        <f>I10/H33</f>
        <v>1.5253352736040379E-2</v>
      </c>
      <c r="K10" s="124"/>
      <c r="L10" s="124"/>
    </row>
    <row r="11" spans="1:12" ht="39" customHeight="1">
      <c r="A11" s="8" t="s">
        <v>37</v>
      </c>
      <c r="B11" s="10" t="s">
        <v>38</v>
      </c>
      <c r="C11" s="8" t="s">
        <v>29</v>
      </c>
      <c r="D11" s="8" t="s">
        <v>39</v>
      </c>
      <c r="E11" s="9" t="s">
        <v>40</v>
      </c>
      <c r="F11" s="10">
        <v>148</v>
      </c>
      <c r="G11" s="126">
        <v>10.210000000000001</v>
      </c>
      <c r="H11" s="126">
        <f>ROUND(G11+G11*G2,2)</f>
        <v>12.55</v>
      </c>
      <c r="I11" s="126">
        <f>ROUND(F11*H11,2)</f>
        <v>1857.4</v>
      </c>
      <c r="J11" s="11">
        <f>I11/H33</f>
        <v>1.5253352736040379E-2</v>
      </c>
      <c r="K11" s="124"/>
      <c r="L11" s="124"/>
    </row>
    <row r="12" spans="1:12" ht="24" customHeight="1">
      <c r="A12" s="5" t="s">
        <v>41</v>
      </c>
      <c r="B12" s="5"/>
      <c r="C12" s="5"/>
      <c r="D12" s="5" t="s">
        <v>42</v>
      </c>
      <c r="E12" s="5"/>
      <c r="F12" s="6"/>
      <c r="G12" s="131"/>
      <c r="H12" s="131"/>
      <c r="I12" s="125">
        <f>SUM(I13:I14)</f>
        <v>3025.2</v>
      </c>
      <c r="J12" s="7">
        <f>I12/H33</f>
        <v>2.4843567727505841E-2</v>
      </c>
      <c r="K12" s="124"/>
      <c r="L12" s="124"/>
    </row>
    <row r="13" spans="1:12" ht="25.95" customHeight="1">
      <c r="A13" s="8" t="s">
        <v>43</v>
      </c>
      <c r="B13" s="10" t="s">
        <v>44</v>
      </c>
      <c r="C13" s="8" t="s">
        <v>22</v>
      </c>
      <c r="D13" s="8" t="s">
        <v>45</v>
      </c>
      <c r="E13" s="9" t="s">
        <v>46</v>
      </c>
      <c r="F13" s="10">
        <v>10</v>
      </c>
      <c r="G13" s="126">
        <v>123.61</v>
      </c>
      <c r="H13" s="126">
        <f>ROUND(G13+G13*G2,2)</f>
        <v>151.88999999999999</v>
      </c>
      <c r="I13" s="126">
        <f>ROUND(F13*H13,2)</f>
        <v>1518.9</v>
      </c>
      <c r="J13" s="11">
        <f>I13/H33</f>
        <v>1.2473520766001793E-2</v>
      </c>
      <c r="K13" s="124"/>
      <c r="L13" s="124"/>
    </row>
    <row r="14" spans="1:12" ht="25.95" customHeight="1">
      <c r="A14" s="8" t="s">
        <v>47</v>
      </c>
      <c r="B14" s="10" t="s">
        <v>48</v>
      </c>
      <c r="C14" s="8" t="s">
        <v>22</v>
      </c>
      <c r="D14" s="8" t="s">
        <v>49</v>
      </c>
      <c r="E14" s="9" t="s">
        <v>46</v>
      </c>
      <c r="F14" s="10">
        <v>10</v>
      </c>
      <c r="G14" s="126">
        <v>122.58</v>
      </c>
      <c r="H14" s="126">
        <f>ROUND(G14+G14*G2,2)</f>
        <v>150.63</v>
      </c>
      <c r="I14" s="126">
        <f>ROUND(F14*H14,2)</f>
        <v>1506.3</v>
      </c>
      <c r="J14" s="11">
        <f>I14/H33</f>
        <v>1.2370046961504049E-2</v>
      </c>
      <c r="K14" s="124"/>
      <c r="L14" s="124"/>
    </row>
    <row r="15" spans="1:12" ht="24" customHeight="1">
      <c r="A15" s="5" t="s">
        <v>50</v>
      </c>
      <c r="B15" s="5"/>
      <c r="C15" s="5"/>
      <c r="D15" s="5" t="s">
        <v>51</v>
      </c>
      <c r="E15" s="5"/>
      <c r="F15" s="6"/>
      <c r="G15" s="131"/>
      <c r="H15" s="131"/>
      <c r="I15" s="125">
        <f>SUM(I16:I19)</f>
        <v>1450.6</v>
      </c>
      <c r="J15" s="7">
        <f>I15/H33</f>
        <v>1.1912627047970373E-2</v>
      </c>
      <c r="K15" s="124"/>
      <c r="L15" s="124"/>
    </row>
    <row r="16" spans="1:12" ht="25.95" customHeight="1">
      <c r="A16" s="8" t="s">
        <v>52</v>
      </c>
      <c r="B16" s="10" t="s">
        <v>53</v>
      </c>
      <c r="C16" s="8" t="s">
        <v>22</v>
      </c>
      <c r="D16" s="8" t="s">
        <v>54</v>
      </c>
      <c r="E16" s="9" t="s">
        <v>55</v>
      </c>
      <c r="F16" s="10">
        <v>8</v>
      </c>
      <c r="G16" s="126">
        <v>81.709999999999994</v>
      </c>
      <c r="H16" s="126">
        <f>ROUND(G16+G16*G2,2)</f>
        <v>100.41</v>
      </c>
      <c r="I16" s="126">
        <f>ROUND(F16*H16,2)</f>
        <v>803.28</v>
      </c>
      <c r="J16" s="11">
        <f>I16/H33</f>
        <v>6.5967014029323324E-3</v>
      </c>
      <c r="K16" s="124"/>
      <c r="L16" s="124"/>
    </row>
    <row r="17" spans="1:12" ht="25.95" customHeight="1">
      <c r="A17" s="8" t="s">
        <v>56</v>
      </c>
      <c r="B17" s="10" t="s">
        <v>57</v>
      </c>
      <c r="C17" s="8" t="s">
        <v>29</v>
      </c>
      <c r="D17" s="8" t="s">
        <v>58</v>
      </c>
      <c r="E17" s="9" t="s">
        <v>59</v>
      </c>
      <c r="F17" s="10">
        <v>4</v>
      </c>
      <c r="G17" s="126">
        <v>12.12</v>
      </c>
      <c r="H17" s="126">
        <f>ROUND(G17+G17*G2,2)</f>
        <v>14.89</v>
      </c>
      <c r="I17" s="126">
        <f>ROUND(F17*H17,2)</f>
        <v>59.56</v>
      </c>
      <c r="J17" s="11">
        <f>I17/H33</f>
        <v>4.8911903141949232E-4</v>
      </c>
      <c r="K17" s="140"/>
      <c r="L17" s="124"/>
    </row>
    <row r="18" spans="1:12" ht="25.95" customHeight="1">
      <c r="A18" s="8" t="s">
        <v>60</v>
      </c>
      <c r="B18" s="10" t="s">
        <v>61</v>
      </c>
      <c r="C18" s="8" t="s">
        <v>29</v>
      </c>
      <c r="D18" s="8" t="s">
        <v>62</v>
      </c>
      <c r="E18" s="9" t="s">
        <v>59</v>
      </c>
      <c r="F18" s="10">
        <v>8</v>
      </c>
      <c r="G18" s="126">
        <v>10.47</v>
      </c>
      <c r="H18" s="126">
        <f>ROUND(G18+G18*G2,2)</f>
        <v>12.87</v>
      </c>
      <c r="I18" s="126">
        <f>ROUND(F18*H18,2)</f>
        <v>102.96</v>
      </c>
      <c r="J18" s="11">
        <f>I18/H33</f>
        <v>8.4552880246727537E-4</v>
      </c>
      <c r="K18" s="124"/>
      <c r="L18" s="124"/>
    </row>
    <row r="19" spans="1:12" ht="39" customHeight="1">
      <c r="A19" s="8" t="s">
        <v>63</v>
      </c>
      <c r="B19" s="10" t="s">
        <v>64</v>
      </c>
      <c r="C19" s="8" t="s">
        <v>29</v>
      </c>
      <c r="D19" s="8" t="s">
        <v>65</v>
      </c>
      <c r="E19" s="9" t="s">
        <v>59</v>
      </c>
      <c r="F19" s="10">
        <v>5</v>
      </c>
      <c r="G19" s="126">
        <v>78.91</v>
      </c>
      <c r="H19" s="126">
        <f>ROUND(G19+G19*G2,2)</f>
        <v>96.96</v>
      </c>
      <c r="I19" s="126">
        <f>ROUND(F19*H19,2)</f>
        <v>484.8</v>
      </c>
      <c r="J19" s="11">
        <f>I19/H33</f>
        <v>3.9812778111512738E-3</v>
      </c>
      <c r="K19" s="124"/>
      <c r="L19" s="124"/>
    </row>
    <row r="20" spans="1:12" ht="24" customHeight="1">
      <c r="A20" s="5" t="s">
        <v>66</v>
      </c>
      <c r="B20" s="5"/>
      <c r="C20" s="5"/>
      <c r="D20" s="5" t="s">
        <v>67</v>
      </c>
      <c r="E20" s="5"/>
      <c r="F20" s="6"/>
      <c r="G20" s="131"/>
      <c r="H20" s="131"/>
      <c r="I20" s="125">
        <f>SUM(I21:I24)</f>
        <v>69830.350000000006</v>
      </c>
      <c r="J20" s="7">
        <f>I20/H33</f>
        <v>0.57346126856420654</v>
      </c>
      <c r="K20" s="124"/>
      <c r="L20" s="124"/>
    </row>
    <row r="21" spans="1:12" ht="64.95" customHeight="1">
      <c r="A21" s="8" t="s">
        <v>68</v>
      </c>
      <c r="B21" s="10" t="s">
        <v>69</v>
      </c>
      <c r="C21" s="8" t="s">
        <v>22</v>
      </c>
      <c r="D21" s="8" t="s">
        <v>70</v>
      </c>
      <c r="E21" s="9" t="s">
        <v>71</v>
      </c>
      <c r="F21" s="10">
        <v>250.8</v>
      </c>
      <c r="G21" s="126">
        <v>160.78</v>
      </c>
      <c r="H21" s="126">
        <f>ROUND(G21+G21*G2,2)</f>
        <v>197.57</v>
      </c>
      <c r="I21" s="126">
        <f>ROUND(F21*H21,2)</f>
        <v>49550.559999999998</v>
      </c>
      <c r="J21" s="11">
        <f>I21/H33</f>
        <v>0.40691944112648482</v>
      </c>
      <c r="K21" s="124"/>
      <c r="L21" s="124"/>
    </row>
    <row r="22" spans="1:12" ht="25.95" customHeight="1">
      <c r="A22" s="8" t="s">
        <v>72</v>
      </c>
      <c r="B22" s="10" t="s">
        <v>73</v>
      </c>
      <c r="C22" s="8" t="s">
        <v>22</v>
      </c>
      <c r="D22" s="8" t="s">
        <v>74</v>
      </c>
      <c r="E22" s="9" t="s">
        <v>71</v>
      </c>
      <c r="F22" s="10">
        <v>129</v>
      </c>
      <c r="G22" s="126">
        <v>93.21</v>
      </c>
      <c r="H22" s="126">
        <f>ROUND(G22+G22*G2,2)</f>
        <v>114.54</v>
      </c>
      <c r="I22" s="126">
        <f t="shared" ref="I22:I29" si="0">ROUND(F22*H22,2)</f>
        <v>14775.66</v>
      </c>
      <c r="J22" s="11">
        <f>I22/H33</f>
        <v>0.12134077414008958</v>
      </c>
      <c r="K22" s="124"/>
      <c r="L22" s="124"/>
    </row>
    <row r="23" spans="1:12" ht="39" customHeight="1">
      <c r="A23" s="8" t="s">
        <v>75</v>
      </c>
      <c r="B23" s="10" t="s">
        <v>76</v>
      </c>
      <c r="C23" s="8" t="s">
        <v>29</v>
      </c>
      <c r="D23" s="8" t="s">
        <v>77</v>
      </c>
      <c r="E23" s="9" t="s">
        <v>31</v>
      </c>
      <c r="F23" s="10">
        <v>27</v>
      </c>
      <c r="G23" s="126">
        <v>73.739999999999995</v>
      </c>
      <c r="H23" s="126">
        <f>ROUND(G23+G23*G2,2)</f>
        <v>90.61</v>
      </c>
      <c r="I23" s="126">
        <f t="shared" si="0"/>
        <v>2446.4699999999998</v>
      </c>
      <c r="J23" s="11">
        <f>I23/H33</f>
        <v>2.009091734044401E-2</v>
      </c>
      <c r="K23" s="140"/>
      <c r="L23" s="124"/>
    </row>
    <row r="24" spans="1:12" ht="25.95" customHeight="1">
      <c r="A24" s="8" t="s">
        <v>78</v>
      </c>
      <c r="B24" s="10" t="s">
        <v>79</v>
      </c>
      <c r="C24" s="8" t="s">
        <v>29</v>
      </c>
      <c r="D24" s="8" t="s">
        <v>80</v>
      </c>
      <c r="E24" s="9" t="s">
        <v>31</v>
      </c>
      <c r="F24" s="10">
        <v>60.44</v>
      </c>
      <c r="G24" s="126">
        <v>41.17</v>
      </c>
      <c r="H24" s="126">
        <f>ROUND(G24+G24*G2,2)</f>
        <v>50.59</v>
      </c>
      <c r="I24" s="126">
        <f t="shared" si="0"/>
        <v>3057.66</v>
      </c>
      <c r="J24" s="11">
        <f>I24/H33</f>
        <v>2.5110135957188123E-2</v>
      </c>
      <c r="K24" s="140"/>
      <c r="L24" s="124"/>
    </row>
    <row r="25" spans="1:12" ht="24" customHeight="1">
      <c r="A25" s="5" t="s">
        <v>81</v>
      </c>
      <c r="B25" s="5"/>
      <c r="C25" s="5"/>
      <c r="D25" s="5" t="s">
        <v>82</v>
      </c>
      <c r="E25" s="5"/>
      <c r="F25" s="6"/>
      <c r="G25" s="131"/>
      <c r="H25" s="131"/>
      <c r="I25" s="125">
        <f>SUM(I26:I27)</f>
        <v>25628.260000000002</v>
      </c>
      <c r="J25" s="7">
        <f>I25/H33</f>
        <v>0.21046456863947141</v>
      </c>
      <c r="K25" s="124"/>
      <c r="L25" s="124"/>
    </row>
    <row r="26" spans="1:12" ht="39" customHeight="1">
      <c r="A26" s="8" t="s">
        <v>83</v>
      </c>
      <c r="B26" s="10" t="s">
        <v>84</v>
      </c>
      <c r="C26" s="8" t="s">
        <v>29</v>
      </c>
      <c r="D26" s="8" t="s">
        <v>85</v>
      </c>
      <c r="E26" s="9" t="s">
        <v>31</v>
      </c>
      <c r="F26" s="10">
        <v>934</v>
      </c>
      <c r="G26" s="126">
        <v>18.329999999999998</v>
      </c>
      <c r="H26" s="126">
        <f>ROUND(G26+G26*G2,2)</f>
        <v>22.52</v>
      </c>
      <c r="I26" s="126">
        <f t="shared" si="0"/>
        <v>21033.68</v>
      </c>
      <c r="J26" s="11">
        <f>I26/H33</f>
        <v>0.1727329279514363</v>
      </c>
      <c r="K26" s="124"/>
      <c r="L26" s="124"/>
    </row>
    <row r="27" spans="1:12" ht="52.05" customHeight="1">
      <c r="A27" s="8" t="s">
        <v>86</v>
      </c>
      <c r="B27" s="10" t="s">
        <v>87</v>
      </c>
      <c r="C27" s="8" t="s">
        <v>29</v>
      </c>
      <c r="D27" s="8" t="s">
        <v>88</v>
      </c>
      <c r="E27" s="9" t="s">
        <v>40</v>
      </c>
      <c r="F27" s="10">
        <v>113</v>
      </c>
      <c r="G27" s="126">
        <v>33.090000000000003</v>
      </c>
      <c r="H27" s="126">
        <f>ROUND(G27+G27*G2,2)</f>
        <v>40.659999999999997</v>
      </c>
      <c r="I27" s="126">
        <f t="shared" si="0"/>
        <v>4594.58</v>
      </c>
      <c r="J27" s="11">
        <f>I27/H33</f>
        <v>3.7731640688035105E-2</v>
      </c>
      <c r="K27" s="124"/>
      <c r="L27" s="124"/>
    </row>
    <row r="28" spans="1:12" ht="24" customHeight="1">
      <c r="A28" s="5" t="s">
        <v>89</v>
      </c>
      <c r="B28" s="5"/>
      <c r="C28" s="5"/>
      <c r="D28" s="5" t="s">
        <v>67</v>
      </c>
      <c r="E28" s="5"/>
      <c r="F28" s="6"/>
      <c r="G28" s="131"/>
      <c r="H28" s="131"/>
      <c r="I28" s="125">
        <f>SUM(I29)</f>
        <v>3319.61</v>
      </c>
      <c r="J28" s="7">
        <f>I28/H33</f>
        <v>2.7261323503869388E-2</v>
      </c>
      <c r="K28" s="124"/>
      <c r="L28" s="124"/>
    </row>
    <row r="29" spans="1:12" ht="24" customHeight="1">
      <c r="A29" s="8" t="s">
        <v>90</v>
      </c>
      <c r="B29" s="10" t="s">
        <v>91</v>
      </c>
      <c r="C29" s="8" t="s">
        <v>22</v>
      </c>
      <c r="D29" s="8" t="s">
        <v>92</v>
      </c>
      <c r="E29" s="9" t="s">
        <v>71</v>
      </c>
      <c r="F29" s="10">
        <v>1009</v>
      </c>
      <c r="G29" s="126">
        <v>2.68</v>
      </c>
      <c r="H29" s="126">
        <f>ROUND(G29+G29*G2,2)</f>
        <v>3.29</v>
      </c>
      <c r="I29" s="126">
        <f t="shared" si="0"/>
        <v>3319.61</v>
      </c>
      <c r="J29" s="11">
        <f>I29/H33</f>
        <v>2.7261323503869388E-2</v>
      </c>
      <c r="K29" s="124"/>
      <c r="L29" s="124"/>
    </row>
    <row r="30" spans="1:12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2">
      <c r="A31" s="145"/>
      <c r="B31" s="145"/>
      <c r="C31" s="145"/>
      <c r="D31" s="15"/>
      <c r="E31" s="14"/>
      <c r="F31" s="146" t="s">
        <v>93</v>
      </c>
      <c r="G31" s="145"/>
      <c r="H31" s="147">
        <v>93908.98</v>
      </c>
      <c r="I31" s="148"/>
      <c r="J31" s="148"/>
    </row>
    <row r="32" spans="1:12">
      <c r="A32" s="145"/>
      <c r="B32" s="145"/>
      <c r="C32" s="145"/>
      <c r="D32" s="15"/>
      <c r="E32" s="14"/>
      <c r="F32" s="146" t="s">
        <v>94</v>
      </c>
      <c r="G32" s="145"/>
      <c r="H32" s="147">
        <v>27860.959999999999</v>
      </c>
      <c r="I32" s="148"/>
      <c r="J32" s="148"/>
    </row>
    <row r="33" spans="1:10">
      <c r="A33" s="145"/>
      <c r="B33" s="145"/>
      <c r="C33" s="145"/>
      <c r="D33" s="15"/>
      <c r="E33" s="14"/>
      <c r="F33" s="146" t="s">
        <v>95</v>
      </c>
      <c r="G33" s="145"/>
      <c r="H33" s="147">
        <f>SUM(I28,I25,I20,I15,I12,I10,I7,I5)</f>
        <v>121769.95</v>
      </c>
      <c r="I33" s="148"/>
      <c r="J33" s="148"/>
    </row>
    <row r="34" spans="1:10" ht="60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70.05" customHeight="1">
      <c r="A35" s="149"/>
      <c r="B35" s="150"/>
      <c r="C35" s="150"/>
      <c r="D35" s="150"/>
      <c r="E35" s="150"/>
      <c r="F35" s="150"/>
      <c r="G35" s="150"/>
      <c r="H35" s="150"/>
      <c r="I35" s="150"/>
      <c r="J35" s="150"/>
    </row>
  </sheetData>
  <mergeCells count="17">
    <mergeCell ref="E1:F1"/>
    <mergeCell ref="G1:H1"/>
    <mergeCell ref="I1:J1"/>
    <mergeCell ref="E2:F2"/>
    <mergeCell ref="G2:H2"/>
    <mergeCell ref="I2:J2"/>
    <mergeCell ref="A33:C33"/>
    <mergeCell ref="F33:G33"/>
    <mergeCell ref="H33:J33"/>
    <mergeCell ref="A35:J35"/>
    <mergeCell ref="A3:J3"/>
    <mergeCell ref="A31:C31"/>
    <mergeCell ref="F31:G31"/>
    <mergeCell ref="H31:J31"/>
    <mergeCell ref="A32:C32"/>
    <mergeCell ref="F32:G32"/>
    <mergeCell ref="H32:J32"/>
  </mergeCells>
  <pageMargins left="0.5" right="0.5" top="1" bottom="1" header="0.5" footer="0.5"/>
  <pageSetup paperSize="9" fitToHeight="0" orientation="landscape"/>
  <headerFooter>
    <oddHeader>&amp;L &amp;CMinha Empresa
CNPJ:  &amp;R</oddHeader>
    <oddFooter>&amp;L &amp;C  -  -  / PE
 / zecmps@gmail.com &amp;R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67CA-4B25-4F23-AD86-FF6A16245C9E}">
  <dimension ref="A1:L91"/>
  <sheetViews>
    <sheetView topLeftCell="A76" workbookViewId="0">
      <selection activeCell="H89" sqref="H89:J89"/>
    </sheetView>
  </sheetViews>
  <sheetFormatPr defaultRowHeight="13.8"/>
  <cols>
    <col min="1" max="2" width="10" bestFit="1" customWidth="1"/>
    <col min="3" max="3" width="13.19921875" bestFit="1" customWidth="1"/>
    <col min="4" max="4" width="60" bestFit="1" customWidth="1"/>
    <col min="5" max="5" width="8" bestFit="1" customWidth="1"/>
    <col min="6" max="10" width="13" bestFit="1" customWidth="1"/>
    <col min="12" max="12" width="11.796875" customWidth="1"/>
  </cols>
  <sheetData>
    <row r="1" spans="1:11">
      <c r="A1" s="43"/>
      <c r="B1" s="43"/>
      <c r="C1" s="43"/>
      <c r="D1" s="43" t="s">
        <v>0</v>
      </c>
      <c r="E1" s="163" t="s">
        <v>1</v>
      </c>
      <c r="F1" s="163"/>
      <c r="G1" s="163" t="s">
        <v>2</v>
      </c>
      <c r="H1" s="163"/>
      <c r="I1" s="163" t="s">
        <v>3</v>
      </c>
      <c r="J1" s="163"/>
    </row>
    <row r="2" spans="1:11" ht="79.95" customHeight="1">
      <c r="A2" s="44"/>
      <c r="B2" s="44"/>
      <c r="C2" s="44"/>
      <c r="D2" s="141" t="s">
        <v>826</v>
      </c>
      <c r="E2" s="154" t="s">
        <v>4</v>
      </c>
      <c r="F2" s="154"/>
      <c r="G2" s="154" t="s">
        <v>5</v>
      </c>
      <c r="H2" s="154"/>
      <c r="I2" s="154" t="s">
        <v>6</v>
      </c>
      <c r="J2" s="154"/>
    </row>
    <row r="3" spans="1:11">
      <c r="A3" s="162" t="s">
        <v>7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1" ht="30" customHeight="1">
      <c r="A4" s="48" t="s">
        <v>8</v>
      </c>
      <c r="B4" s="49" t="s">
        <v>9</v>
      </c>
      <c r="C4" s="48" t="s">
        <v>10</v>
      </c>
      <c r="D4" s="48" t="s">
        <v>11</v>
      </c>
      <c r="E4" s="50" t="s">
        <v>12</v>
      </c>
      <c r="F4" s="49" t="s">
        <v>13</v>
      </c>
      <c r="G4" s="49" t="s">
        <v>14</v>
      </c>
      <c r="H4" s="49" t="s">
        <v>15</v>
      </c>
      <c r="I4" s="49" t="s">
        <v>16</v>
      </c>
      <c r="J4" s="49" t="s">
        <v>17</v>
      </c>
    </row>
    <row r="5" spans="1:11" ht="24" customHeight="1">
      <c r="A5" s="45" t="s">
        <v>18</v>
      </c>
      <c r="B5" s="45"/>
      <c r="C5" s="45"/>
      <c r="D5" s="45" t="s">
        <v>19</v>
      </c>
      <c r="E5" s="45"/>
      <c r="F5" s="46"/>
      <c r="G5" s="132"/>
      <c r="H5" s="132"/>
      <c r="I5" s="130">
        <f>SUM(I6:I9)</f>
        <v>18184.190000000002</v>
      </c>
      <c r="J5" s="72">
        <f>I5/H89</f>
        <v>1.263531217250562E-2</v>
      </c>
      <c r="K5" s="124"/>
    </row>
    <row r="6" spans="1:11" ht="24" customHeight="1">
      <c r="A6" s="51" t="s">
        <v>20</v>
      </c>
      <c r="B6" s="52" t="s">
        <v>755</v>
      </c>
      <c r="C6" s="51" t="s">
        <v>22</v>
      </c>
      <c r="D6" s="51" t="s">
        <v>756</v>
      </c>
      <c r="E6" s="53" t="s">
        <v>71</v>
      </c>
      <c r="F6" s="52">
        <v>6</v>
      </c>
      <c r="G6" s="128">
        <v>412.25</v>
      </c>
      <c r="H6" s="128">
        <f>SUM(G6+(G6*G2))</f>
        <v>506.57280000000003</v>
      </c>
      <c r="I6" s="128">
        <f>ROUND(F6*H6,2)</f>
        <v>3039.44</v>
      </c>
      <c r="J6" s="73">
        <f>I6/H89</f>
        <v>2.1119595225083149E-3</v>
      </c>
      <c r="K6" s="124"/>
    </row>
    <row r="7" spans="1:11" ht="25.95" customHeight="1">
      <c r="A7" s="51" t="s">
        <v>297</v>
      </c>
      <c r="B7" s="52" t="s">
        <v>298</v>
      </c>
      <c r="C7" s="51" t="s">
        <v>29</v>
      </c>
      <c r="D7" s="51" t="s">
        <v>299</v>
      </c>
      <c r="E7" s="53" t="s">
        <v>163</v>
      </c>
      <c r="F7" s="52">
        <v>21.372299999999999</v>
      </c>
      <c r="G7" s="128">
        <v>80.78</v>
      </c>
      <c r="H7" s="128">
        <f>SUM(G7+(G7*G2))</f>
        <v>99.262463999999994</v>
      </c>
      <c r="I7" s="128">
        <f t="shared" ref="I7:I70" si="0">ROUND(F7*H7,2)</f>
        <v>2121.4699999999998</v>
      </c>
      <c r="J7" s="73">
        <f>I7/H89</f>
        <v>1.4741066670885803E-3</v>
      </c>
      <c r="K7" s="124"/>
    </row>
    <row r="8" spans="1:11" ht="25.95" customHeight="1">
      <c r="A8" s="51" t="s">
        <v>300</v>
      </c>
      <c r="B8" s="52" t="s">
        <v>301</v>
      </c>
      <c r="C8" s="51" t="s">
        <v>29</v>
      </c>
      <c r="D8" s="51" t="s">
        <v>302</v>
      </c>
      <c r="E8" s="53" t="s">
        <v>163</v>
      </c>
      <c r="F8" s="52">
        <v>4.7493999999999996</v>
      </c>
      <c r="G8" s="128">
        <v>613.26</v>
      </c>
      <c r="H8" s="128">
        <f>SUM(G8+(G8*G2))</f>
        <v>753.57388800000001</v>
      </c>
      <c r="I8" s="128">
        <f t="shared" si="0"/>
        <v>3579.02</v>
      </c>
      <c r="J8" s="73">
        <f>I8/H89</f>
        <v>2.4868875089647138E-3</v>
      </c>
      <c r="K8" s="124"/>
    </row>
    <row r="9" spans="1:11" ht="25.95" customHeight="1">
      <c r="A9" s="51" t="s">
        <v>480</v>
      </c>
      <c r="B9" s="52" t="s">
        <v>481</v>
      </c>
      <c r="C9" s="51" t="s">
        <v>29</v>
      </c>
      <c r="D9" s="51" t="s">
        <v>482</v>
      </c>
      <c r="E9" s="53" t="s">
        <v>163</v>
      </c>
      <c r="F9" s="52">
        <v>66.370999999999995</v>
      </c>
      <c r="G9" s="128">
        <v>115.8</v>
      </c>
      <c r="H9" s="128">
        <f>SUM(G9+(G9*G2))</f>
        <v>142.29504</v>
      </c>
      <c r="I9" s="128">
        <f t="shared" si="0"/>
        <v>9444.26</v>
      </c>
      <c r="J9" s="73">
        <f>I9/H89</f>
        <v>6.5623584739440089E-3</v>
      </c>
      <c r="K9" s="124"/>
    </row>
    <row r="10" spans="1:11" ht="24" customHeight="1">
      <c r="A10" s="45" t="s">
        <v>25</v>
      </c>
      <c r="B10" s="45"/>
      <c r="C10" s="45"/>
      <c r="D10" s="45" t="s">
        <v>757</v>
      </c>
      <c r="E10" s="45"/>
      <c r="F10" s="46"/>
      <c r="G10" s="132"/>
      <c r="H10" s="132"/>
      <c r="I10" s="130">
        <f>SUM(I11:I17)</f>
        <v>74565.64999999998</v>
      </c>
      <c r="J10" s="72">
        <f>I10/H89</f>
        <v>5.1812055697602874E-2</v>
      </c>
      <c r="K10" s="124"/>
    </row>
    <row r="11" spans="1:11" ht="39" customHeight="1">
      <c r="A11" s="51" t="s">
        <v>27</v>
      </c>
      <c r="B11" s="52" t="s">
        <v>758</v>
      </c>
      <c r="C11" s="51" t="s">
        <v>29</v>
      </c>
      <c r="D11" s="51" t="s">
        <v>759</v>
      </c>
      <c r="E11" s="53" t="s">
        <v>163</v>
      </c>
      <c r="F11" s="52">
        <v>39.68</v>
      </c>
      <c r="G11" s="128">
        <v>92.51</v>
      </c>
      <c r="H11" s="128">
        <f>SUM(G11+(G11*G2))</f>
        <v>113.676288</v>
      </c>
      <c r="I11" s="128">
        <f t="shared" si="0"/>
        <v>4510.68</v>
      </c>
      <c r="J11" s="73">
        <f>I11/H89</f>
        <v>3.1342528817768426E-3</v>
      </c>
      <c r="K11" s="124"/>
    </row>
    <row r="12" spans="1:11" ht="25.95" customHeight="1">
      <c r="A12" s="51" t="s">
        <v>32</v>
      </c>
      <c r="B12" s="52" t="s">
        <v>760</v>
      </c>
      <c r="C12" s="51" t="s">
        <v>29</v>
      </c>
      <c r="D12" s="51" t="s">
        <v>761</v>
      </c>
      <c r="E12" s="53" t="s">
        <v>126</v>
      </c>
      <c r="F12" s="52">
        <v>977.01</v>
      </c>
      <c r="G12" s="128">
        <v>16.45</v>
      </c>
      <c r="H12" s="128">
        <f>SUM(G12+(G12*G2))</f>
        <v>20.213760000000001</v>
      </c>
      <c r="I12" s="128">
        <f t="shared" si="0"/>
        <v>19749.05</v>
      </c>
      <c r="J12" s="73">
        <f>I12/H89</f>
        <v>1.3722657531648209E-2</v>
      </c>
      <c r="K12" s="124"/>
    </row>
    <row r="13" spans="1:11" ht="39" customHeight="1">
      <c r="A13" s="51" t="s">
        <v>308</v>
      </c>
      <c r="B13" s="52" t="s">
        <v>762</v>
      </c>
      <c r="C13" s="51" t="s">
        <v>29</v>
      </c>
      <c r="D13" s="51" t="s">
        <v>763</v>
      </c>
      <c r="E13" s="53" t="s">
        <v>31</v>
      </c>
      <c r="F13" s="52">
        <v>59.52</v>
      </c>
      <c r="G13" s="128">
        <v>154.15</v>
      </c>
      <c r="H13" s="128">
        <f>SUM(G13+(G13*G2))</f>
        <v>189.41952000000001</v>
      </c>
      <c r="I13" s="128">
        <f t="shared" si="0"/>
        <v>11274.25</v>
      </c>
      <c r="J13" s="73">
        <f>I13/H89</f>
        <v>7.8339298182031458E-3</v>
      </c>
      <c r="K13" s="124"/>
    </row>
    <row r="14" spans="1:11" ht="25.95" customHeight="1">
      <c r="A14" s="51" t="s">
        <v>311</v>
      </c>
      <c r="B14" s="52" t="s">
        <v>764</v>
      </c>
      <c r="C14" s="51" t="s">
        <v>29</v>
      </c>
      <c r="D14" s="51" t="s">
        <v>765</v>
      </c>
      <c r="E14" s="53" t="s">
        <v>163</v>
      </c>
      <c r="F14" s="52">
        <v>3.968</v>
      </c>
      <c r="G14" s="128">
        <v>637.24</v>
      </c>
      <c r="H14" s="128">
        <f>SUM(G14+(G14*G2))</f>
        <v>783.04051200000004</v>
      </c>
      <c r="I14" s="128">
        <f t="shared" si="0"/>
        <v>3107.1</v>
      </c>
      <c r="J14" s="73">
        <f>I14/H89</f>
        <v>2.1589731767646622E-3</v>
      </c>
      <c r="K14" s="124"/>
    </row>
    <row r="15" spans="1:11" ht="39" customHeight="1">
      <c r="A15" s="51" t="s">
        <v>314</v>
      </c>
      <c r="B15" s="52" t="s">
        <v>309</v>
      </c>
      <c r="C15" s="51" t="s">
        <v>29</v>
      </c>
      <c r="D15" s="51" t="s">
        <v>310</v>
      </c>
      <c r="E15" s="53" t="s">
        <v>163</v>
      </c>
      <c r="F15" s="52">
        <v>19.84</v>
      </c>
      <c r="G15" s="128">
        <v>621.98</v>
      </c>
      <c r="H15" s="128">
        <f>SUM(G15+(G15*G2))</f>
        <v>764.28902400000004</v>
      </c>
      <c r="I15" s="128">
        <f t="shared" si="0"/>
        <v>15163.49</v>
      </c>
      <c r="J15" s="73">
        <f>I15/H89</f>
        <v>1.0536374167596533E-2</v>
      </c>
      <c r="K15" s="124"/>
    </row>
    <row r="16" spans="1:11" ht="39" customHeight="1">
      <c r="A16" s="51" t="s">
        <v>766</v>
      </c>
      <c r="B16" s="52" t="s">
        <v>767</v>
      </c>
      <c r="C16" s="51" t="s">
        <v>29</v>
      </c>
      <c r="D16" s="51" t="s">
        <v>768</v>
      </c>
      <c r="E16" s="53" t="s">
        <v>31</v>
      </c>
      <c r="F16" s="52">
        <v>118.48</v>
      </c>
      <c r="G16" s="128">
        <v>81.13</v>
      </c>
      <c r="H16" s="128">
        <f>SUM(G16+(G16*G2))</f>
        <v>99.692543999999998</v>
      </c>
      <c r="I16" s="128">
        <f t="shared" si="0"/>
        <v>11811.57</v>
      </c>
      <c r="J16" s="73">
        <f>I16/H89</f>
        <v>8.207287440210544E-3</v>
      </c>
      <c r="K16" s="124"/>
    </row>
    <row r="17" spans="1:12" ht="39" customHeight="1">
      <c r="A17" s="51" t="s">
        <v>769</v>
      </c>
      <c r="B17" s="52" t="s">
        <v>315</v>
      </c>
      <c r="C17" s="51" t="s">
        <v>29</v>
      </c>
      <c r="D17" s="51" t="s">
        <v>316</v>
      </c>
      <c r="E17" s="53" t="s">
        <v>163</v>
      </c>
      <c r="F17" s="52">
        <v>11.85</v>
      </c>
      <c r="G17" s="128">
        <v>614.61</v>
      </c>
      <c r="H17" s="128">
        <f>SUM(G17+(G17*G2))</f>
        <v>755.23276800000008</v>
      </c>
      <c r="I17" s="128">
        <f t="shared" si="0"/>
        <v>8949.51</v>
      </c>
      <c r="J17" s="73">
        <f>I17/H89</f>
        <v>6.2185806814029528E-3</v>
      </c>
      <c r="K17" s="124"/>
    </row>
    <row r="18" spans="1:12" ht="24" customHeight="1">
      <c r="A18" s="45" t="s">
        <v>35</v>
      </c>
      <c r="B18" s="45"/>
      <c r="C18" s="45"/>
      <c r="D18" s="45" t="s">
        <v>770</v>
      </c>
      <c r="E18" s="45"/>
      <c r="F18" s="46"/>
      <c r="G18" s="132"/>
      <c r="H18" s="132"/>
      <c r="I18" s="130">
        <f>SUM(I19:I23)</f>
        <v>65091.62</v>
      </c>
      <c r="J18" s="72">
        <f>I18/H89</f>
        <v>4.5229011493726705E-2</v>
      </c>
      <c r="K18" s="124"/>
    </row>
    <row r="19" spans="1:12" ht="52.05" customHeight="1">
      <c r="A19" s="51" t="s">
        <v>37</v>
      </c>
      <c r="B19" s="52" t="s">
        <v>771</v>
      </c>
      <c r="C19" s="51" t="s">
        <v>29</v>
      </c>
      <c r="D19" s="51" t="s">
        <v>772</v>
      </c>
      <c r="E19" s="53" t="s">
        <v>31</v>
      </c>
      <c r="F19" s="52">
        <v>111.6</v>
      </c>
      <c r="G19" s="128">
        <v>66.010000000000005</v>
      </c>
      <c r="H19" s="128">
        <f>SUM(G19+(G19*G2))</f>
        <v>81.113088000000005</v>
      </c>
      <c r="I19" s="128">
        <f t="shared" si="0"/>
        <v>9052.2199999999993</v>
      </c>
      <c r="J19" s="73">
        <f>I19/H89</f>
        <v>6.2899488816493222E-3</v>
      </c>
      <c r="K19" s="124"/>
    </row>
    <row r="20" spans="1:12" ht="39" customHeight="1">
      <c r="A20" s="51" t="s">
        <v>320</v>
      </c>
      <c r="B20" s="52" t="s">
        <v>773</v>
      </c>
      <c r="C20" s="51" t="s">
        <v>29</v>
      </c>
      <c r="D20" s="51" t="s">
        <v>774</v>
      </c>
      <c r="E20" s="53" t="s">
        <v>31</v>
      </c>
      <c r="F20" s="52">
        <v>118.482</v>
      </c>
      <c r="G20" s="128">
        <v>101.36</v>
      </c>
      <c r="H20" s="128">
        <f>SUM(G20+(G20*G2))</f>
        <v>124.551168</v>
      </c>
      <c r="I20" s="128">
        <f t="shared" si="0"/>
        <v>14757.07</v>
      </c>
      <c r="J20" s="73">
        <f>I20/H89</f>
        <v>1.0253972610356441E-2</v>
      </c>
      <c r="K20" s="124"/>
    </row>
    <row r="21" spans="1:12" ht="39" customHeight="1">
      <c r="A21" s="51" t="s">
        <v>323</v>
      </c>
      <c r="B21" s="52" t="s">
        <v>318</v>
      </c>
      <c r="C21" s="51" t="s">
        <v>29</v>
      </c>
      <c r="D21" s="51" t="s">
        <v>319</v>
      </c>
      <c r="E21" s="53" t="s">
        <v>126</v>
      </c>
      <c r="F21" s="52">
        <v>1175.92796</v>
      </c>
      <c r="G21" s="128">
        <v>14.74</v>
      </c>
      <c r="H21" s="128">
        <f>SUM(G21+(G21*G2))</f>
        <v>18.112511999999999</v>
      </c>
      <c r="I21" s="128">
        <f t="shared" si="0"/>
        <v>21299.01</v>
      </c>
      <c r="J21" s="73">
        <f>I21/H89</f>
        <v>1.4799649603051818E-2</v>
      </c>
      <c r="K21" s="124"/>
    </row>
    <row r="22" spans="1:12" ht="39" customHeight="1">
      <c r="A22" s="51" t="s">
        <v>326</v>
      </c>
      <c r="B22" s="52" t="s">
        <v>775</v>
      </c>
      <c r="C22" s="51" t="s">
        <v>29</v>
      </c>
      <c r="D22" s="51" t="s">
        <v>776</v>
      </c>
      <c r="E22" s="53" t="s">
        <v>163</v>
      </c>
      <c r="F22" s="52">
        <v>12.555</v>
      </c>
      <c r="G22" s="128">
        <v>863.15</v>
      </c>
      <c r="H22" s="128">
        <f>SUM(G22+(G22*G2))</f>
        <v>1060.6387199999999</v>
      </c>
      <c r="I22" s="128">
        <f t="shared" si="0"/>
        <v>13316.32</v>
      </c>
      <c r="J22" s="73">
        <f>I22/H89</f>
        <v>9.2528652741188915E-3</v>
      </c>
      <c r="K22" s="124"/>
    </row>
    <row r="23" spans="1:12" ht="39" customHeight="1">
      <c r="A23" s="51" t="s">
        <v>777</v>
      </c>
      <c r="B23" s="52" t="s">
        <v>778</v>
      </c>
      <c r="C23" s="51" t="s">
        <v>29</v>
      </c>
      <c r="D23" s="51" t="s">
        <v>779</v>
      </c>
      <c r="E23" s="53" t="s">
        <v>163</v>
      </c>
      <c r="F23" s="52">
        <v>8.8861500000000007</v>
      </c>
      <c r="G23" s="128">
        <v>610.57000000000005</v>
      </c>
      <c r="H23" s="128">
        <f>SUM(G23+(G23*G2))</f>
        <v>750.26841600000012</v>
      </c>
      <c r="I23" s="128">
        <f t="shared" si="0"/>
        <v>6667</v>
      </c>
      <c r="J23" s="73">
        <f>I23/H89</f>
        <v>4.6325751245502251E-3</v>
      </c>
      <c r="K23" s="124"/>
    </row>
    <row r="24" spans="1:12" ht="24" customHeight="1">
      <c r="A24" s="45" t="s">
        <v>41</v>
      </c>
      <c r="B24" s="45"/>
      <c r="C24" s="45"/>
      <c r="D24" s="45" t="s">
        <v>483</v>
      </c>
      <c r="E24" s="45"/>
      <c r="F24" s="46"/>
      <c r="G24" s="132"/>
      <c r="H24" s="132"/>
      <c r="I24" s="130">
        <f>SUM(I25:I26)</f>
        <v>154107.53</v>
      </c>
      <c r="J24" s="72">
        <f>I24/H89</f>
        <v>0.10708185240496138</v>
      </c>
      <c r="K24" s="124"/>
    </row>
    <row r="25" spans="1:12" ht="25.95" customHeight="1">
      <c r="A25" s="51" t="s">
        <v>43</v>
      </c>
      <c r="B25" s="52" t="s">
        <v>484</v>
      </c>
      <c r="C25" s="51" t="s">
        <v>22</v>
      </c>
      <c r="D25" s="51" t="s">
        <v>485</v>
      </c>
      <c r="E25" s="53" t="s">
        <v>71</v>
      </c>
      <c r="F25" s="52">
        <v>72.89</v>
      </c>
      <c r="G25" s="128">
        <v>698.18</v>
      </c>
      <c r="H25" s="128">
        <f>SUM(G25+(G25*G2))</f>
        <v>857.92358399999989</v>
      </c>
      <c r="I25" s="128">
        <f t="shared" si="0"/>
        <v>62534.05</v>
      </c>
      <c r="J25" s="73">
        <f>I25/H89</f>
        <v>4.3451880076103198E-2</v>
      </c>
      <c r="K25" s="124"/>
    </row>
    <row r="26" spans="1:12" ht="52.05" customHeight="1">
      <c r="A26" s="51" t="s">
        <v>47</v>
      </c>
      <c r="B26" s="52" t="s">
        <v>486</v>
      </c>
      <c r="C26" s="51" t="s">
        <v>29</v>
      </c>
      <c r="D26" s="51" t="s">
        <v>487</v>
      </c>
      <c r="E26" s="53" t="s">
        <v>31</v>
      </c>
      <c r="F26" s="52">
        <v>935.04</v>
      </c>
      <c r="G26" s="128">
        <v>79.7</v>
      </c>
      <c r="H26" s="128">
        <f>SUM(G26+(G26*G2))</f>
        <v>97.935360000000003</v>
      </c>
      <c r="I26" s="128">
        <f t="shared" si="0"/>
        <v>91573.48</v>
      </c>
      <c r="J26" s="73">
        <f>I26/H89</f>
        <v>6.3629972328858184E-2</v>
      </c>
      <c r="K26" s="124"/>
    </row>
    <row r="27" spans="1:12" ht="24" customHeight="1">
      <c r="A27" s="45" t="s">
        <v>50</v>
      </c>
      <c r="B27" s="45"/>
      <c r="C27" s="45"/>
      <c r="D27" s="45" t="s">
        <v>488</v>
      </c>
      <c r="E27" s="45"/>
      <c r="F27" s="46"/>
      <c r="G27" s="132"/>
      <c r="H27" s="132"/>
      <c r="I27" s="130">
        <f>SUM(I28:I30)</f>
        <v>128261.43</v>
      </c>
      <c r="J27" s="72">
        <f>I27/H89</f>
        <v>8.9122650376067189E-2</v>
      </c>
      <c r="K27" s="124"/>
      <c r="L27" s="103"/>
    </row>
    <row r="28" spans="1:12" ht="39" customHeight="1">
      <c r="A28" s="51" t="s">
        <v>52</v>
      </c>
      <c r="B28" s="52" t="s">
        <v>489</v>
      </c>
      <c r="C28" s="51" t="s">
        <v>29</v>
      </c>
      <c r="D28" s="51" t="s">
        <v>490</v>
      </c>
      <c r="E28" s="53" t="s">
        <v>31</v>
      </c>
      <c r="F28" s="52">
        <v>1870.08</v>
      </c>
      <c r="G28" s="128">
        <v>4.62</v>
      </c>
      <c r="H28" s="128">
        <f>SUM(G28+(G28*G2))</f>
        <v>5.6770560000000003</v>
      </c>
      <c r="I28" s="128">
        <f t="shared" si="0"/>
        <v>10616.55</v>
      </c>
      <c r="J28" s="73">
        <f>I28/H89</f>
        <v>7.3769259694830792E-3</v>
      </c>
      <c r="K28" s="124"/>
    </row>
    <row r="29" spans="1:12" ht="64.95" customHeight="1">
      <c r="A29" s="51" t="s">
        <v>56</v>
      </c>
      <c r="B29" s="52" t="s">
        <v>333</v>
      </c>
      <c r="C29" s="51" t="s">
        <v>29</v>
      </c>
      <c r="D29" s="51" t="s">
        <v>334</v>
      </c>
      <c r="E29" s="53" t="s">
        <v>31</v>
      </c>
      <c r="F29" s="52">
        <v>1870.08</v>
      </c>
      <c r="G29" s="128">
        <v>40.24</v>
      </c>
      <c r="H29" s="128">
        <f>SUM(G29+(G29*G2))</f>
        <v>49.446912000000005</v>
      </c>
      <c r="I29" s="128">
        <f t="shared" si="0"/>
        <v>92469.68</v>
      </c>
      <c r="J29" s="73">
        <f>I29/H89</f>
        <v>6.4252698266554581E-2</v>
      </c>
      <c r="K29" s="124"/>
    </row>
    <row r="30" spans="1:12" ht="52.05" customHeight="1">
      <c r="A30" s="51" t="s">
        <v>60</v>
      </c>
      <c r="B30" s="52" t="s">
        <v>780</v>
      </c>
      <c r="C30" s="51" t="s">
        <v>29</v>
      </c>
      <c r="D30" s="51" t="s">
        <v>781</v>
      </c>
      <c r="E30" s="53" t="s">
        <v>31</v>
      </c>
      <c r="F30" s="52">
        <v>259.60000000000002</v>
      </c>
      <c r="G30" s="128">
        <v>78.92</v>
      </c>
      <c r="H30" s="128">
        <f>SUM(G30+(G30*G2))</f>
        <v>96.976896000000011</v>
      </c>
      <c r="I30" s="128">
        <f t="shared" si="0"/>
        <v>25175.200000000001</v>
      </c>
      <c r="J30" s="73">
        <f>I30/H89</f>
        <v>1.7493026140029521E-2</v>
      </c>
      <c r="K30" s="124"/>
    </row>
    <row r="31" spans="1:12" ht="24" customHeight="1">
      <c r="A31" s="45" t="s">
        <v>66</v>
      </c>
      <c r="B31" s="45"/>
      <c r="C31" s="45"/>
      <c r="D31" s="45" t="s">
        <v>26</v>
      </c>
      <c r="E31" s="45"/>
      <c r="F31" s="46"/>
      <c r="G31" s="132"/>
      <c r="H31" s="132"/>
      <c r="I31" s="130">
        <f>SUM(I32:I34)</f>
        <v>156374.03</v>
      </c>
      <c r="J31" s="72">
        <f>I31/H89</f>
        <v>0.10865673338888114</v>
      </c>
      <c r="K31" s="124"/>
      <c r="L31" s="103"/>
    </row>
    <row r="32" spans="1:12" ht="52.05" customHeight="1">
      <c r="A32" s="51" t="s">
        <v>68</v>
      </c>
      <c r="B32" s="52" t="s">
        <v>782</v>
      </c>
      <c r="C32" s="51" t="s">
        <v>29</v>
      </c>
      <c r="D32" s="51" t="s">
        <v>783</v>
      </c>
      <c r="E32" s="53" t="s">
        <v>31</v>
      </c>
      <c r="F32" s="52">
        <v>963.81</v>
      </c>
      <c r="G32" s="128">
        <v>60.28</v>
      </c>
      <c r="H32" s="128">
        <f>SUM(G32+(G32*G2))</f>
        <v>74.072063999999997</v>
      </c>
      <c r="I32" s="128">
        <f t="shared" si="0"/>
        <v>71391.399999999994</v>
      </c>
      <c r="J32" s="73">
        <f>I32/H89</f>
        <v>4.960642324086019E-2</v>
      </c>
      <c r="K32" s="124"/>
    </row>
    <row r="33" spans="1:12" ht="39" customHeight="1">
      <c r="A33" s="51" t="s">
        <v>72</v>
      </c>
      <c r="B33" s="52" t="s">
        <v>491</v>
      </c>
      <c r="C33" s="51" t="s">
        <v>29</v>
      </c>
      <c r="D33" s="51" t="s">
        <v>492</v>
      </c>
      <c r="E33" s="53" t="s">
        <v>31</v>
      </c>
      <c r="F33" s="52">
        <v>813.81</v>
      </c>
      <c r="G33" s="128">
        <v>54.13</v>
      </c>
      <c r="H33" s="128">
        <f>SUM(G33+(G33*G2))</f>
        <v>66.514944</v>
      </c>
      <c r="I33" s="128">
        <f t="shared" si="0"/>
        <v>54130.53</v>
      </c>
      <c r="J33" s="73">
        <f>I33/H89</f>
        <v>3.7612681379438982E-2</v>
      </c>
      <c r="K33" s="124"/>
    </row>
    <row r="34" spans="1:12" ht="52.05" customHeight="1">
      <c r="A34" s="51" t="s">
        <v>75</v>
      </c>
      <c r="B34" s="52" t="s">
        <v>33</v>
      </c>
      <c r="C34" s="51" t="s">
        <v>29</v>
      </c>
      <c r="D34" s="51" t="s">
        <v>34</v>
      </c>
      <c r="E34" s="53" t="s">
        <v>31</v>
      </c>
      <c r="F34" s="52">
        <v>250</v>
      </c>
      <c r="G34" s="128">
        <v>100.43</v>
      </c>
      <c r="H34" s="128">
        <f>SUM(G34+(G34*G2))</f>
        <v>123.40838400000001</v>
      </c>
      <c r="I34" s="128">
        <f t="shared" si="0"/>
        <v>30852.1</v>
      </c>
      <c r="J34" s="73">
        <f>I34/H89</f>
        <v>2.1437628768581969E-2</v>
      </c>
      <c r="K34" s="124"/>
    </row>
    <row r="35" spans="1:12" ht="24" customHeight="1">
      <c r="A35" s="45" t="s">
        <v>81</v>
      </c>
      <c r="B35" s="45"/>
      <c r="C35" s="45"/>
      <c r="D35" s="45" t="s">
        <v>36</v>
      </c>
      <c r="E35" s="45"/>
      <c r="F35" s="46"/>
      <c r="G35" s="132"/>
      <c r="H35" s="132"/>
      <c r="I35" s="130">
        <f>SUM(I36:I44)</f>
        <v>347780.79000000004</v>
      </c>
      <c r="J35" s="72">
        <f>I35/H89</f>
        <v>0.24165601268192977</v>
      </c>
      <c r="K35" s="124"/>
      <c r="L35" s="103"/>
    </row>
    <row r="36" spans="1:12" ht="25.95" customHeight="1">
      <c r="A36" s="51" t="s">
        <v>83</v>
      </c>
      <c r="B36" s="52" t="s">
        <v>496</v>
      </c>
      <c r="C36" s="51" t="s">
        <v>22</v>
      </c>
      <c r="D36" s="51" t="s">
        <v>497</v>
      </c>
      <c r="E36" s="53" t="s">
        <v>71</v>
      </c>
      <c r="F36" s="52">
        <v>3202.72</v>
      </c>
      <c r="G36" s="128">
        <v>3.92</v>
      </c>
      <c r="H36" s="128">
        <f>SUM(G36+(G36*G2))</f>
        <v>4.8168959999999998</v>
      </c>
      <c r="I36" s="128">
        <f t="shared" si="0"/>
        <v>15427.17</v>
      </c>
      <c r="J36" s="73">
        <f>I36/H89</f>
        <v>1.0719592618000224E-2</v>
      </c>
      <c r="K36" s="124"/>
    </row>
    <row r="37" spans="1:12" ht="25.95" customHeight="1">
      <c r="A37" s="51" t="s">
        <v>86</v>
      </c>
      <c r="B37" s="52" t="s">
        <v>498</v>
      </c>
      <c r="C37" s="51" t="s">
        <v>29</v>
      </c>
      <c r="D37" s="51" t="s">
        <v>499</v>
      </c>
      <c r="E37" s="53" t="s">
        <v>31</v>
      </c>
      <c r="F37" s="52">
        <v>1198.04</v>
      </c>
      <c r="G37" s="128">
        <v>24.74</v>
      </c>
      <c r="H37" s="128">
        <f>SUM(G37+(G37*G2))</f>
        <v>30.400511999999999</v>
      </c>
      <c r="I37" s="128">
        <f t="shared" si="0"/>
        <v>36421.03</v>
      </c>
      <c r="J37" s="73">
        <f>I37/H89</f>
        <v>2.5307208277860729E-2</v>
      </c>
      <c r="K37" s="124"/>
    </row>
    <row r="38" spans="1:12" ht="25.95" customHeight="1">
      <c r="A38" s="51" t="s">
        <v>349</v>
      </c>
      <c r="B38" s="52" t="s">
        <v>335</v>
      </c>
      <c r="C38" s="51" t="s">
        <v>29</v>
      </c>
      <c r="D38" s="51" t="s">
        <v>336</v>
      </c>
      <c r="E38" s="53" t="s">
        <v>31</v>
      </c>
      <c r="F38" s="52">
        <v>3874.76</v>
      </c>
      <c r="G38" s="128">
        <v>14.34</v>
      </c>
      <c r="H38" s="128">
        <f>SUM(G38+(G38*G2))</f>
        <v>17.620992000000001</v>
      </c>
      <c r="I38" s="128">
        <f t="shared" si="0"/>
        <v>68277.11</v>
      </c>
      <c r="J38" s="73">
        <f>I38/H89</f>
        <v>4.7442454081622829E-2</v>
      </c>
      <c r="K38" s="124"/>
    </row>
    <row r="39" spans="1:12" ht="25.95" customHeight="1">
      <c r="A39" s="51" t="s">
        <v>352</v>
      </c>
      <c r="B39" s="52" t="s">
        <v>337</v>
      </c>
      <c r="C39" s="51" t="s">
        <v>29</v>
      </c>
      <c r="D39" s="51" t="s">
        <v>338</v>
      </c>
      <c r="E39" s="53" t="s">
        <v>31</v>
      </c>
      <c r="F39" s="52">
        <v>5072.8</v>
      </c>
      <c r="G39" s="128">
        <v>3.19</v>
      </c>
      <c r="H39" s="128">
        <f>SUM(G39+(G39*G2))</f>
        <v>3.9198719999999998</v>
      </c>
      <c r="I39" s="128">
        <f t="shared" si="0"/>
        <v>19884.73</v>
      </c>
      <c r="J39" s="73">
        <f>I39/H89</f>
        <v>1.3816934986710303E-2</v>
      </c>
      <c r="K39" s="124"/>
    </row>
    <row r="40" spans="1:12" ht="25.95" customHeight="1">
      <c r="A40" s="51" t="s">
        <v>355</v>
      </c>
      <c r="B40" s="52" t="s">
        <v>339</v>
      </c>
      <c r="C40" s="51" t="s">
        <v>29</v>
      </c>
      <c r="D40" s="51" t="s">
        <v>340</v>
      </c>
      <c r="E40" s="53" t="s">
        <v>31</v>
      </c>
      <c r="F40" s="52">
        <v>5072.8</v>
      </c>
      <c r="G40" s="128">
        <v>16.21</v>
      </c>
      <c r="H40" s="128">
        <f>SUM(G40+(G40*G2))</f>
        <v>19.918848000000001</v>
      </c>
      <c r="I40" s="128">
        <f t="shared" si="0"/>
        <v>101044.33</v>
      </c>
      <c r="J40" s="73">
        <f>I40/H89</f>
        <v>7.0210806904881365E-2</v>
      </c>
      <c r="K40" s="124"/>
    </row>
    <row r="41" spans="1:12" ht="39" customHeight="1">
      <c r="A41" s="51" t="s">
        <v>356</v>
      </c>
      <c r="B41" s="52" t="s">
        <v>501</v>
      </c>
      <c r="C41" s="51" t="s">
        <v>29</v>
      </c>
      <c r="D41" s="51" t="s">
        <v>502</v>
      </c>
      <c r="E41" s="53" t="s">
        <v>31</v>
      </c>
      <c r="F41" s="52">
        <v>231.84</v>
      </c>
      <c r="G41" s="128">
        <v>15.95</v>
      </c>
      <c r="H41" s="128">
        <f>SUM(G41+(G41*G2))</f>
        <v>19.599359999999997</v>
      </c>
      <c r="I41" s="128">
        <f t="shared" si="0"/>
        <v>4543.92</v>
      </c>
      <c r="J41" s="73">
        <f>I41/H89</f>
        <v>3.1573497465046136E-3</v>
      </c>
      <c r="K41" s="124"/>
    </row>
    <row r="42" spans="1:12" ht="52.05" customHeight="1">
      <c r="A42" s="51" t="s">
        <v>522</v>
      </c>
      <c r="B42" s="52" t="s">
        <v>504</v>
      </c>
      <c r="C42" s="51" t="s">
        <v>29</v>
      </c>
      <c r="D42" s="51" t="s">
        <v>505</v>
      </c>
      <c r="E42" s="53" t="s">
        <v>31</v>
      </c>
      <c r="F42" s="52">
        <v>110</v>
      </c>
      <c r="G42" s="128">
        <v>47.4</v>
      </c>
      <c r="H42" s="128">
        <f>SUM(G42+(G42*G2))</f>
        <v>58.24512</v>
      </c>
      <c r="I42" s="128">
        <f t="shared" si="0"/>
        <v>6406.96</v>
      </c>
      <c r="J42" s="73">
        <f>I42/H89</f>
        <v>4.4518859337015614E-3</v>
      </c>
      <c r="K42" s="124"/>
    </row>
    <row r="43" spans="1:12" ht="25.95" customHeight="1">
      <c r="A43" s="51" t="s">
        <v>523</v>
      </c>
      <c r="B43" s="52" t="s">
        <v>784</v>
      </c>
      <c r="C43" s="51" t="s">
        <v>29</v>
      </c>
      <c r="D43" s="51" t="s">
        <v>785</v>
      </c>
      <c r="E43" s="53" t="s">
        <v>31</v>
      </c>
      <c r="F43" s="52">
        <v>1200</v>
      </c>
      <c r="G43" s="128">
        <v>15.14</v>
      </c>
      <c r="H43" s="128">
        <f>SUM(G43+(G43*G2))</f>
        <v>18.604032</v>
      </c>
      <c r="I43" s="128">
        <f t="shared" si="0"/>
        <v>22324.84</v>
      </c>
      <c r="J43" s="73">
        <f>I43/H89</f>
        <v>1.5512449144077373E-2</v>
      </c>
      <c r="K43" s="124"/>
    </row>
    <row r="44" spans="1:12" ht="25.95" customHeight="1">
      <c r="A44" s="51" t="s">
        <v>786</v>
      </c>
      <c r="B44" s="52" t="s">
        <v>552</v>
      </c>
      <c r="C44" s="51" t="s">
        <v>29</v>
      </c>
      <c r="D44" s="51" t="s">
        <v>553</v>
      </c>
      <c r="E44" s="53" t="s">
        <v>31</v>
      </c>
      <c r="F44" s="52">
        <v>1409.7719999999999</v>
      </c>
      <c r="G44" s="128">
        <v>42.4</v>
      </c>
      <c r="H44" s="128">
        <f>SUM(G44+(G44*G2))</f>
        <v>52.101119999999995</v>
      </c>
      <c r="I44" s="128">
        <f t="shared" si="0"/>
        <v>73450.7</v>
      </c>
      <c r="J44" s="73">
        <f>I44/H89</f>
        <v>5.1037330988570752E-2</v>
      </c>
      <c r="K44" s="124"/>
    </row>
    <row r="45" spans="1:12" ht="24" customHeight="1">
      <c r="A45" s="45" t="s">
        <v>89</v>
      </c>
      <c r="B45" s="45"/>
      <c r="C45" s="45"/>
      <c r="D45" s="45" t="s">
        <v>1076</v>
      </c>
      <c r="E45" s="45"/>
      <c r="F45" s="46"/>
      <c r="G45" s="132"/>
      <c r="H45" s="132"/>
      <c r="I45" s="130">
        <f>SUM(I46:I53)</f>
        <v>34302.39</v>
      </c>
      <c r="J45" s="72">
        <f>I45/H89</f>
        <v>2.3835068040591028E-2</v>
      </c>
      <c r="K45" s="124"/>
      <c r="L45" s="103"/>
    </row>
    <row r="46" spans="1:12" ht="25.95" customHeight="1">
      <c r="A46" s="51" t="s">
        <v>90</v>
      </c>
      <c r="B46" s="52" t="s">
        <v>44</v>
      </c>
      <c r="C46" s="51" t="s">
        <v>22</v>
      </c>
      <c r="D46" s="51" t="s">
        <v>45</v>
      </c>
      <c r="E46" s="53" t="s">
        <v>46</v>
      </c>
      <c r="F46" s="52">
        <v>20</v>
      </c>
      <c r="G46" s="128">
        <v>123.61</v>
      </c>
      <c r="H46" s="128">
        <f>SUM(G46+(G46*G2))</f>
        <v>151.89196799999999</v>
      </c>
      <c r="I46" s="128">
        <f t="shared" si="0"/>
        <v>3037.84</v>
      </c>
      <c r="J46" s="73">
        <f>I46/H89</f>
        <v>2.1108477600665452E-3</v>
      </c>
      <c r="K46" s="124"/>
    </row>
    <row r="47" spans="1:12" ht="25.95" customHeight="1">
      <c r="A47" s="51" t="s">
        <v>357</v>
      </c>
      <c r="B47" s="52" t="s">
        <v>48</v>
      </c>
      <c r="C47" s="51" t="s">
        <v>22</v>
      </c>
      <c r="D47" s="51" t="s">
        <v>49</v>
      </c>
      <c r="E47" s="53" t="s">
        <v>46</v>
      </c>
      <c r="F47" s="52">
        <v>20</v>
      </c>
      <c r="G47" s="128">
        <v>122.58</v>
      </c>
      <c r="H47" s="128">
        <f>SUM(G47+(G47*G2))</f>
        <v>150.626304</v>
      </c>
      <c r="I47" s="128">
        <f t="shared" si="0"/>
        <v>3012.53</v>
      </c>
      <c r="J47" s="73">
        <f>I47/H89</f>
        <v>2.0932610679407966E-3</v>
      </c>
      <c r="K47" s="124"/>
    </row>
    <row r="48" spans="1:12" ht="39" customHeight="1">
      <c r="A48" s="51" t="s">
        <v>526</v>
      </c>
      <c r="B48" s="52" t="s">
        <v>507</v>
      </c>
      <c r="C48" s="51" t="s">
        <v>29</v>
      </c>
      <c r="D48" s="51" t="s">
        <v>508</v>
      </c>
      <c r="E48" s="53" t="s">
        <v>59</v>
      </c>
      <c r="F48" s="52">
        <v>40</v>
      </c>
      <c r="G48" s="128">
        <v>180.33</v>
      </c>
      <c r="H48" s="128">
        <f>SUM(G48+(G48*G2))</f>
        <v>221.58950400000003</v>
      </c>
      <c r="I48" s="128">
        <f t="shared" si="0"/>
        <v>8863.58</v>
      </c>
      <c r="J48" s="73">
        <f>I48/H89</f>
        <v>6.1588720897646438E-3</v>
      </c>
      <c r="K48" s="124"/>
    </row>
    <row r="49" spans="1:12" ht="39" customHeight="1">
      <c r="A49" s="51" t="s">
        <v>527</v>
      </c>
      <c r="B49" s="52" t="s">
        <v>509</v>
      </c>
      <c r="C49" s="51" t="s">
        <v>29</v>
      </c>
      <c r="D49" s="51" t="s">
        <v>510</v>
      </c>
      <c r="E49" s="53" t="s">
        <v>40</v>
      </c>
      <c r="F49" s="52">
        <v>900</v>
      </c>
      <c r="G49" s="128">
        <v>4.22</v>
      </c>
      <c r="H49" s="128">
        <f>SUM(G49+(G49*G2))</f>
        <v>5.1855359999999999</v>
      </c>
      <c r="I49" s="128">
        <f t="shared" si="0"/>
        <v>4666.9799999999996</v>
      </c>
      <c r="J49" s="73">
        <f>I49/H89</f>
        <v>3.2428581753072457E-3</v>
      </c>
      <c r="K49" s="124"/>
    </row>
    <row r="50" spans="1:12" ht="24" customHeight="1">
      <c r="A50" s="51" t="s">
        <v>528</v>
      </c>
      <c r="B50" s="52" t="s">
        <v>341</v>
      </c>
      <c r="C50" s="51" t="s">
        <v>22</v>
      </c>
      <c r="D50" s="51" t="s">
        <v>342</v>
      </c>
      <c r="E50" s="53" t="s">
        <v>46</v>
      </c>
      <c r="F50" s="52">
        <v>10</v>
      </c>
      <c r="G50" s="128">
        <v>191.22</v>
      </c>
      <c r="H50" s="128">
        <f>SUM(G50+(G50*G2))</f>
        <v>234.971136</v>
      </c>
      <c r="I50" s="128">
        <f t="shared" si="0"/>
        <v>2349.71</v>
      </c>
      <c r="J50" s="73">
        <f>I50/H89</f>
        <v>1.632699579407066E-3</v>
      </c>
      <c r="K50" s="124"/>
    </row>
    <row r="51" spans="1:12" ht="52.05" customHeight="1">
      <c r="A51" s="51" t="s">
        <v>529</v>
      </c>
      <c r="B51" s="52" t="s">
        <v>787</v>
      </c>
      <c r="C51" s="51" t="s">
        <v>29</v>
      </c>
      <c r="D51" s="51" t="s">
        <v>788</v>
      </c>
      <c r="E51" s="53" t="s">
        <v>59</v>
      </c>
      <c r="F51" s="52">
        <v>52</v>
      </c>
      <c r="G51" s="128">
        <v>146.78</v>
      </c>
      <c r="H51" s="128">
        <f>SUM(G51+(G51*G2))</f>
        <v>180.36326400000002</v>
      </c>
      <c r="I51" s="128">
        <f t="shared" si="0"/>
        <v>9378.89</v>
      </c>
      <c r="J51" s="73">
        <f>I51/H89</f>
        <v>6.5169360296824441E-3</v>
      </c>
      <c r="K51" s="124"/>
    </row>
    <row r="52" spans="1:12" ht="39" customHeight="1">
      <c r="A52" s="51" t="s">
        <v>530</v>
      </c>
      <c r="B52" s="52" t="s">
        <v>789</v>
      </c>
      <c r="C52" s="51" t="s">
        <v>29</v>
      </c>
      <c r="D52" s="51" t="s">
        <v>790</v>
      </c>
      <c r="E52" s="53" t="s">
        <v>59</v>
      </c>
      <c r="F52" s="52">
        <v>52</v>
      </c>
      <c r="G52" s="128">
        <v>39.700000000000003</v>
      </c>
      <c r="H52" s="128">
        <f>SUM(G52+(G52*G2))</f>
        <v>48.783360000000002</v>
      </c>
      <c r="I52" s="128">
        <f t="shared" si="0"/>
        <v>2536.73</v>
      </c>
      <c r="J52" s="73">
        <f>I52/H89</f>
        <v>1.7626507118194529E-3</v>
      </c>
      <c r="K52" s="124"/>
    </row>
    <row r="53" spans="1:12" ht="25.95" customHeight="1">
      <c r="A53" s="51" t="s">
        <v>533</v>
      </c>
      <c r="B53" s="52" t="s">
        <v>343</v>
      </c>
      <c r="C53" s="51" t="s">
        <v>29</v>
      </c>
      <c r="D53" s="51" t="s">
        <v>344</v>
      </c>
      <c r="E53" s="53" t="s">
        <v>59</v>
      </c>
      <c r="F53" s="52">
        <v>20</v>
      </c>
      <c r="G53" s="128">
        <v>18.559999999999999</v>
      </c>
      <c r="H53" s="128">
        <f>SUM(G53+(G53*G2))</f>
        <v>22.806528</v>
      </c>
      <c r="I53" s="128">
        <f t="shared" si="0"/>
        <v>456.13</v>
      </c>
      <c r="J53" s="73">
        <f>I53/H89</f>
        <v>3.1694262660283398E-4</v>
      </c>
      <c r="K53" s="124"/>
    </row>
    <row r="54" spans="1:12" ht="24" customHeight="1">
      <c r="A54" s="45" t="s">
        <v>536</v>
      </c>
      <c r="B54" s="45"/>
      <c r="C54" s="45"/>
      <c r="D54" s="45" t="s">
        <v>1074</v>
      </c>
      <c r="E54" s="45"/>
      <c r="F54" s="46"/>
      <c r="G54" s="132"/>
      <c r="H54" s="132"/>
      <c r="I54" s="130">
        <f>SUM(I55:I64)</f>
        <v>10207.58</v>
      </c>
      <c r="J54" s="72">
        <f>I54/H89</f>
        <v>7.0927525408514148E-3</v>
      </c>
      <c r="K54" s="124"/>
      <c r="L54" s="103"/>
    </row>
    <row r="55" spans="1:12" ht="52.05" customHeight="1">
      <c r="A55" s="51" t="s">
        <v>538</v>
      </c>
      <c r="B55" s="52" t="s">
        <v>518</v>
      </c>
      <c r="C55" s="51" t="s">
        <v>29</v>
      </c>
      <c r="D55" s="51" t="s">
        <v>519</v>
      </c>
      <c r="E55" s="53" t="s">
        <v>59</v>
      </c>
      <c r="F55" s="52">
        <v>2</v>
      </c>
      <c r="G55" s="128">
        <v>519.82000000000005</v>
      </c>
      <c r="H55" s="128">
        <f>SUM(G55+(G55*G2))</f>
        <v>638.75481600000012</v>
      </c>
      <c r="I55" s="128">
        <f t="shared" si="0"/>
        <v>1277.51</v>
      </c>
      <c r="J55" s="73">
        <f>I55/H89</f>
        <v>8.8767977311596789E-4</v>
      </c>
      <c r="K55" s="124"/>
    </row>
    <row r="56" spans="1:12" ht="52.05" customHeight="1">
      <c r="A56" s="51" t="s">
        <v>1065</v>
      </c>
      <c r="B56" s="52" t="s">
        <v>791</v>
      </c>
      <c r="C56" s="51" t="s">
        <v>29</v>
      </c>
      <c r="D56" s="51" t="s">
        <v>792</v>
      </c>
      <c r="E56" s="53" t="s">
        <v>59</v>
      </c>
      <c r="F56" s="52">
        <v>2</v>
      </c>
      <c r="G56" s="128">
        <v>707.77</v>
      </c>
      <c r="H56" s="128">
        <f>SUM(G56+(G56*G2))</f>
        <v>869.70777599999997</v>
      </c>
      <c r="I56" s="128">
        <f t="shared" si="0"/>
        <v>1739.42</v>
      </c>
      <c r="J56" s="73">
        <f>I56/H89</f>
        <v>1.2086386415396959E-3</v>
      </c>
      <c r="K56" s="124"/>
    </row>
    <row r="57" spans="1:12" ht="39" customHeight="1">
      <c r="A57" s="51" t="s">
        <v>1066</v>
      </c>
      <c r="B57" s="52" t="s">
        <v>793</v>
      </c>
      <c r="C57" s="51" t="s">
        <v>29</v>
      </c>
      <c r="D57" s="51" t="s">
        <v>794</v>
      </c>
      <c r="E57" s="53" t="s">
        <v>59</v>
      </c>
      <c r="F57" s="52">
        <v>7</v>
      </c>
      <c r="G57" s="128">
        <v>117.11</v>
      </c>
      <c r="H57" s="128">
        <f>SUM(G57+(G57*G2))</f>
        <v>143.90476799999999</v>
      </c>
      <c r="I57" s="128">
        <f t="shared" si="0"/>
        <v>1007.33</v>
      </c>
      <c r="J57" s="73">
        <f>I57/H89</f>
        <v>6.9994478779258711E-4</v>
      </c>
      <c r="K57" s="124"/>
    </row>
    <row r="58" spans="1:12" ht="52.05" customHeight="1">
      <c r="A58" s="51" t="s">
        <v>1067</v>
      </c>
      <c r="B58" s="52" t="s">
        <v>524</v>
      </c>
      <c r="C58" s="51" t="s">
        <v>29</v>
      </c>
      <c r="D58" s="51" t="s">
        <v>525</v>
      </c>
      <c r="E58" s="53" t="s">
        <v>59</v>
      </c>
      <c r="F58" s="52">
        <v>15</v>
      </c>
      <c r="G58" s="128">
        <v>137.41</v>
      </c>
      <c r="H58" s="128">
        <f>SUM(G58+(G58*G2))</f>
        <v>168.84940799999998</v>
      </c>
      <c r="I58" s="128">
        <f>ROUND(F58*H58,2)</f>
        <v>2532.7399999999998</v>
      </c>
      <c r="J58" s="73">
        <f>I58/H89</f>
        <v>1.7598782542302888E-3</v>
      </c>
      <c r="K58" s="124"/>
    </row>
    <row r="59" spans="1:12" ht="25.95" customHeight="1">
      <c r="A59" s="51" t="s">
        <v>1068</v>
      </c>
      <c r="B59" s="52" t="s">
        <v>57</v>
      </c>
      <c r="C59" s="51" t="s">
        <v>29</v>
      </c>
      <c r="D59" s="51" t="s">
        <v>58</v>
      </c>
      <c r="E59" s="53" t="s">
        <v>59</v>
      </c>
      <c r="F59" s="52">
        <v>10</v>
      </c>
      <c r="G59" s="128">
        <v>12.12</v>
      </c>
      <c r="H59" s="128">
        <f>SUM(G59+(G59*G2))</f>
        <v>14.893056</v>
      </c>
      <c r="I59" s="128">
        <f t="shared" si="0"/>
        <v>148.93</v>
      </c>
      <c r="J59" s="73">
        <f>I59/H89</f>
        <v>1.0348423778300061E-4</v>
      </c>
      <c r="K59" s="124"/>
    </row>
    <row r="60" spans="1:12" ht="25.95" customHeight="1">
      <c r="A60" s="51" t="s">
        <v>1069</v>
      </c>
      <c r="B60" s="52" t="s">
        <v>61</v>
      </c>
      <c r="C60" s="51" t="s">
        <v>29</v>
      </c>
      <c r="D60" s="51" t="s">
        <v>62</v>
      </c>
      <c r="E60" s="53" t="s">
        <v>59</v>
      </c>
      <c r="F60" s="52">
        <v>15</v>
      </c>
      <c r="G60" s="128">
        <v>10.47</v>
      </c>
      <c r="H60" s="128">
        <f>SUM(G60+(G60*G2))</f>
        <v>12.865536000000001</v>
      </c>
      <c r="I60" s="128">
        <f t="shared" si="0"/>
        <v>192.98</v>
      </c>
      <c r="J60" s="73">
        <f>I60/H89</f>
        <v>1.3409244750797996E-4</v>
      </c>
      <c r="K60" s="124"/>
    </row>
    <row r="61" spans="1:12" ht="24" customHeight="1">
      <c r="A61" s="51" t="s">
        <v>1070</v>
      </c>
      <c r="B61" s="52" t="s">
        <v>796</v>
      </c>
      <c r="C61" s="51" t="s">
        <v>22</v>
      </c>
      <c r="D61" s="51" t="s">
        <v>797</v>
      </c>
      <c r="E61" s="53" t="s">
        <v>55</v>
      </c>
      <c r="F61" s="52">
        <v>5</v>
      </c>
      <c r="G61" s="128">
        <v>149.53</v>
      </c>
      <c r="H61" s="128">
        <f>SUM(G61+(G61*G2))</f>
        <v>183.74246400000001</v>
      </c>
      <c r="I61" s="128">
        <f t="shared" si="0"/>
        <v>918.71</v>
      </c>
      <c r="J61" s="73">
        <f>I61/H89</f>
        <v>6.3836704554905317E-4</v>
      </c>
      <c r="K61" s="124"/>
    </row>
    <row r="62" spans="1:12" ht="24" customHeight="1">
      <c r="A62" s="51" t="s">
        <v>1071</v>
      </c>
      <c r="B62" s="52" t="s">
        <v>799</v>
      </c>
      <c r="C62" s="51" t="s">
        <v>22</v>
      </c>
      <c r="D62" s="51" t="s">
        <v>800</v>
      </c>
      <c r="E62" s="53" t="s">
        <v>55</v>
      </c>
      <c r="F62" s="52">
        <v>5</v>
      </c>
      <c r="G62" s="128">
        <v>83.23</v>
      </c>
      <c r="H62" s="128">
        <f>SUM(G62+(G62*G2))</f>
        <v>102.27302400000001</v>
      </c>
      <c r="I62" s="128">
        <f t="shared" si="0"/>
        <v>511.37</v>
      </c>
      <c r="J62" s="73">
        <f>I62/H89</f>
        <v>3.5532622490494205E-4</v>
      </c>
      <c r="K62" s="124"/>
    </row>
    <row r="63" spans="1:12" ht="25.95" customHeight="1">
      <c r="A63" s="51" t="s">
        <v>1072</v>
      </c>
      <c r="B63" s="52" t="s">
        <v>514</v>
      </c>
      <c r="C63" s="51" t="s">
        <v>29</v>
      </c>
      <c r="D63" s="51" t="s">
        <v>515</v>
      </c>
      <c r="E63" s="53" t="s">
        <v>59</v>
      </c>
      <c r="F63" s="52">
        <v>2</v>
      </c>
      <c r="G63" s="128">
        <v>507.45</v>
      </c>
      <c r="H63" s="128">
        <f>SUM(G63+(G63*G2))</f>
        <v>623.55456000000004</v>
      </c>
      <c r="I63" s="128">
        <f t="shared" si="0"/>
        <v>1247.1099999999999</v>
      </c>
      <c r="J63" s="73">
        <f>I63/H89</f>
        <v>8.6655628672233846E-4</v>
      </c>
      <c r="K63" s="124"/>
    </row>
    <row r="64" spans="1:12" ht="24" customHeight="1">
      <c r="A64" s="51" t="s">
        <v>1073</v>
      </c>
      <c r="B64" s="52" t="s">
        <v>801</v>
      </c>
      <c r="C64" s="51" t="s">
        <v>22</v>
      </c>
      <c r="D64" s="51" t="s">
        <v>802</v>
      </c>
      <c r="E64" s="53" t="s">
        <v>55</v>
      </c>
      <c r="F64" s="52">
        <v>5</v>
      </c>
      <c r="G64" s="128">
        <v>102.78</v>
      </c>
      <c r="H64" s="128">
        <f>SUM(G64+(G64*G2))</f>
        <v>126.296064</v>
      </c>
      <c r="I64" s="128">
        <f t="shared" si="0"/>
        <v>631.48</v>
      </c>
      <c r="J64" s="73">
        <f>I64/H89</f>
        <v>4.3878484170556116E-4</v>
      </c>
      <c r="K64" s="124"/>
    </row>
    <row r="65" spans="1:12" ht="24" customHeight="1">
      <c r="A65" s="45" t="s">
        <v>550</v>
      </c>
      <c r="B65" s="45"/>
      <c r="C65" s="45"/>
      <c r="D65" s="45" t="s">
        <v>82</v>
      </c>
      <c r="E65" s="45"/>
      <c r="F65" s="46"/>
      <c r="G65" s="132"/>
      <c r="H65" s="132"/>
      <c r="I65" s="130">
        <f>SUM(I66:I71)</f>
        <v>175746.71000000002</v>
      </c>
      <c r="J65" s="72">
        <f>I65/H89</f>
        <v>0.12211786965164877</v>
      </c>
      <c r="K65" s="124"/>
      <c r="L65" s="103"/>
    </row>
    <row r="66" spans="1:12" ht="52.05" customHeight="1">
      <c r="A66" s="51" t="s">
        <v>551</v>
      </c>
      <c r="B66" s="52" t="s">
        <v>345</v>
      </c>
      <c r="C66" s="51" t="s">
        <v>29</v>
      </c>
      <c r="D66" s="51" t="s">
        <v>346</v>
      </c>
      <c r="E66" s="53" t="s">
        <v>31</v>
      </c>
      <c r="F66" s="52">
        <v>735</v>
      </c>
      <c r="G66" s="128">
        <v>92.53</v>
      </c>
      <c r="H66" s="128">
        <f>SUM(G66+(G66*G2))</f>
        <v>113.700864</v>
      </c>
      <c r="I66" s="128">
        <f t="shared" si="0"/>
        <v>83570.14</v>
      </c>
      <c r="J66" s="73">
        <f>I66/H89</f>
        <v>5.8068839315911162E-2</v>
      </c>
      <c r="K66" s="124"/>
    </row>
    <row r="67" spans="1:12" ht="39" customHeight="1">
      <c r="A67" s="51" t="s">
        <v>554</v>
      </c>
      <c r="B67" s="52" t="s">
        <v>347</v>
      </c>
      <c r="C67" s="51" t="s">
        <v>29</v>
      </c>
      <c r="D67" s="51" t="s">
        <v>348</v>
      </c>
      <c r="E67" s="53" t="s">
        <v>31</v>
      </c>
      <c r="F67" s="52">
        <v>735</v>
      </c>
      <c r="G67" s="128">
        <v>51.4</v>
      </c>
      <c r="H67" s="128">
        <f>SUM(G67+(G67*G2))</f>
        <v>63.160319999999999</v>
      </c>
      <c r="I67" s="128">
        <f t="shared" si="0"/>
        <v>46422.84</v>
      </c>
      <c r="J67" s="73">
        <f>I67/H89</f>
        <v>3.2256981220185263E-2</v>
      </c>
      <c r="K67" s="124"/>
    </row>
    <row r="68" spans="1:12" ht="39" customHeight="1">
      <c r="A68" s="51" t="s">
        <v>555</v>
      </c>
      <c r="B68" s="52" t="s">
        <v>84</v>
      </c>
      <c r="C68" s="51" t="s">
        <v>29</v>
      </c>
      <c r="D68" s="51" t="s">
        <v>85</v>
      </c>
      <c r="E68" s="53" t="s">
        <v>31</v>
      </c>
      <c r="F68" s="52">
        <v>1670</v>
      </c>
      <c r="G68" s="128">
        <v>18.329999999999998</v>
      </c>
      <c r="H68" s="128">
        <f>SUM(G68+(G68*G2))</f>
        <v>22.523903999999998</v>
      </c>
      <c r="I68" s="128">
        <f t="shared" si="0"/>
        <v>37614.92</v>
      </c>
      <c r="J68" s="73">
        <f>I68/H89</f>
        <v>2.6136784566363692E-2</v>
      </c>
      <c r="K68" s="124"/>
    </row>
    <row r="69" spans="1:12" ht="52.05" customHeight="1">
      <c r="A69" s="51" t="s">
        <v>558</v>
      </c>
      <c r="B69" s="52" t="s">
        <v>87</v>
      </c>
      <c r="C69" s="51" t="s">
        <v>29</v>
      </c>
      <c r="D69" s="51" t="s">
        <v>88</v>
      </c>
      <c r="E69" s="53" t="s">
        <v>40</v>
      </c>
      <c r="F69" s="52">
        <v>82</v>
      </c>
      <c r="G69" s="128">
        <v>33.090000000000003</v>
      </c>
      <c r="H69" s="128">
        <f>SUM(G69+(G69*G2))</f>
        <v>40.660992000000007</v>
      </c>
      <c r="I69" s="128">
        <f t="shared" si="0"/>
        <v>3334.2</v>
      </c>
      <c r="J69" s="73">
        <f>I69/H89</f>
        <v>2.3167739583433867E-3</v>
      </c>
      <c r="K69" s="124"/>
    </row>
    <row r="70" spans="1:12" ht="39" customHeight="1">
      <c r="A70" s="51" t="s">
        <v>561</v>
      </c>
      <c r="B70" s="52" t="s">
        <v>531</v>
      </c>
      <c r="C70" s="51" t="s">
        <v>29</v>
      </c>
      <c r="D70" s="51" t="s">
        <v>532</v>
      </c>
      <c r="E70" s="53" t="s">
        <v>31</v>
      </c>
      <c r="F70" s="52">
        <v>100</v>
      </c>
      <c r="G70" s="128">
        <v>20.16</v>
      </c>
      <c r="H70" s="128">
        <f>SUM(G70+(G70*G2))</f>
        <v>24.772607999999998</v>
      </c>
      <c r="I70" s="128">
        <f t="shared" si="0"/>
        <v>2477.2600000000002</v>
      </c>
      <c r="J70" s="73">
        <f>I70/H89</f>
        <v>1.7213278915619156E-3</v>
      </c>
      <c r="K70" s="124"/>
    </row>
    <row r="71" spans="1:12" ht="39" customHeight="1">
      <c r="A71" s="51" t="s">
        <v>803</v>
      </c>
      <c r="B71" s="52" t="s">
        <v>534</v>
      </c>
      <c r="C71" s="51" t="s">
        <v>29</v>
      </c>
      <c r="D71" s="51" t="s">
        <v>535</v>
      </c>
      <c r="E71" s="53" t="s">
        <v>31</v>
      </c>
      <c r="F71" s="52">
        <v>100</v>
      </c>
      <c r="G71" s="128">
        <v>18.940000000000001</v>
      </c>
      <c r="H71" s="128">
        <f>SUM(G71+(G71*G2))</f>
        <v>23.273472000000002</v>
      </c>
      <c r="I71" s="128">
        <f t="shared" ref="I71:I85" si="1">ROUND(F71*H71,2)</f>
        <v>2327.35</v>
      </c>
      <c r="J71" s="73">
        <f>I71/H89</f>
        <v>1.6171626992833306E-3</v>
      </c>
      <c r="K71" s="124"/>
    </row>
    <row r="72" spans="1:12" ht="24" customHeight="1">
      <c r="A72" s="45" t="s">
        <v>564</v>
      </c>
      <c r="B72" s="45"/>
      <c r="C72" s="45"/>
      <c r="D72" s="45" t="s">
        <v>537</v>
      </c>
      <c r="E72" s="45"/>
      <c r="F72" s="46"/>
      <c r="G72" s="132"/>
      <c r="H72" s="132"/>
      <c r="I72" s="130">
        <f>SUM(I73:I78)</f>
        <v>99582.88</v>
      </c>
      <c r="J72" s="72">
        <f>I72/H89</f>
        <v>6.9195316142053417E-2</v>
      </c>
      <c r="K72" s="124"/>
      <c r="L72" s="103"/>
    </row>
    <row r="73" spans="1:12" ht="64.95" customHeight="1">
      <c r="A73" s="51" t="s">
        <v>565</v>
      </c>
      <c r="B73" s="52" t="s">
        <v>804</v>
      </c>
      <c r="C73" s="51" t="s">
        <v>29</v>
      </c>
      <c r="D73" s="51" t="s">
        <v>805</v>
      </c>
      <c r="E73" s="53" t="s">
        <v>59</v>
      </c>
      <c r="F73" s="52">
        <v>12</v>
      </c>
      <c r="G73" s="128">
        <v>1054.43</v>
      </c>
      <c r="H73" s="128">
        <f>SUM(G73+(G73*G2))</f>
        <v>1295.6835840000001</v>
      </c>
      <c r="I73" s="128">
        <f t="shared" si="1"/>
        <v>15548.2</v>
      </c>
      <c r="J73" s="73">
        <f>I73/H89</f>
        <v>1.0803690498204861E-2</v>
      </c>
      <c r="K73" s="124"/>
    </row>
    <row r="74" spans="1:12" ht="64.95" customHeight="1">
      <c r="A74" s="51" t="s">
        <v>806</v>
      </c>
      <c r="B74" s="52" t="s">
        <v>807</v>
      </c>
      <c r="C74" s="51" t="s">
        <v>29</v>
      </c>
      <c r="D74" s="51" t="s">
        <v>808</v>
      </c>
      <c r="E74" s="53" t="s">
        <v>59</v>
      </c>
      <c r="F74" s="52">
        <v>5</v>
      </c>
      <c r="G74" s="128">
        <v>960.55</v>
      </c>
      <c r="H74" s="128">
        <f>SUM(G74+(G74*G2))</f>
        <v>1180.32384</v>
      </c>
      <c r="I74" s="128">
        <f t="shared" si="1"/>
        <v>5901.62</v>
      </c>
      <c r="J74" s="73">
        <f>I74/H89</f>
        <v>4.1007496634990395E-3</v>
      </c>
      <c r="K74" s="124"/>
    </row>
    <row r="75" spans="1:12" ht="64.95" customHeight="1">
      <c r="A75" s="51" t="s">
        <v>809</v>
      </c>
      <c r="B75" s="52" t="s">
        <v>810</v>
      </c>
      <c r="C75" s="51" t="s">
        <v>29</v>
      </c>
      <c r="D75" s="51" t="s">
        <v>811</v>
      </c>
      <c r="E75" s="53" t="s">
        <v>59</v>
      </c>
      <c r="F75" s="52">
        <v>5</v>
      </c>
      <c r="G75" s="128">
        <v>980.98</v>
      </c>
      <c r="H75" s="128">
        <f>SUM(G75+(G75*G2))</f>
        <v>1205.428224</v>
      </c>
      <c r="I75" s="128">
        <f t="shared" si="1"/>
        <v>6027.14</v>
      </c>
      <c r="J75" s="73">
        <f>I75/H89</f>
        <v>4.187967427055894E-3</v>
      </c>
      <c r="K75" s="124"/>
    </row>
    <row r="76" spans="1:12" ht="64.95" customHeight="1">
      <c r="A76" s="51" t="s">
        <v>812</v>
      </c>
      <c r="B76" s="52" t="s">
        <v>813</v>
      </c>
      <c r="C76" s="51" t="s">
        <v>29</v>
      </c>
      <c r="D76" s="51" t="s">
        <v>814</v>
      </c>
      <c r="E76" s="53" t="s">
        <v>59</v>
      </c>
      <c r="F76" s="52">
        <v>5</v>
      </c>
      <c r="G76" s="128">
        <v>1031.8699999999999</v>
      </c>
      <c r="H76" s="128">
        <f>SUM(G76+(G76*G2))</f>
        <v>1267.9618559999999</v>
      </c>
      <c r="I76" s="128">
        <f t="shared" si="1"/>
        <v>6339.81</v>
      </c>
      <c r="J76" s="73">
        <f>I76/H89</f>
        <v>4.4052266537235284E-3</v>
      </c>
      <c r="K76" s="124"/>
    </row>
    <row r="77" spans="1:12" ht="39" customHeight="1">
      <c r="A77" s="51" t="s">
        <v>815</v>
      </c>
      <c r="B77" s="52" t="s">
        <v>545</v>
      </c>
      <c r="C77" s="51" t="s">
        <v>29</v>
      </c>
      <c r="D77" s="51" t="s">
        <v>546</v>
      </c>
      <c r="E77" s="53" t="s">
        <v>59</v>
      </c>
      <c r="F77" s="52">
        <v>10</v>
      </c>
      <c r="G77" s="128">
        <v>183.3</v>
      </c>
      <c r="H77" s="128">
        <f>SUM(G77+(G77*G2))</f>
        <v>225.23904000000002</v>
      </c>
      <c r="I77" s="128">
        <f t="shared" si="1"/>
        <v>2252.39</v>
      </c>
      <c r="J77" s="73">
        <f>I77/H89</f>
        <v>1.5650766288864077E-3</v>
      </c>
      <c r="K77" s="124"/>
    </row>
    <row r="78" spans="1:12" ht="52.05" customHeight="1">
      <c r="A78" s="51" t="s">
        <v>816</v>
      </c>
      <c r="B78" s="52" t="s">
        <v>817</v>
      </c>
      <c r="C78" s="51" t="s">
        <v>22</v>
      </c>
      <c r="D78" s="51" t="s">
        <v>818</v>
      </c>
      <c r="E78" s="53" t="s">
        <v>71</v>
      </c>
      <c r="F78" s="52">
        <v>40</v>
      </c>
      <c r="G78" s="128">
        <v>1292.19</v>
      </c>
      <c r="H78" s="128">
        <f>SUM(G78+(G78*G2))</f>
        <v>1587.8430720000001</v>
      </c>
      <c r="I78" s="128">
        <f t="shared" si="1"/>
        <v>63513.72</v>
      </c>
      <c r="J78" s="73">
        <f>I78/H89</f>
        <v>4.4132605270683682E-2</v>
      </c>
      <c r="K78" s="124"/>
    </row>
    <row r="79" spans="1:12" ht="24" customHeight="1">
      <c r="A79" s="45" t="s">
        <v>819</v>
      </c>
      <c r="B79" s="45"/>
      <c r="C79" s="45"/>
      <c r="D79" s="45" t="s">
        <v>67</v>
      </c>
      <c r="E79" s="45"/>
      <c r="F79" s="46"/>
      <c r="G79" s="132"/>
      <c r="H79" s="132"/>
      <c r="I79" s="130">
        <f>SUM(I80:I83)</f>
        <v>169885.00999999998</v>
      </c>
      <c r="J79" s="72">
        <f>I79/H89</f>
        <v>0.11804485846107186</v>
      </c>
      <c r="K79" s="124"/>
      <c r="L79" s="103"/>
    </row>
    <row r="80" spans="1:12" ht="39" customHeight="1">
      <c r="A80" s="51" t="s">
        <v>820</v>
      </c>
      <c r="B80" s="52" t="s">
        <v>76</v>
      </c>
      <c r="C80" s="51" t="s">
        <v>29</v>
      </c>
      <c r="D80" s="51" t="s">
        <v>77</v>
      </c>
      <c r="E80" s="53" t="s">
        <v>31</v>
      </c>
      <c r="F80" s="52">
        <v>663.71</v>
      </c>
      <c r="G80" s="128">
        <v>73.739999999999995</v>
      </c>
      <c r="H80" s="128">
        <f>SUM(G80+(G80*G2))</f>
        <v>90.611711999999997</v>
      </c>
      <c r="I80" s="128">
        <f t="shared" si="1"/>
        <v>60139.9</v>
      </c>
      <c r="J80" s="73">
        <f>I80/H89</f>
        <v>4.1788301294875971E-2</v>
      </c>
      <c r="K80" s="124"/>
    </row>
    <row r="81" spans="1:11" ht="25.95" customHeight="1">
      <c r="A81" s="51" t="s">
        <v>821</v>
      </c>
      <c r="B81" s="52" t="s">
        <v>556</v>
      </c>
      <c r="C81" s="51" t="s">
        <v>29</v>
      </c>
      <c r="D81" s="51" t="s">
        <v>557</v>
      </c>
      <c r="E81" s="53" t="s">
        <v>31</v>
      </c>
      <c r="F81" s="52">
        <v>110</v>
      </c>
      <c r="G81" s="128">
        <v>616.21</v>
      </c>
      <c r="H81" s="128">
        <f>SUM(G81+(G81*G2))</f>
        <v>757.198848</v>
      </c>
      <c r="I81" s="128">
        <f t="shared" si="1"/>
        <v>83291.87</v>
      </c>
      <c r="J81" s="73">
        <f>I81/H89</f>
        <v>5.7875482981741583E-2</v>
      </c>
      <c r="K81" s="124"/>
    </row>
    <row r="82" spans="1:11" ht="25.95" customHeight="1">
      <c r="A82" s="51" t="s">
        <v>822</v>
      </c>
      <c r="B82" s="52" t="s">
        <v>79</v>
      </c>
      <c r="C82" s="51" t="s">
        <v>29</v>
      </c>
      <c r="D82" s="51" t="s">
        <v>80</v>
      </c>
      <c r="E82" s="53" t="s">
        <v>31</v>
      </c>
      <c r="F82" s="52">
        <v>300</v>
      </c>
      <c r="G82" s="128">
        <v>41.17</v>
      </c>
      <c r="H82" s="128">
        <f>SUM(G82+(G82*G2))</f>
        <v>50.589696000000004</v>
      </c>
      <c r="I82" s="128">
        <f t="shared" si="1"/>
        <v>15176.91</v>
      </c>
      <c r="J82" s="73">
        <f>I82/H89</f>
        <v>1.0545699075076879E-2</v>
      </c>
      <c r="K82" s="124"/>
    </row>
    <row r="83" spans="1:11" ht="25.95" customHeight="1">
      <c r="A83" s="51" t="s">
        <v>823</v>
      </c>
      <c r="B83" s="52" t="s">
        <v>559</v>
      </c>
      <c r="C83" s="51" t="s">
        <v>22</v>
      </c>
      <c r="D83" s="51" t="s">
        <v>560</v>
      </c>
      <c r="E83" s="53" t="s">
        <v>71</v>
      </c>
      <c r="F83" s="52">
        <v>30</v>
      </c>
      <c r="G83" s="128">
        <v>305.89</v>
      </c>
      <c r="H83" s="128">
        <f>SUM(G83+(G83*G2))</f>
        <v>375.87763200000001</v>
      </c>
      <c r="I83" s="128">
        <f t="shared" si="1"/>
        <v>11276.33</v>
      </c>
      <c r="J83" s="73">
        <f>I83/H89</f>
        <v>7.8353751093774467E-3</v>
      </c>
      <c r="K83" s="124"/>
    </row>
    <row r="84" spans="1:11" ht="24" customHeight="1">
      <c r="A84" s="45" t="s">
        <v>824</v>
      </c>
      <c r="B84" s="45"/>
      <c r="C84" s="45"/>
      <c r="D84" s="45" t="s">
        <v>67</v>
      </c>
      <c r="E84" s="45"/>
      <c r="F84" s="46"/>
      <c r="G84" s="132"/>
      <c r="H84" s="132"/>
      <c r="I84" s="130">
        <f>SUM(I85)</f>
        <v>5066.5600000000004</v>
      </c>
      <c r="J84" s="72">
        <f>I84/H89</f>
        <v>3.520506948108773E-3</v>
      </c>
      <c r="K84" s="124"/>
    </row>
    <row r="85" spans="1:11" ht="24" customHeight="1">
      <c r="A85" s="51" t="s">
        <v>825</v>
      </c>
      <c r="B85" s="52" t="s">
        <v>91</v>
      </c>
      <c r="C85" s="51" t="s">
        <v>22</v>
      </c>
      <c r="D85" s="51" t="s">
        <v>92</v>
      </c>
      <c r="E85" s="53" t="s">
        <v>71</v>
      </c>
      <c r="F85" s="52">
        <v>1538.5</v>
      </c>
      <c r="G85" s="128">
        <v>2.68</v>
      </c>
      <c r="H85" s="128">
        <f>SUM(G85+(G85*G2))</f>
        <v>3.2931840000000001</v>
      </c>
      <c r="I85" s="128">
        <f t="shared" si="1"/>
        <v>5066.5600000000004</v>
      </c>
      <c r="J85" s="73">
        <f>I85/H89</f>
        <v>3.520506948108773E-3</v>
      </c>
      <c r="K85" s="124"/>
    </row>
    <row r="86" spans="1:11">
      <c r="A86" s="69"/>
      <c r="B86" s="69"/>
      <c r="C86" s="69"/>
      <c r="D86" s="69"/>
      <c r="E86" s="69"/>
      <c r="F86" s="69"/>
      <c r="G86" s="69"/>
      <c r="H86" s="69"/>
      <c r="I86" s="69"/>
      <c r="J86" s="69"/>
    </row>
    <row r="87" spans="1:11">
      <c r="A87" s="153"/>
      <c r="B87" s="153"/>
      <c r="C87" s="153"/>
      <c r="D87" s="70"/>
      <c r="E87" s="61"/>
      <c r="F87" s="154" t="s">
        <v>93</v>
      </c>
      <c r="G87" s="153"/>
      <c r="H87" s="155">
        <v>1109877.3899999999</v>
      </c>
      <c r="I87" s="155"/>
      <c r="J87" s="155"/>
    </row>
    <row r="88" spans="1:11">
      <c r="A88" s="153"/>
      <c r="B88" s="153"/>
      <c r="C88" s="153"/>
      <c r="D88" s="70"/>
      <c r="E88" s="61"/>
      <c r="F88" s="154" t="s">
        <v>94</v>
      </c>
      <c r="G88" s="153"/>
      <c r="H88" s="155">
        <v>329278.98</v>
      </c>
      <c r="I88" s="155"/>
      <c r="J88" s="155"/>
    </row>
    <row r="89" spans="1:11">
      <c r="A89" s="153"/>
      <c r="B89" s="153"/>
      <c r="C89" s="153"/>
      <c r="D89" s="70"/>
      <c r="E89" s="61"/>
      <c r="F89" s="154" t="s">
        <v>95</v>
      </c>
      <c r="G89" s="153"/>
      <c r="H89" s="155">
        <f>SUM(I84,I79,I72,I65,I54,I45,I35,I31,I27,I24,I18,I10,I5)</f>
        <v>1439156.37</v>
      </c>
      <c r="I89" s="155"/>
      <c r="J89" s="155"/>
    </row>
    <row r="90" spans="1:11" ht="60" customHeight="1">
      <c r="A90" s="71"/>
      <c r="B90" s="71"/>
      <c r="C90" s="71"/>
      <c r="D90" s="71"/>
      <c r="E90" s="71"/>
      <c r="F90" s="71"/>
      <c r="G90" s="71"/>
      <c r="H90" s="71"/>
      <c r="I90" s="71"/>
      <c r="J90" s="71"/>
    </row>
    <row r="91" spans="1:11" ht="70.05" customHeight="1">
      <c r="A91" s="156"/>
      <c r="B91" s="150"/>
      <c r="C91" s="150"/>
      <c r="D91" s="150"/>
      <c r="E91" s="150"/>
      <c r="F91" s="150"/>
      <c r="G91" s="150"/>
      <c r="H91" s="150"/>
      <c r="I91" s="150"/>
      <c r="J91" s="150"/>
    </row>
  </sheetData>
  <mergeCells count="17">
    <mergeCell ref="E1:F1"/>
    <mergeCell ref="G1:H1"/>
    <mergeCell ref="I1:J1"/>
    <mergeCell ref="E2:F2"/>
    <mergeCell ref="G2:H2"/>
    <mergeCell ref="I2:J2"/>
    <mergeCell ref="A89:C89"/>
    <mergeCell ref="F89:G89"/>
    <mergeCell ref="H89:J89"/>
    <mergeCell ref="A91:J91"/>
    <mergeCell ref="A3:J3"/>
    <mergeCell ref="A87:C87"/>
    <mergeCell ref="F87:G87"/>
    <mergeCell ref="H87:J87"/>
    <mergeCell ref="A88:C88"/>
    <mergeCell ref="F88:G88"/>
    <mergeCell ref="H88:J88"/>
  </mergeCells>
  <phoneticPr fontId="56" type="noConversion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5EBC8-DCD8-459C-BA0F-6359C056E745}">
  <dimension ref="A1:K637"/>
  <sheetViews>
    <sheetView topLeftCell="A621" workbookViewId="0">
      <selection activeCell="E636" sqref="E636"/>
    </sheetView>
  </sheetViews>
  <sheetFormatPr defaultRowHeight="13.8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  <col min="11" max="11" width="11.8984375" bestFit="1" customWidth="1"/>
  </cols>
  <sheetData>
    <row r="1" spans="1:11">
      <c r="A1" s="43"/>
      <c r="B1" s="43"/>
      <c r="C1" s="163" t="s">
        <v>0</v>
      </c>
      <c r="D1" s="163"/>
      <c r="E1" s="163" t="s">
        <v>1</v>
      </c>
      <c r="F1" s="163"/>
      <c r="G1" s="163" t="s">
        <v>2</v>
      </c>
      <c r="H1" s="163"/>
      <c r="I1" s="163" t="s">
        <v>3</v>
      </c>
      <c r="J1" s="163"/>
    </row>
    <row r="2" spans="1:11" ht="79.95" customHeight="1">
      <c r="A2" s="44"/>
      <c r="B2" s="44"/>
      <c r="C2" s="164" t="s">
        <v>754</v>
      </c>
      <c r="D2" s="164"/>
      <c r="E2" s="154" t="s">
        <v>4</v>
      </c>
      <c r="F2" s="154"/>
      <c r="G2" s="154" t="s">
        <v>5</v>
      </c>
      <c r="H2" s="154"/>
      <c r="I2" s="154" t="s">
        <v>6</v>
      </c>
      <c r="J2" s="154"/>
    </row>
    <row r="3" spans="1:11">
      <c r="A3" s="162" t="s">
        <v>149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1" ht="24" customHeight="1">
      <c r="A4" s="45" t="s">
        <v>18</v>
      </c>
      <c r="B4" s="45"/>
      <c r="C4" s="45"/>
      <c r="D4" s="45" t="s">
        <v>19</v>
      </c>
      <c r="E4" s="45"/>
      <c r="F4" s="158"/>
      <c r="G4" s="158"/>
      <c r="H4" s="46"/>
      <c r="I4" s="45"/>
      <c r="J4" s="130">
        <f>SUM(J13,J18,J25,J35)</f>
        <v>18184.190000000002</v>
      </c>
    </row>
    <row r="5" spans="1:11" ht="18" customHeight="1">
      <c r="A5" s="48" t="s">
        <v>20</v>
      </c>
      <c r="B5" s="49" t="s">
        <v>9</v>
      </c>
      <c r="C5" s="48" t="s">
        <v>10</v>
      </c>
      <c r="D5" s="48" t="s">
        <v>11</v>
      </c>
      <c r="E5" s="159" t="s">
        <v>150</v>
      </c>
      <c r="F5" s="159"/>
      <c r="G5" s="50" t="s">
        <v>12</v>
      </c>
      <c r="H5" s="49" t="s">
        <v>13</v>
      </c>
      <c r="I5" s="49" t="s">
        <v>14</v>
      </c>
      <c r="J5" s="133" t="s">
        <v>16</v>
      </c>
    </row>
    <row r="6" spans="1:11" ht="24" customHeight="1">
      <c r="A6" s="51" t="s">
        <v>151</v>
      </c>
      <c r="B6" s="52" t="s">
        <v>755</v>
      </c>
      <c r="C6" s="51" t="s">
        <v>22</v>
      </c>
      <c r="D6" s="51" t="s">
        <v>756</v>
      </c>
      <c r="E6" s="160" t="s">
        <v>205</v>
      </c>
      <c r="F6" s="160"/>
      <c r="G6" s="53" t="s">
        <v>71</v>
      </c>
      <c r="H6" s="54">
        <v>1</v>
      </c>
      <c r="I6" s="55">
        <f>JANDUÍ!G6</f>
        <v>412.25</v>
      </c>
      <c r="J6" s="128">
        <f>ROUND(H6*I6,2)</f>
        <v>412.25</v>
      </c>
    </row>
    <row r="7" spans="1:11" ht="24" customHeight="1">
      <c r="A7" s="56" t="s">
        <v>153</v>
      </c>
      <c r="B7" s="57" t="s">
        <v>156</v>
      </c>
      <c r="C7" s="56" t="s">
        <v>29</v>
      </c>
      <c r="D7" s="56" t="s">
        <v>157</v>
      </c>
      <c r="E7" s="161" t="s">
        <v>152</v>
      </c>
      <c r="F7" s="161"/>
      <c r="G7" s="58" t="s">
        <v>24</v>
      </c>
      <c r="H7" s="59">
        <v>2</v>
      </c>
      <c r="I7" s="60">
        <v>20.420000000000002</v>
      </c>
      <c r="J7" s="128">
        <f t="shared" ref="J7:J12" si="0">ROUND(H7*I7,2)</f>
        <v>40.840000000000003</v>
      </c>
      <c r="K7" s="143"/>
    </row>
    <row r="8" spans="1:11" ht="24" customHeight="1">
      <c r="A8" s="56" t="s">
        <v>153</v>
      </c>
      <c r="B8" s="57" t="s">
        <v>168</v>
      </c>
      <c r="C8" s="56" t="s">
        <v>29</v>
      </c>
      <c r="D8" s="56" t="s">
        <v>169</v>
      </c>
      <c r="E8" s="161" t="s">
        <v>152</v>
      </c>
      <c r="F8" s="161"/>
      <c r="G8" s="58" t="s">
        <v>24</v>
      </c>
      <c r="H8" s="59">
        <v>1</v>
      </c>
      <c r="I8" s="60">
        <v>25</v>
      </c>
      <c r="J8" s="128">
        <f t="shared" si="0"/>
        <v>25</v>
      </c>
    </row>
    <row r="9" spans="1:11" ht="25.95" customHeight="1">
      <c r="A9" s="64" t="s">
        <v>164</v>
      </c>
      <c r="B9" s="65" t="s">
        <v>827</v>
      </c>
      <c r="C9" s="64" t="s">
        <v>29</v>
      </c>
      <c r="D9" s="64" t="s">
        <v>828</v>
      </c>
      <c r="E9" s="157" t="s">
        <v>167</v>
      </c>
      <c r="F9" s="157"/>
      <c r="G9" s="66" t="s">
        <v>126</v>
      </c>
      <c r="H9" s="67">
        <v>0.15</v>
      </c>
      <c r="I9" s="68">
        <v>22.38</v>
      </c>
      <c r="J9" s="128">
        <f t="shared" si="0"/>
        <v>3.36</v>
      </c>
      <c r="K9" s="144"/>
    </row>
    <row r="10" spans="1:11" ht="25.95" customHeight="1">
      <c r="A10" s="64" t="s">
        <v>164</v>
      </c>
      <c r="B10" s="65" t="s">
        <v>829</v>
      </c>
      <c r="C10" s="64" t="s">
        <v>209</v>
      </c>
      <c r="D10" s="64" t="s">
        <v>830</v>
      </c>
      <c r="E10" s="157" t="s">
        <v>167</v>
      </c>
      <c r="F10" s="157"/>
      <c r="G10" s="66" t="s">
        <v>450</v>
      </c>
      <c r="H10" s="67">
        <v>4</v>
      </c>
      <c r="I10" s="68">
        <v>9.89</v>
      </c>
      <c r="J10" s="128">
        <f t="shared" si="0"/>
        <v>39.56</v>
      </c>
    </row>
    <row r="11" spans="1:11" ht="25.95" customHeight="1">
      <c r="A11" s="64" t="s">
        <v>164</v>
      </c>
      <c r="B11" s="65" t="s">
        <v>831</v>
      </c>
      <c r="C11" s="64" t="s">
        <v>209</v>
      </c>
      <c r="D11" s="64" t="s">
        <v>832</v>
      </c>
      <c r="E11" s="157" t="s">
        <v>167</v>
      </c>
      <c r="F11" s="157"/>
      <c r="G11" s="66" t="s">
        <v>450</v>
      </c>
      <c r="H11" s="67">
        <v>1</v>
      </c>
      <c r="I11" s="68">
        <v>3.49</v>
      </c>
      <c r="J11" s="128">
        <f t="shared" si="0"/>
        <v>3.49</v>
      </c>
    </row>
    <row r="12" spans="1:11" ht="39" customHeight="1">
      <c r="A12" s="64" t="s">
        <v>164</v>
      </c>
      <c r="B12" s="65" t="s">
        <v>833</v>
      </c>
      <c r="C12" s="64" t="s">
        <v>29</v>
      </c>
      <c r="D12" s="64" t="s">
        <v>834</v>
      </c>
      <c r="E12" s="157" t="s">
        <v>167</v>
      </c>
      <c r="F12" s="157"/>
      <c r="G12" s="66" t="s">
        <v>31</v>
      </c>
      <c r="H12" s="67">
        <v>1</v>
      </c>
      <c r="I12" s="68">
        <v>300</v>
      </c>
      <c r="J12" s="128">
        <f t="shared" si="0"/>
        <v>300</v>
      </c>
    </row>
    <row r="13" spans="1:11" ht="30" customHeight="1" thickBot="1">
      <c r="A13" s="61"/>
      <c r="B13" s="61"/>
      <c r="C13" s="61"/>
      <c r="D13" s="61"/>
      <c r="E13" s="61"/>
      <c r="F13" s="61"/>
      <c r="G13" s="61" t="s">
        <v>158</v>
      </c>
      <c r="H13" s="62">
        <f>JANDUÍ!F6</f>
        <v>6</v>
      </c>
      <c r="I13" s="61" t="s">
        <v>159</v>
      </c>
      <c r="J13" s="127">
        <f>JANDUÍ!I6</f>
        <v>3039.44</v>
      </c>
    </row>
    <row r="14" spans="1:11" ht="1.05" customHeight="1" thickTop="1">
      <c r="A14" s="63"/>
      <c r="B14" s="63"/>
      <c r="C14" s="63"/>
      <c r="D14" s="63"/>
      <c r="E14" s="63"/>
      <c r="F14" s="63"/>
      <c r="G14" s="63"/>
      <c r="H14" s="63"/>
      <c r="I14" s="63"/>
      <c r="J14" s="129"/>
    </row>
    <row r="15" spans="1:11" ht="18" customHeight="1">
      <c r="A15" s="48" t="s">
        <v>297</v>
      </c>
      <c r="B15" s="49" t="s">
        <v>9</v>
      </c>
      <c r="C15" s="48" t="s">
        <v>10</v>
      </c>
      <c r="D15" s="48" t="s">
        <v>11</v>
      </c>
      <c r="E15" s="159" t="s">
        <v>150</v>
      </c>
      <c r="F15" s="159"/>
      <c r="G15" s="50" t="s">
        <v>12</v>
      </c>
      <c r="H15" s="49" t="s">
        <v>13</v>
      </c>
      <c r="I15" s="49" t="s">
        <v>14</v>
      </c>
      <c r="J15" s="133" t="s">
        <v>16</v>
      </c>
    </row>
    <row r="16" spans="1:11" ht="25.95" customHeight="1">
      <c r="A16" s="51" t="s">
        <v>151</v>
      </c>
      <c r="B16" s="52" t="s">
        <v>298</v>
      </c>
      <c r="C16" s="51" t="s">
        <v>29</v>
      </c>
      <c r="D16" s="51" t="s">
        <v>299</v>
      </c>
      <c r="E16" s="160" t="s">
        <v>359</v>
      </c>
      <c r="F16" s="160"/>
      <c r="G16" s="53" t="s">
        <v>163</v>
      </c>
      <c r="H16" s="54">
        <v>1</v>
      </c>
      <c r="I16" s="55">
        <v>80.78</v>
      </c>
      <c r="J16" s="128">
        <f t="shared" ref="J16:J17" si="1">ROUND(H16*I16,2)</f>
        <v>80.78</v>
      </c>
    </row>
    <row r="17" spans="1:11" ht="24" customHeight="1">
      <c r="A17" s="56" t="s">
        <v>153</v>
      </c>
      <c r="B17" s="57" t="s">
        <v>156</v>
      </c>
      <c r="C17" s="56" t="s">
        <v>29</v>
      </c>
      <c r="D17" s="56" t="s">
        <v>157</v>
      </c>
      <c r="E17" s="161" t="s">
        <v>152</v>
      </c>
      <c r="F17" s="161"/>
      <c r="G17" s="58" t="s">
        <v>24</v>
      </c>
      <c r="H17" s="59">
        <v>3.956</v>
      </c>
      <c r="I17" s="60">
        <v>20.420000000000002</v>
      </c>
      <c r="J17" s="128">
        <f t="shared" si="1"/>
        <v>80.78</v>
      </c>
    </row>
    <row r="18" spans="1:11" ht="30" customHeight="1" thickBot="1">
      <c r="A18" s="61"/>
      <c r="B18" s="61"/>
      <c r="C18" s="61"/>
      <c r="D18" s="61"/>
      <c r="E18" s="61"/>
      <c r="F18" s="61"/>
      <c r="G18" s="61" t="s">
        <v>158</v>
      </c>
      <c r="H18" s="62">
        <f>JANDUÍ!F7</f>
        <v>21.372299999999999</v>
      </c>
      <c r="I18" s="61" t="s">
        <v>159</v>
      </c>
      <c r="J18" s="127">
        <f>JANDUÍ!I7</f>
        <v>2121.4699999999998</v>
      </c>
    </row>
    <row r="19" spans="1:11" ht="1.05" customHeight="1" thickTop="1">
      <c r="A19" s="63"/>
      <c r="B19" s="63"/>
      <c r="C19" s="63"/>
      <c r="D19" s="63"/>
      <c r="E19" s="63"/>
      <c r="F19" s="63"/>
      <c r="G19" s="63"/>
      <c r="H19" s="63"/>
      <c r="I19" s="63"/>
      <c r="J19" s="129"/>
    </row>
    <row r="20" spans="1:11" ht="18" customHeight="1">
      <c r="A20" s="48" t="s">
        <v>300</v>
      </c>
      <c r="B20" s="49" t="s">
        <v>9</v>
      </c>
      <c r="C20" s="48" t="s">
        <v>10</v>
      </c>
      <c r="D20" s="48" t="s">
        <v>11</v>
      </c>
      <c r="E20" s="159" t="s">
        <v>150</v>
      </c>
      <c r="F20" s="159"/>
      <c r="G20" s="50" t="s">
        <v>12</v>
      </c>
      <c r="H20" s="49" t="s">
        <v>13</v>
      </c>
      <c r="I20" s="49" t="s">
        <v>14</v>
      </c>
      <c r="J20" s="133" t="s">
        <v>16</v>
      </c>
    </row>
    <row r="21" spans="1:11" ht="25.95" customHeight="1">
      <c r="A21" s="51" t="s">
        <v>151</v>
      </c>
      <c r="B21" s="52" t="s">
        <v>301</v>
      </c>
      <c r="C21" s="51" t="s">
        <v>29</v>
      </c>
      <c r="D21" s="51" t="s">
        <v>302</v>
      </c>
      <c r="E21" s="160" t="s">
        <v>172</v>
      </c>
      <c r="F21" s="160"/>
      <c r="G21" s="53" t="s">
        <v>163</v>
      </c>
      <c r="H21" s="54">
        <v>1</v>
      </c>
      <c r="I21" s="55">
        <v>613.26</v>
      </c>
      <c r="J21" s="128">
        <f t="shared" ref="J21:J24" si="2">ROUND(H21*I21,2)</f>
        <v>613.26</v>
      </c>
    </row>
    <row r="22" spans="1:11" ht="24" customHeight="1">
      <c r="A22" s="56" t="s">
        <v>153</v>
      </c>
      <c r="B22" s="57" t="s">
        <v>154</v>
      </c>
      <c r="C22" s="56" t="s">
        <v>29</v>
      </c>
      <c r="D22" s="56" t="s">
        <v>155</v>
      </c>
      <c r="E22" s="161" t="s">
        <v>152</v>
      </c>
      <c r="F22" s="161"/>
      <c r="G22" s="58" t="s">
        <v>24</v>
      </c>
      <c r="H22" s="59">
        <v>5.4370000000000003</v>
      </c>
      <c r="I22" s="60">
        <v>25.38</v>
      </c>
      <c r="J22" s="128">
        <f t="shared" si="2"/>
        <v>137.99</v>
      </c>
      <c r="K22" s="143"/>
    </row>
    <row r="23" spans="1:11" ht="24" customHeight="1">
      <c r="A23" s="56" t="s">
        <v>153</v>
      </c>
      <c r="B23" s="57" t="s">
        <v>156</v>
      </c>
      <c r="C23" s="56" t="s">
        <v>29</v>
      </c>
      <c r="D23" s="56" t="s">
        <v>157</v>
      </c>
      <c r="E23" s="161" t="s">
        <v>152</v>
      </c>
      <c r="F23" s="161"/>
      <c r="G23" s="58" t="s">
        <v>24</v>
      </c>
      <c r="H23" s="59">
        <v>3.99</v>
      </c>
      <c r="I23" s="60">
        <v>20.420000000000002</v>
      </c>
      <c r="J23" s="128">
        <f t="shared" si="2"/>
        <v>81.48</v>
      </c>
    </row>
    <row r="24" spans="1:11" ht="39" customHeight="1">
      <c r="A24" s="56" t="s">
        <v>153</v>
      </c>
      <c r="B24" s="57" t="s">
        <v>360</v>
      </c>
      <c r="C24" s="56" t="s">
        <v>29</v>
      </c>
      <c r="D24" s="56" t="s">
        <v>361</v>
      </c>
      <c r="E24" s="161" t="s">
        <v>172</v>
      </c>
      <c r="F24" s="161"/>
      <c r="G24" s="58" t="s">
        <v>163</v>
      </c>
      <c r="H24" s="59">
        <v>1.1299999999999999</v>
      </c>
      <c r="I24" s="60">
        <v>383.8</v>
      </c>
      <c r="J24" s="128">
        <v>393.8</v>
      </c>
    </row>
    <row r="25" spans="1:11" ht="30" customHeight="1" thickBot="1">
      <c r="A25" s="61"/>
      <c r="B25" s="61"/>
      <c r="C25" s="61"/>
      <c r="D25" s="61"/>
      <c r="E25" s="61"/>
      <c r="F25" s="61"/>
      <c r="G25" s="61" t="s">
        <v>158</v>
      </c>
      <c r="H25" s="62">
        <f>JANDUÍ!F8</f>
        <v>4.7493999999999996</v>
      </c>
      <c r="I25" s="61" t="s">
        <v>159</v>
      </c>
      <c r="J25" s="127">
        <f>JANDUÍ!I8</f>
        <v>3579.02</v>
      </c>
    </row>
    <row r="26" spans="1:11" ht="1.05" customHeight="1" thickTop="1">
      <c r="A26" s="63"/>
      <c r="B26" s="63"/>
      <c r="C26" s="63"/>
      <c r="D26" s="63"/>
      <c r="E26" s="63"/>
      <c r="F26" s="63"/>
      <c r="G26" s="63"/>
      <c r="H26" s="63"/>
      <c r="I26" s="63"/>
      <c r="J26" s="129"/>
    </row>
    <row r="27" spans="1:11" ht="18" customHeight="1">
      <c r="A27" s="48" t="s">
        <v>480</v>
      </c>
      <c r="B27" s="49" t="s">
        <v>9</v>
      </c>
      <c r="C27" s="48" t="s">
        <v>10</v>
      </c>
      <c r="D27" s="48" t="s">
        <v>11</v>
      </c>
      <c r="E27" s="159" t="s">
        <v>150</v>
      </c>
      <c r="F27" s="159"/>
      <c r="G27" s="50" t="s">
        <v>12</v>
      </c>
      <c r="H27" s="49" t="s">
        <v>13</v>
      </c>
      <c r="I27" s="49" t="s">
        <v>14</v>
      </c>
      <c r="J27" s="133" t="s">
        <v>16</v>
      </c>
    </row>
    <row r="28" spans="1:11" ht="25.95" customHeight="1">
      <c r="A28" s="51" t="s">
        <v>151</v>
      </c>
      <c r="B28" s="52" t="s">
        <v>481</v>
      </c>
      <c r="C28" s="51" t="s">
        <v>29</v>
      </c>
      <c r="D28" s="51" t="s">
        <v>482</v>
      </c>
      <c r="E28" s="160" t="s">
        <v>359</v>
      </c>
      <c r="F28" s="160"/>
      <c r="G28" s="53" t="s">
        <v>163</v>
      </c>
      <c r="H28" s="54">
        <v>1</v>
      </c>
      <c r="I28" s="55">
        <v>112.39</v>
      </c>
      <c r="J28" s="128">
        <f t="shared" ref="J28:J34" si="3">ROUND(H28*I28,2)</f>
        <v>112.39</v>
      </c>
    </row>
    <row r="29" spans="1:11" ht="64.95" customHeight="1">
      <c r="A29" s="56" t="s">
        <v>153</v>
      </c>
      <c r="B29" s="57" t="s">
        <v>568</v>
      </c>
      <c r="C29" s="56" t="s">
        <v>29</v>
      </c>
      <c r="D29" s="56" t="s">
        <v>569</v>
      </c>
      <c r="E29" s="161" t="s">
        <v>278</v>
      </c>
      <c r="F29" s="161"/>
      <c r="G29" s="58" t="s">
        <v>279</v>
      </c>
      <c r="H29" s="59">
        <v>6.0000000000000001E-3</v>
      </c>
      <c r="I29" s="60">
        <v>337.31</v>
      </c>
      <c r="J29" s="128">
        <f t="shared" si="3"/>
        <v>2.02</v>
      </c>
      <c r="K29" s="143"/>
    </row>
    <row r="30" spans="1:11" ht="64.95" customHeight="1">
      <c r="A30" s="56" t="s">
        <v>153</v>
      </c>
      <c r="B30" s="57" t="s">
        <v>570</v>
      </c>
      <c r="C30" s="56" t="s">
        <v>29</v>
      </c>
      <c r="D30" s="56" t="s">
        <v>571</v>
      </c>
      <c r="E30" s="161" t="s">
        <v>278</v>
      </c>
      <c r="F30" s="161"/>
      <c r="G30" s="58" t="s">
        <v>282</v>
      </c>
      <c r="H30" s="59">
        <v>3.0000000000000001E-3</v>
      </c>
      <c r="I30" s="60">
        <v>73.319999999999993</v>
      </c>
      <c r="J30" s="128">
        <f t="shared" si="3"/>
        <v>0.22</v>
      </c>
    </row>
    <row r="31" spans="1:11" ht="24" customHeight="1">
      <c r="A31" s="56" t="s">
        <v>153</v>
      </c>
      <c r="B31" s="57" t="s">
        <v>156</v>
      </c>
      <c r="C31" s="56" t="s">
        <v>29</v>
      </c>
      <c r="D31" s="56" t="s">
        <v>157</v>
      </c>
      <c r="E31" s="161" t="s">
        <v>152</v>
      </c>
      <c r="F31" s="161"/>
      <c r="G31" s="58" t="s">
        <v>24</v>
      </c>
      <c r="H31" s="59">
        <v>0.65900000000000003</v>
      </c>
      <c r="I31" s="60">
        <v>20.420000000000002</v>
      </c>
      <c r="J31" s="128">
        <f t="shared" si="3"/>
        <v>13.46</v>
      </c>
    </row>
    <row r="32" spans="1:11" ht="39" customHeight="1">
      <c r="A32" s="56" t="s">
        <v>153</v>
      </c>
      <c r="B32" s="57" t="s">
        <v>572</v>
      </c>
      <c r="C32" s="56" t="s">
        <v>29</v>
      </c>
      <c r="D32" s="56" t="s">
        <v>573</v>
      </c>
      <c r="E32" s="161" t="s">
        <v>278</v>
      </c>
      <c r="F32" s="161"/>
      <c r="G32" s="58" t="s">
        <v>279</v>
      </c>
      <c r="H32" s="59">
        <v>0.27400000000000002</v>
      </c>
      <c r="I32" s="60">
        <v>39.83</v>
      </c>
      <c r="J32" s="128">
        <f t="shared" si="3"/>
        <v>10.91</v>
      </c>
    </row>
    <row r="33" spans="1:11" ht="39" customHeight="1">
      <c r="A33" s="56" t="s">
        <v>153</v>
      </c>
      <c r="B33" s="57" t="s">
        <v>574</v>
      </c>
      <c r="C33" s="56" t="s">
        <v>29</v>
      </c>
      <c r="D33" s="56" t="s">
        <v>575</v>
      </c>
      <c r="E33" s="161" t="s">
        <v>278</v>
      </c>
      <c r="F33" s="161"/>
      <c r="G33" s="58" t="s">
        <v>282</v>
      </c>
      <c r="H33" s="59">
        <v>0.254</v>
      </c>
      <c r="I33" s="60">
        <v>33.82</v>
      </c>
      <c r="J33" s="128">
        <f t="shared" si="3"/>
        <v>8.59</v>
      </c>
    </row>
    <row r="34" spans="1:11" ht="25.95" customHeight="1">
      <c r="A34" s="64" t="s">
        <v>164</v>
      </c>
      <c r="B34" s="65" t="s">
        <v>576</v>
      </c>
      <c r="C34" s="64" t="s">
        <v>29</v>
      </c>
      <c r="D34" s="64" t="s">
        <v>577</v>
      </c>
      <c r="E34" s="157" t="s">
        <v>167</v>
      </c>
      <c r="F34" s="157"/>
      <c r="G34" s="66" t="s">
        <v>163</v>
      </c>
      <c r="H34" s="67">
        <v>1.25</v>
      </c>
      <c r="I34" s="68">
        <v>64.5</v>
      </c>
      <c r="J34" s="128">
        <f t="shared" si="3"/>
        <v>80.63</v>
      </c>
    </row>
    <row r="35" spans="1:11" ht="30" customHeight="1" thickBot="1">
      <c r="A35" s="61"/>
      <c r="B35" s="61"/>
      <c r="C35" s="61"/>
      <c r="D35" s="61"/>
      <c r="E35" s="61"/>
      <c r="F35" s="61"/>
      <c r="G35" s="61" t="s">
        <v>158</v>
      </c>
      <c r="H35" s="62">
        <f>JANDUÍ!F9</f>
        <v>66.370999999999995</v>
      </c>
      <c r="I35" s="61" t="s">
        <v>159</v>
      </c>
      <c r="J35" s="127">
        <f>JANDUÍ!I9</f>
        <v>9444.26</v>
      </c>
    </row>
    <row r="36" spans="1:11" ht="1.05" customHeight="1" thickTop="1">
      <c r="A36" s="63"/>
      <c r="B36" s="63"/>
      <c r="C36" s="63"/>
      <c r="D36" s="63"/>
      <c r="E36" s="63"/>
      <c r="F36" s="63"/>
      <c r="G36" s="63"/>
      <c r="H36" s="63"/>
      <c r="I36" s="63"/>
      <c r="J36" s="129"/>
    </row>
    <row r="37" spans="1:11" ht="24" customHeight="1">
      <c r="A37" s="45" t="s">
        <v>25</v>
      </c>
      <c r="B37" s="45"/>
      <c r="C37" s="45"/>
      <c r="D37" s="45" t="s">
        <v>757</v>
      </c>
      <c r="E37" s="45"/>
      <c r="F37" s="158"/>
      <c r="G37" s="158"/>
      <c r="H37" s="46"/>
      <c r="I37" s="45"/>
      <c r="J37" s="130">
        <f>SUM(J42,J51,J65,J72,J81,J95,J104)</f>
        <v>74565.64999999998</v>
      </c>
    </row>
    <row r="38" spans="1:11" ht="18" customHeight="1">
      <c r="A38" s="48" t="s">
        <v>27</v>
      </c>
      <c r="B38" s="49" t="s">
        <v>9</v>
      </c>
      <c r="C38" s="48" t="s">
        <v>10</v>
      </c>
      <c r="D38" s="48" t="s">
        <v>11</v>
      </c>
      <c r="E38" s="159" t="s">
        <v>150</v>
      </c>
      <c r="F38" s="159"/>
      <c r="G38" s="50" t="s">
        <v>12</v>
      </c>
      <c r="H38" s="49" t="s">
        <v>13</v>
      </c>
      <c r="I38" s="49" t="s">
        <v>14</v>
      </c>
      <c r="J38" s="133" t="s">
        <v>16</v>
      </c>
    </row>
    <row r="39" spans="1:11" ht="39" customHeight="1">
      <c r="A39" s="51" t="s">
        <v>151</v>
      </c>
      <c r="B39" s="52" t="s">
        <v>758</v>
      </c>
      <c r="C39" s="51" t="s">
        <v>29</v>
      </c>
      <c r="D39" s="51" t="s">
        <v>759</v>
      </c>
      <c r="E39" s="160" t="s">
        <v>359</v>
      </c>
      <c r="F39" s="160"/>
      <c r="G39" s="53" t="s">
        <v>163</v>
      </c>
      <c r="H39" s="54">
        <v>1</v>
      </c>
      <c r="I39" s="55">
        <v>92.51</v>
      </c>
      <c r="J39" s="128">
        <f t="shared" ref="J39:J41" si="4">ROUND(H39*I39,2)</f>
        <v>92.51</v>
      </c>
    </row>
    <row r="40" spans="1:11" ht="24" customHeight="1">
      <c r="A40" s="56" t="s">
        <v>153</v>
      </c>
      <c r="B40" s="57" t="s">
        <v>154</v>
      </c>
      <c r="C40" s="56" t="s">
        <v>29</v>
      </c>
      <c r="D40" s="56" t="s">
        <v>155</v>
      </c>
      <c r="E40" s="161" t="s">
        <v>152</v>
      </c>
      <c r="F40" s="161"/>
      <c r="G40" s="58" t="s">
        <v>24</v>
      </c>
      <c r="H40" s="59">
        <v>1.1890000000000001</v>
      </c>
      <c r="I40" s="60">
        <v>25.38</v>
      </c>
      <c r="J40" s="128">
        <f t="shared" si="4"/>
        <v>30.18</v>
      </c>
      <c r="K40" s="143"/>
    </row>
    <row r="41" spans="1:11" ht="24" customHeight="1">
      <c r="A41" s="56" t="s">
        <v>153</v>
      </c>
      <c r="B41" s="57" t="s">
        <v>156</v>
      </c>
      <c r="C41" s="56" t="s">
        <v>29</v>
      </c>
      <c r="D41" s="56" t="s">
        <v>157</v>
      </c>
      <c r="E41" s="161" t="s">
        <v>152</v>
      </c>
      <c r="F41" s="161"/>
      <c r="G41" s="58" t="s">
        <v>24</v>
      </c>
      <c r="H41" s="59">
        <v>3.0529999999999999</v>
      </c>
      <c r="I41" s="60">
        <v>20.420000000000002</v>
      </c>
      <c r="J41" s="128">
        <f t="shared" si="4"/>
        <v>62.34</v>
      </c>
    </row>
    <row r="42" spans="1:11" ht="30" customHeight="1" thickBot="1">
      <c r="A42" s="61"/>
      <c r="B42" s="61"/>
      <c r="C42" s="61"/>
      <c r="D42" s="61"/>
      <c r="E42" s="61"/>
      <c r="F42" s="61"/>
      <c r="G42" s="61" t="s">
        <v>158</v>
      </c>
      <c r="H42" s="62">
        <f>JANDUÍ!F11</f>
        <v>39.68</v>
      </c>
      <c r="I42" s="61" t="s">
        <v>159</v>
      </c>
      <c r="J42" s="127">
        <f>JANDUÍ!I11</f>
        <v>4510.68</v>
      </c>
    </row>
    <row r="43" spans="1:11" ht="1.05" customHeight="1" thickTop="1">
      <c r="A43" s="63"/>
      <c r="B43" s="63"/>
      <c r="C43" s="63"/>
      <c r="D43" s="63"/>
      <c r="E43" s="63"/>
      <c r="F43" s="63"/>
      <c r="G43" s="63"/>
      <c r="H43" s="63"/>
      <c r="I43" s="63"/>
      <c r="J43" s="129"/>
    </row>
    <row r="44" spans="1:11" ht="18" customHeight="1">
      <c r="A44" s="48" t="s">
        <v>32</v>
      </c>
      <c r="B44" s="49" t="s">
        <v>9</v>
      </c>
      <c r="C44" s="48" t="s">
        <v>10</v>
      </c>
      <c r="D44" s="48" t="s">
        <v>11</v>
      </c>
      <c r="E44" s="159" t="s">
        <v>150</v>
      </c>
      <c r="F44" s="159"/>
      <c r="G44" s="50" t="s">
        <v>12</v>
      </c>
      <c r="H44" s="49" t="s">
        <v>13</v>
      </c>
      <c r="I44" s="49" t="s">
        <v>14</v>
      </c>
      <c r="J44" s="133" t="s">
        <v>16</v>
      </c>
    </row>
    <row r="45" spans="1:11" ht="25.95" customHeight="1">
      <c r="A45" s="51" t="s">
        <v>151</v>
      </c>
      <c r="B45" s="52" t="s">
        <v>760</v>
      </c>
      <c r="C45" s="51" t="s">
        <v>29</v>
      </c>
      <c r="D45" s="51" t="s">
        <v>761</v>
      </c>
      <c r="E45" s="160" t="s">
        <v>172</v>
      </c>
      <c r="F45" s="160"/>
      <c r="G45" s="53" t="s">
        <v>126</v>
      </c>
      <c r="H45" s="54">
        <v>1</v>
      </c>
      <c r="I45" s="55">
        <f>JANDUÍ!G12</f>
        <v>16.45</v>
      </c>
      <c r="J45" s="128">
        <f t="shared" ref="J45:J50" si="5">ROUND(H45*I45,2)</f>
        <v>16.45</v>
      </c>
    </row>
    <row r="46" spans="1:11" ht="24" customHeight="1">
      <c r="A46" s="56" t="s">
        <v>153</v>
      </c>
      <c r="B46" s="57" t="s">
        <v>362</v>
      </c>
      <c r="C46" s="56" t="s">
        <v>29</v>
      </c>
      <c r="D46" s="56" t="s">
        <v>363</v>
      </c>
      <c r="E46" s="161" t="s">
        <v>152</v>
      </c>
      <c r="F46" s="161"/>
      <c r="G46" s="58" t="s">
        <v>24</v>
      </c>
      <c r="H46" s="59">
        <v>2.9000000000000001E-2</v>
      </c>
      <c r="I46" s="60">
        <v>20.43</v>
      </c>
      <c r="J46" s="128">
        <f t="shared" si="5"/>
        <v>0.59</v>
      </c>
      <c r="K46" s="143"/>
    </row>
    <row r="47" spans="1:11" ht="24" customHeight="1">
      <c r="A47" s="56" t="s">
        <v>153</v>
      </c>
      <c r="B47" s="57" t="s">
        <v>364</v>
      </c>
      <c r="C47" s="56" t="s">
        <v>29</v>
      </c>
      <c r="D47" s="56" t="s">
        <v>365</v>
      </c>
      <c r="E47" s="161" t="s">
        <v>152</v>
      </c>
      <c r="F47" s="161"/>
      <c r="G47" s="58" t="s">
        <v>24</v>
      </c>
      <c r="H47" s="59">
        <v>8.8999999999999996E-2</v>
      </c>
      <c r="I47" s="60">
        <v>25.18</v>
      </c>
      <c r="J47" s="128">
        <f t="shared" si="5"/>
        <v>2.2400000000000002</v>
      </c>
    </row>
    <row r="48" spans="1:11" ht="25.95" customHeight="1">
      <c r="A48" s="56" t="s">
        <v>153</v>
      </c>
      <c r="B48" s="57" t="s">
        <v>396</v>
      </c>
      <c r="C48" s="56" t="s">
        <v>29</v>
      </c>
      <c r="D48" s="56" t="s">
        <v>397</v>
      </c>
      <c r="E48" s="161" t="s">
        <v>172</v>
      </c>
      <c r="F48" s="161"/>
      <c r="G48" s="58" t="s">
        <v>126</v>
      </c>
      <c r="H48" s="59">
        <v>1</v>
      </c>
      <c r="I48" s="60">
        <v>12.87</v>
      </c>
      <c r="J48" s="128">
        <f t="shared" si="5"/>
        <v>12.87</v>
      </c>
    </row>
    <row r="49" spans="1:11" ht="39" customHeight="1">
      <c r="A49" s="64" t="s">
        <v>164</v>
      </c>
      <c r="B49" s="65" t="s">
        <v>368</v>
      </c>
      <c r="C49" s="64" t="s">
        <v>29</v>
      </c>
      <c r="D49" s="64" t="s">
        <v>369</v>
      </c>
      <c r="E49" s="157" t="s">
        <v>167</v>
      </c>
      <c r="F49" s="157"/>
      <c r="G49" s="66" t="s">
        <v>59</v>
      </c>
      <c r="H49" s="67">
        <v>0.46550000000000002</v>
      </c>
      <c r="I49" s="68">
        <v>0.18</v>
      </c>
      <c r="J49" s="128">
        <f t="shared" si="5"/>
        <v>0.08</v>
      </c>
    </row>
    <row r="50" spans="1:11" ht="25.95" customHeight="1">
      <c r="A50" s="64" t="s">
        <v>164</v>
      </c>
      <c r="B50" s="65" t="s">
        <v>195</v>
      </c>
      <c r="C50" s="64" t="s">
        <v>29</v>
      </c>
      <c r="D50" s="64" t="s">
        <v>196</v>
      </c>
      <c r="E50" s="157" t="s">
        <v>167</v>
      </c>
      <c r="F50" s="157"/>
      <c r="G50" s="66" t="s">
        <v>126</v>
      </c>
      <c r="H50" s="67">
        <v>2.5000000000000001E-2</v>
      </c>
      <c r="I50" s="68">
        <v>27</v>
      </c>
      <c r="J50" s="128">
        <f t="shared" si="5"/>
        <v>0.68</v>
      </c>
    </row>
    <row r="51" spans="1:11" ht="30" customHeight="1" thickBot="1">
      <c r="A51" s="61"/>
      <c r="B51" s="61"/>
      <c r="C51" s="61"/>
      <c r="D51" s="61"/>
      <c r="E51" s="61"/>
      <c r="F51" s="61"/>
      <c r="G51" s="61" t="s">
        <v>158</v>
      </c>
      <c r="H51" s="62">
        <f>JANDUÍ!F12</f>
        <v>977.01</v>
      </c>
      <c r="I51" s="61" t="s">
        <v>159</v>
      </c>
      <c r="J51" s="127">
        <f>JANDUÍ!I12</f>
        <v>19749.05</v>
      </c>
    </row>
    <row r="52" spans="1:11" ht="1.05" customHeight="1" thickTop="1">
      <c r="A52" s="63"/>
      <c r="B52" s="63"/>
      <c r="C52" s="63"/>
      <c r="D52" s="63"/>
      <c r="E52" s="63"/>
      <c r="F52" s="63"/>
      <c r="G52" s="63"/>
      <c r="H52" s="63"/>
      <c r="I52" s="63"/>
      <c r="J52" s="129"/>
    </row>
    <row r="53" spans="1:11" ht="18" customHeight="1">
      <c r="A53" s="48" t="s">
        <v>308</v>
      </c>
      <c r="B53" s="49" t="s">
        <v>9</v>
      </c>
      <c r="C53" s="48" t="s">
        <v>10</v>
      </c>
      <c r="D53" s="48" t="s">
        <v>11</v>
      </c>
      <c r="E53" s="159" t="s">
        <v>150</v>
      </c>
      <c r="F53" s="159"/>
      <c r="G53" s="50" t="s">
        <v>12</v>
      </c>
      <c r="H53" s="49" t="s">
        <v>13</v>
      </c>
      <c r="I53" s="49" t="s">
        <v>14</v>
      </c>
      <c r="J53" s="133" t="s">
        <v>16</v>
      </c>
    </row>
    <row r="54" spans="1:11" ht="39" customHeight="1">
      <c r="A54" s="51" t="s">
        <v>151</v>
      </c>
      <c r="B54" s="52" t="s">
        <v>762</v>
      </c>
      <c r="C54" s="51" t="s">
        <v>29</v>
      </c>
      <c r="D54" s="51" t="s">
        <v>763</v>
      </c>
      <c r="E54" s="160" t="s">
        <v>172</v>
      </c>
      <c r="F54" s="160"/>
      <c r="G54" s="53" t="s">
        <v>31</v>
      </c>
      <c r="H54" s="54">
        <v>1</v>
      </c>
      <c r="I54" s="55">
        <f>JANDUÍ!G13</f>
        <v>154.15</v>
      </c>
      <c r="J54" s="128">
        <f t="shared" ref="J54:J64" si="6">ROUND(H54*I54,2)</f>
        <v>154.15</v>
      </c>
    </row>
    <row r="55" spans="1:11" ht="25.95" customHeight="1">
      <c r="A55" s="56" t="s">
        <v>153</v>
      </c>
      <c r="B55" s="57" t="s">
        <v>370</v>
      </c>
      <c r="C55" s="56" t="s">
        <v>29</v>
      </c>
      <c r="D55" s="56" t="s">
        <v>371</v>
      </c>
      <c r="E55" s="161" t="s">
        <v>152</v>
      </c>
      <c r="F55" s="161"/>
      <c r="G55" s="58" t="s">
        <v>24</v>
      </c>
      <c r="H55" s="59">
        <v>1.0860000000000001</v>
      </c>
      <c r="I55" s="60">
        <v>20.27</v>
      </c>
      <c r="J55" s="128">
        <f t="shared" si="6"/>
        <v>22.01</v>
      </c>
      <c r="K55" s="143"/>
    </row>
    <row r="56" spans="1:11" ht="24" customHeight="1">
      <c r="A56" s="56" t="s">
        <v>153</v>
      </c>
      <c r="B56" s="57" t="s">
        <v>168</v>
      </c>
      <c r="C56" s="56" t="s">
        <v>29</v>
      </c>
      <c r="D56" s="56" t="s">
        <v>169</v>
      </c>
      <c r="E56" s="161" t="s">
        <v>152</v>
      </c>
      <c r="F56" s="161"/>
      <c r="G56" s="58" t="s">
        <v>24</v>
      </c>
      <c r="H56" s="59">
        <v>2.7690000000000001</v>
      </c>
      <c r="I56" s="60">
        <v>25</v>
      </c>
      <c r="J56" s="128">
        <f t="shared" si="6"/>
        <v>69.23</v>
      </c>
    </row>
    <row r="57" spans="1:11" ht="39" customHeight="1">
      <c r="A57" s="56" t="s">
        <v>153</v>
      </c>
      <c r="B57" s="57" t="s">
        <v>372</v>
      </c>
      <c r="C57" s="56" t="s">
        <v>29</v>
      </c>
      <c r="D57" s="56" t="s">
        <v>373</v>
      </c>
      <c r="E57" s="161" t="s">
        <v>278</v>
      </c>
      <c r="F57" s="161"/>
      <c r="G57" s="58" t="s">
        <v>279</v>
      </c>
      <c r="H57" s="59">
        <v>7.9000000000000001E-2</v>
      </c>
      <c r="I57" s="60">
        <v>34.299999999999997</v>
      </c>
      <c r="J57" s="128">
        <f t="shared" si="6"/>
        <v>2.71</v>
      </c>
    </row>
    <row r="58" spans="1:11" ht="39" customHeight="1">
      <c r="A58" s="56" t="s">
        <v>153</v>
      </c>
      <c r="B58" s="57" t="s">
        <v>374</v>
      </c>
      <c r="C58" s="56" t="s">
        <v>29</v>
      </c>
      <c r="D58" s="56" t="s">
        <v>375</v>
      </c>
      <c r="E58" s="161" t="s">
        <v>278</v>
      </c>
      <c r="F58" s="161"/>
      <c r="G58" s="58" t="s">
        <v>282</v>
      </c>
      <c r="H58" s="59">
        <v>3.9E-2</v>
      </c>
      <c r="I58" s="60">
        <v>33.049999999999997</v>
      </c>
      <c r="J58" s="128">
        <f t="shared" si="6"/>
        <v>1.29</v>
      </c>
    </row>
    <row r="59" spans="1:11" ht="25.95" customHeight="1">
      <c r="A59" s="64" t="s">
        <v>164</v>
      </c>
      <c r="B59" s="65" t="s">
        <v>173</v>
      </c>
      <c r="C59" s="64" t="s">
        <v>29</v>
      </c>
      <c r="D59" s="64" t="s">
        <v>174</v>
      </c>
      <c r="E59" s="157" t="s">
        <v>167</v>
      </c>
      <c r="F59" s="157"/>
      <c r="G59" s="66" t="s">
        <v>175</v>
      </c>
      <c r="H59" s="67">
        <v>1.7000000000000001E-2</v>
      </c>
      <c r="I59" s="68">
        <v>7.5</v>
      </c>
      <c r="J59" s="128">
        <f t="shared" si="6"/>
        <v>0.13</v>
      </c>
    </row>
    <row r="60" spans="1:11" ht="25.95" customHeight="1">
      <c r="A60" s="64" t="s">
        <v>164</v>
      </c>
      <c r="B60" s="65" t="s">
        <v>178</v>
      </c>
      <c r="C60" s="64" t="s">
        <v>29</v>
      </c>
      <c r="D60" s="64" t="s">
        <v>179</v>
      </c>
      <c r="E60" s="157" t="s">
        <v>167</v>
      </c>
      <c r="F60" s="157"/>
      <c r="G60" s="66" t="s">
        <v>40</v>
      </c>
      <c r="H60" s="67">
        <v>4.6120000000000001</v>
      </c>
      <c r="I60" s="68">
        <v>3.52</v>
      </c>
      <c r="J60" s="128">
        <f t="shared" si="6"/>
        <v>16.23</v>
      </c>
    </row>
    <row r="61" spans="1:11" ht="25.95" customHeight="1">
      <c r="A61" s="64" t="s">
        <v>164</v>
      </c>
      <c r="B61" s="65" t="s">
        <v>380</v>
      </c>
      <c r="C61" s="64" t="s">
        <v>29</v>
      </c>
      <c r="D61" s="64" t="s">
        <v>381</v>
      </c>
      <c r="E61" s="157" t="s">
        <v>167</v>
      </c>
      <c r="F61" s="157"/>
      <c r="G61" s="66" t="s">
        <v>126</v>
      </c>
      <c r="H61" s="67">
        <v>4.7E-2</v>
      </c>
      <c r="I61" s="68">
        <v>22.81</v>
      </c>
      <c r="J61" s="128">
        <f t="shared" si="6"/>
        <v>1.07</v>
      </c>
    </row>
    <row r="62" spans="1:11" ht="25.95" customHeight="1">
      <c r="A62" s="64" t="s">
        <v>164</v>
      </c>
      <c r="B62" s="65" t="s">
        <v>382</v>
      </c>
      <c r="C62" s="64" t="s">
        <v>29</v>
      </c>
      <c r="D62" s="64" t="s">
        <v>383</v>
      </c>
      <c r="E62" s="157" t="s">
        <v>167</v>
      </c>
      <c r="F62" s="157"/>
      <c r="G62" s="66" t="s">
        <v>126</v>
      </c>
      <c r="H62" s="67">
        <v>1.6E-2</v>
      </c>
      <c r="I62" s="68">
        <v>25.07</v>
      </c>
      <c r="J62" s="128">
        <f t="shared" si="6"/>
        <v>0.4</v>
      </c>
    </row>
    <row r="63" spans="1:11" ht="25.95" customHeight="1">
      <c r="A63" s="64" t="s">
        <v>164</v>
      </c>
      <c r="B63" s="65" t="s">
        <v>835</v>
      </c>
      <c r="C63" s="64" t="s">
        <v>29</v>
      </c>
      <c r="D63" s="64" t="s">
        <v>836</v>
      </c>
      <c r="E63" s="157" t="s">
        <v>167</v>
      </c>
      <c r="F63" s="157"/>
      <c r="G63" s="66" t="s">
        <v>40</v>
      </c>
      <c r="H63" s="67">
        <v>1.278</v>
      </c>
      <c r="I63" s="68">
        <v>31.97</v>
      </c>
      <c r="J63" s="128">
        <f t="shared" si="6"/>
        <v>40.86</v>
      </c>
    </row>
    <row r="64" spans="1:11" ht="25.95" customHeight="1">
      <c r="A64" s="64" t="s">
        <v>164</v>
      </c>
      <c r="B64" s="65" t="s">
        <v>386</v>
      </c>
      <c r="C64" s="64" t="s">
        <v>29</v>
      </c>
      <c r="D64" s="64" t="s">
        <v>387</v>
      </c>
      <c r="E64" s="157" t="s">
        <v>167</v>
      </c>
      <c r="F64" s="157"/>
      <c r="G64" s="66" t="s">
        <v>126</v>
      </c>
      <c r="H64" s="67">
        <v>0.01</v>
      </c>
      <c r="I64" s="68">
        <v>27.62</v>
      </c>
      <c r="J64" s="128">
        <f t="shared" si="6"/>
        <v>0.28000000000000003</v>
      </c>
    </row>
    <row r="65" spans="1:11" ht="30" customHeight="1" thickBot="1">
      <c r="A65" s="61"/>
      <c r="B65" s="61"/>
      <c r="C65" s="61"/>
      <c r="D65" s="61"/>
      <c r="E65" s="61"/>
      <c r="F65" s="61"/>
      <c r="G65" s="61" t="s">
        <v>158</v>
      </c>
      <c r="H65" s="62">
        <f>JANDUÍ!F13</f>
        <v>59.52</v>
      </c>
      <c r="I65" s="61" t="s">
        <v>159</v>
      </c>
      <c r="J65" s="127">
        <f>JANDUÍ!I13</f>
        <v>11274.25</v>
      </c>
    </row>
    <row r="66" spans="1:11" ht="1.05" customHeight="1" thickTop="1">
      <c r="A66" s="63"/>
      <c r="B66" s="63"/>
      <c r="C66" s="63"/>
      <c r="D66" s="63"/>
      <c r="E66" s="63"/>
      <c r="F66" s="63"/>
      <c r="G66" s="63"/>
      <c r="H66" s="63"/>
      <c r="I66" s="63"/>
      <c r="J66" s="129"/>
    </row>
    <row r="67" spans="1:11" ht="18" customHeight="1">
      <c r="A67" s="48" t="s">
        <v>311</v>
      </c>
      <c r="B67" s="49" t="s">
        <v>9</v>
      </c>
      <c r="C67" s="48" t="s">
        <v>10</v>
      </c>
      <c r="D67" s="48" t="s">
        <v>11</v>
      </c>
      <c r="E67" s="159" t="s">
        <v>150</v>
      </c>
      <c r="F67" s="159"/>
      <c r="G67" s="50" t="s">
        <v>12</v>
      </c>
      <c r="H67" s="49" t="s">
        <v>13</v>
      </c>
      <c r="I67" s="49" t="s">
        <v>14</v>
      </c>
      <c r="J67" s="133" t="s">
        <v>16</v>
      </c>
    </row>
    <row r="68" spans="1:11" ht="25.95" customHeight="1">
      <c r="A68" s="51" t="s">
        <v>151</v>
      </c>
      <c r="B68" s="52" t="s">
        <v>764</v>
      </c>
      <c r="C68" s="51" t="s">
        <v>29</v>
      </c>
      <c r="D68" s="51" t="s">
        <v>765</v>
      </c>
      <c r="E68" s="160" t="s">
        <v>172</v>
      </c>
      <c r="F68" s="160"/>
      <c r="G68" s="53" t="s">
        <v>163</v>
      </c>
      <c r="H68" s="54">
        <v>1</v>
      </c>
      <c r="I68" s="55">
        <f>JANDUÍ!G14</f>
        <v>637.24</v>
      </c>
      <c r="J68" s="128">
        <f t="shared" ref="J68:J71" si="7">ROUND(H68*I68,2)</f>
        <v>637.24</v>
      </c>
    </row>
    <row r="69" spans="1:11" ht="24" customHeight="1">
      <c r="A69" s="56" t="s">
        <v>153</v>
      </c>
      <c r="B69" s="57" t="s">
        <v>154</v>
      </c>
      <c r="C69" s="56" t="s">
        <v>29</v>
      </c>
      <c r="D69" s="56" t="s">
        <v>155</v>
      </c>
      <c r="E69" s="161" t="s">
        <v>152</v>
      </c>
      <c r="F69" s="161"/>
      <c r="G69" s="58" t="s">
        <v>24</v>
      </c>
      <c r="H69" s="59">
        <v>6.2119999999999997</v>
      </c>
      <c r="I69" s="60">
        <v>25.38</v>
      </c>
      <c r="J69" s="128">
        <f t="shared" si="7"/>
        <v>157.66</v>
      </c>
      <c r="K69" s="143"/>
    </row>
    <row r="70" spans="1:11" ht="24" customHeight="1">
      <c r="A70" s="56" t="s">
        <v>153</v>
      </c>
      <c r="B70" s="57" t="s">
        <v>156</v>
      </c>
      <c r="C70" s="56" t="s">
        <v>29</v>
      </c>
      <c r="D70" s="56" t="s">
        <v>157</v>
      </c>
      <c r="E70" s="161" t="s">
        <v>152</v>
      </c>
      <c r="F70" s="161"/>
      <c r="G70" s="58" t="s">
        <v>24</v>
      </c>
      <c r="H70" s="59">
        <v>1.694</v>
      </c>
      <c r="I70" s="60">
        <v>20.420000000000002</v>
      </c>
      <c r="J70" s="128">
        <f t="shared" si="7"/>
        <v>34.590000000000003</v>
      </c>
    </row>
    <row r="71" spans="1:11" ht="39" customHeight="1">
      <c r="A71" s="56" t="s">
        <v>153</v>
      </c>
      <c r="B71" s="57" t="s">
        <v>360</v>
      </c>
      <c r="C71" s="56" t="s">
        <v>29</v>
      </c>
      <c r="D71" s="56" t="s">
        <v>361</v>
      </c>
      <c r="E71" s="161" t="s">
        <v>172</v>
      </c>
      <c r="F71" s="161"/>
      <c r="G71" s="58" t="s">
        <v>163</v>
      </c>
      <c r="H71" s="59">
        <v>1.1299999999999999</v>
      </c>
      <c r="I71" s="60">
        <v>393.8</v>
      </c>
      <c r="J71" s="128">
        <f t="shared" si="7"/>
        <v>444.99</v>
      </c>
    </row>
    <row r="72" spans="1:11" ht="30" customHeight="1" thickBot="1">
      <c r="A72" s="61"/>
      <c r="B72" s="61"/>
      <c r="C72" s="61"/>
      <c r="D72" s="61"/>
      <c r="E72" s="61"/>
      <c r="F72" s="61"/>
      <c r="G72" s="61" t="s">
        <v>158</v>
      </c>
      <c r="H72" s="62">
        <f>JANDUÍ!F14</f>
        <v>3.968</v>
      </c>
      <c r="I72" s="61" t="s">
        <v>159</v>
      </c>
      <c r="J72" s="127">
        <f>JANDUÍ!I14</f>
        <v>3107.1</v>
      </c>
    </row>
    <row r="73" spans="1:11" ht="1.05" customHeight="1" thickTop="1">
      <c r="A73" s="63"/>
      <c r="B73" s="63"/>
      <c r="C73" s="63"/>
      <c r="D73" s="63"/>
      <c r="E73" s="63"/>
      <c r="F73" s="63"/>
      <c r="G73" s="63"/>
      <c r="H73" s="63"/>
      <c r="I73" s="63"/>
      <c r="J73" s="129"/>
    </row>
    <row r="74" spans="1:11" ht="18" customHeight="1">
      <c r="A74" s="48" t="s">
        <v>314</v>
      </c>
      <c r="B74" s="49" t="s">
        <v>9</v>
      </c>
      <c r="C74" s="48" t="s">
        <v>10</v>
      </c>
      <c r="D74" s="48" t="s">
        <v>11</v>
      </c>
      <c r="E74" s="159" t="s">
        <v>150</v>
      </c>
      <c r="F74" s="159"/>
      <c r="G74" s="50" t="s">
        <v>12</v>
      </c>
      <c r="H74" s="49" t="s">
        <v>13</v>
      </c>
      <c r="I74" s="49" t="s">
        <v>14</v>
      </c>
      <c r="J74" s="133" t="s">
        <v>16</v>
      </c>
    </row>
    <row r="75" spans="1:11" ht="39" customHeight="1">
      <c r="A75" s="51" t="s">
        <v>151</v>
      </c>
      <c r="B75" s="52" t="s">
        <v>309</v>
      </c>
      <c r="C75" s="51" t="s">
        <v>29</v>
      </c>
      <c r="D75" s="51" t="s">
        <v>310</v>
      </c>
      <c r="E75" s="160" t="s">
        <v>172</v>
      </c>
      <c r="F75" s="160"/>
      <c r="G75" s="53" t="s">
        <v>163</v>
      </c>
      <c r="H75" s="54">
        <v>1</v>
      </c>
      <c r="I75" s="55">
        <f>JANDUÍ!G15</f>
        <v>621.98</v>
      </c>
      <c r="J75" s="128">
        <f t="shared" ref="J75:J80" si="8">ROUND(H75*I75,2)</f>
        <v>621.98</v>
      </c>
    </row>
    <row r="76" spans="1:11" ht="24" customHeight="1">
      <c r="A76" s="56" t="s">
        <v>153</v>
      </c>
      <c r="B76" s="57" t="s">
        <v>154</v>
      </c>
      <c r="C76" s="56" t="s">
        <v>29</v>
      </c>
      <c r="D76" s="56" t="s">
        <v>155</v>
      </c>
      <c r="E76" s="161" t="s">
        <v>152</v>
      </c>
      <c r="F76" s="161"/>
      <c r="G76" s="58" t="s">
        <v>24</v>
      </c>
      <c r="H76" s="59">
        <v>0.49299999999999999</v>
      </c>
      <c r="I76" s="60">
        <v>25.8</v>
      </c>
      <c r="J76" s="128">
        <f t="shared" si="8"/>
        <v>12.72</v>
      </c>
      <c r="K76" s="143"/>
    </row>
    <row r="77" spans="1:11" ht="24" customHeight="1">
      <c r="A77" s="56" t="s">
        <v>153</v>
      </c>
      <c r="B77" s="57" t="s">
        <v>156</v>
      </c>
      <c r="C77" s="56" t="s">
        <v>29</v>
      </c>
      <c r="D77" s="56" t="s">
        <v>157</v>
      </c>
      <c r="E77" s="161" t="s">
        <v>152</v>
      </c>
      <c r="F77" s="161"/>
      <c r="G77" s="58" t="s">
        <v>24</v>
      </c>
      <c r="H77" s="59">
        <v>0.74</v>
      </c>
      <c r="I77" s="60">
        <v>20.420000000000002</v>
      </c>
      <c r="J77" s="128">
        <f t="shared" si="8"/>
        <v>15.11</v>
      </c>
    </row>
    <row r="78" spans="1:11" ht="39" customHeight="1">
      <c r="A78" s="56" t="s">
        <v>153</v>
      </c>
      <c r="B78" s="57" t="s">
        <v>388</v>
      </c>
      <c r="C78" s="56" t="s">
        <v>29</v>
      </c>
      <c r="D78" s="56" t="s">
        <v>389</v>
      </c>
      <c r="E78" s="161" t="s">
        <v>278</v>
      </c>
      <c r="F78" s="161"/>
      <c r="G78" s="58" t="s">
        <v>279</v>
      </c>
      <c r="H78" s="59">
        <v>0.12</v>
      </c>
      <c r="I78" s="60">
        <v>1.28</v>
      </c>
      <c r="J78" s="128">
        <f t="shared" si="8"/>
        <v>0.15</v>
      </c>
    </row>
    <row r="79" spans="1:11" ht="39" customHeight="1">
      <c r="A79" s="56" t="s">
        <v>153</v>
      </c>
      <c r="B79" s="57" t="s">
        <v>390</v>
      </c>
      <c r="C79" s="56" t="s">
        <v>29</v>
      </c>
      <c r="D79" s="56" t="s">
        <v>391</v>
      </c>
      <c r="E79" s="161" t="s">
        <v>278</v>
      </c>
      <c r="F79" s="161"/>
      <c r="G79" s="58" t="s">
        <v>282</v>
      </c>
      <c r="H79" s="59">
        <v>0.126</v>
      </c>
      <c r="I79" s="60">
        <v>0.49</v>
      </c>
      <c r="J79" s="128">
        <f t="shared" si="8"/>
        <v>0.06</v>
      </c>
    </row>
    <row r="80" spans="1:11" ht="39" customHeight="1">
      <c r="A80" s="64" t="s">
        <v>164</v>
      </c>
      <c r="B80" s="65" t="s">
        <v>392</v>
      </c>
      <c r="C80" s="64" t="s">
        <v>29</v>
      </c>
      <c r="D80" s="64" t="s">
        <v>393</v>
      </c>
      <c r="E80" s="157" t="s">
        <v>167</v>
      </c>
      <c r="F80" s="157"/>
      <c r="G80" s="66" t="s">
        <v>163</v>
      </c>
      <c r="H80" s="67">
        <v>1.1499999999999999</v>
      </c>
      <c r="I80" s="68">
        <v>516.66</v>
      </c>
      <c r="J80" s="128">
        <f t="shared" si="8"/>
        <v>594.16</v>
      </c>
    </row>
    <row r="81" spans="1:11" ht="30" customHeight="1" thickBot="1">
      <c r="A81" s="61"/>
      <c r="B81" s="61"/>
      <c r="C81" s="61"/>
      <c r="D81" s="61"/>
      <c r="E81" s="61"/>
      <c r="F81" s="61"/>
      <c r="G81" s="61" t="s">
        <v>158</v>
      </c>
      <c r="H81" s="62">
        <f>JANDUÍ!F15</f>
        <v>19.84</v>
      </c>
      <c r="I81" s="61" t="s">
        <v>159</v>
      </c>
      <c r="J81" s="127">
        <f>JANDUÍ!I15</f>
        <v>15163.49</v>
      </c>
    </row>
    <row r="82" spans="1:11" ht="1.05" customHeight="1" thickTop="1">
      <c r="A82" s="63"/>
      <c r="B82" s="63"/>
      <c r="C82" s="63"/>
      <c r="D82" s="63"/>
      <c r="E82" s="63"/>
      <c r="F82" s="63"/>
      <c r="G82" s="63"/>
      <c r="H82" s="63"/>
      <c r="I82" s="63"/>
      <c r="J82" s="129"/>
    </row>
    <row r="83" spans="1:11" ht="18" customHeight="1">
      <c r="A83" s="48" t="s">
        <v>766</v>
      </c>
      <c r="B83" s="49" t="s">
        <v>9</v>
      </c>
      <c r="C83" s="48" t="s">
        <v>10</v>
      </c>
      <c r="D83" s="48" t="s">
        <v>11</v>
      </c>
      <c r="E83" s="159" t="s">
        <v>150</v>
      </c>
      <c r="F83" s="159"/>
      <c r="G83" s="50" t="s">
        <v>12</v>
      </c>
      <c r="H83" s="49" t="s">
        <v>13</v>
      </c>
      <c r="I83" s="49" t="s">
        <v>14</v>
      </c>
      <c r="J83" s="133" t="s">
        <v>16</v>
      </c>
    </row>
    <row r="84" spans="1:11" ht="39" customHeight="1">
      <c r="A84" s="51" t="s">
        <v>151</v>
      </c>
      <c r="B84" s="52" t="s">
        <v>767</v>
      </c>
      <c r="C84" s="51" t="s">
        <v>29</v>
      </c>
      <c r="D84" s="51" t="s">
        <v>768</v>
      </c>
      <c r="E84" s="160" t="s">
        <v>172</v>
      </c>
      <c r="F84" s="160"/>
      <c r="G84" s="53" t="s">
        <v>31</v>
      </c>
      <c r="H84" s="54">
        <v>1</v>
      </c>
      <c r="I84" s="55">
        <f>JANDUÍ!G16</f>
        <v>81.13</v>
      </c>
      <c r="J84" s="128">
        <f t="shared" ref="J84:J94" si="9">ROUND(H84*I84,2)</f>
        <v>81.13</v>
      </c>
    </row>
    <row r="85" spans="1:11" ht="25.95" customHeight="1">
      <c r="A85" s="56" t="s">
        <v>153</v>
      </c>
      <c r="B85" s="57" t="s">
        <v>370</v>
      </c>
      <c r="C85" s="56" t="s">
        <v>29</v>
      </c>
      <c r="D85" s="56" t="s">
        <v>371</v>
      </c>
      <c r="E85" s="161" t="s">
        <v>152</v>
      </c>
      <c r="F85" s="161"/>
      <c r="G85" s="58" t="s">
        <v>24</v>
      </c>
      <c r="H85" s="59">
        <v>0.47099999999999997</v>
      </c>
      <c r="I85" s="60">
        <v>20.27</v>
      </c>
      <c r="J85" s="128">
        <f t="shared" si="9"/>
        <v>9.5500000000000007</v>
      </c>
      <c r="K85" s="143"/>
    </row>
    <row r="86" spans="1:11" ht="24" customHeight="1">
      <c r="A86" s="56" t="s">
        <v>153</v>
      </c>
      <c r="B86" s="57" t="s">
        <v>168</v>
      </c>
      <c r="C86" s="56" t="s">
        <v>29</v>
      </c>
      <c r="D86" s="56" t="s">
        <v>169</v>
      </c>
      <c r="E86" s="161" t="s">
        <v>152</v>
      </c>
      <c r="F86" s="161"/>
      <c r="G86" s="58" t="s">
        <v>24</v>
      </c>
      <c r="H86" s="59">
        <v>1.145</v>
      </c>
      <c r="I86" s="60">
        <v>25</v>
      </c>
      <c r="J86" s="128">
        <f t="shared" si="9"/>
        <v>28.63</v>
      </c>
    </row>
    <row r="87" spans="1:11" ht="39" customHeight="1">
      <c r="A87" s="56" t="s">
        <v>153</v>
      </c>
      <c r="B87" s="57" t="s">
        <v>372</v>
      </c>
      <c r="C87" s="56" t="s">
        <v>29</v>
      </c>
      <c r="D87" s="56" t="s">
        <v>373</v>
      </c>
      <c r="E87" s="161" t="s">
        <v>278</v>
      </c>
      <c r="F87" s="161"/>
      <c r="G87" s="58" t="s">
        <v>279</v>
      </c>
      <c r="H87" s="59">
        <v>1.7000000000000001E-2</v>
      </c>
      <c r="I87" s="60">
        <v>34.299999999999997</v>
      </c>
      <c r="J87" s="128">
        <f t="shared" si="9"/>
        <v>0.57999999999999996</v>
      </c>
    </row>
    <row r="88" spans="1:11" ht="39" customHeight="1">
      <c r="A88" s="56" t="s">
        <v>153</v>
      </c>
      <c r="B88" s="57" t="s">
        <v>374</v>
      </c>
      <c r="C88" s="56" t="s">
        <v>29</v>
      </c>
      <c r="D88" s="56" t="s">
        <v>375</v>
      </c>
      <c r="E88" s="161" t="s">
        <v>278</v>
      </c>
      <c r="F88" s="161"/>
      <c r="G88" s="58" t="s">
        <v>282</v>
      </c>
      <c r="H88" s="59">
        <v>1.4E-2</v>
      </c>
      <c r="I88" s="60">
        <v>33.049999999999997</v>
      </c>
      <c r="J88" s="128">
        <f t="shared" si="9"/>
        <v>0.46</v>
      </c>
    </row>
    <row r="89" spans="1:11" ht="25.95" customHeight="1">
      <c r="A89" s="64" t="s">
        <v>164</v>
      </c>
      <c r="B89" s="65" t="s">
        <v>173</v>
      </c>
      <c r="C89" s="64" t="s">
        <v>29</v>
      </c>
      <c r="D89" s="64" t="s">
        <v>174</v>
      </c>
      <c r="E89" s="157" t="s">
        <v>167</v>
      </c>
      <c r="F89" s="157"/>
      <c r="G89" s="66" t="s">
        <v>175</v>
      </c>
      <c r="H89" s="67">
        <v>1.7000000000000001E-2</v>
      </c>
      <c r="I89" s="68">
        <v>7.5</v>
      </c>
      <c r="J89" s="128">
        <f t="shared" si="9"/>
        <v>0.13</v>
      </c>
    </row>
    <row r="90" spans="1:11" ht="25.95" customHeight="1">
      <c r="A90" s="64" t="s">
        <v>164</v>
      </c>
      <c r="B90" s="65" t="s">
        <v>378</v>
      </c>
      <c r="C90" s="64" t="s">
        <v>29</v>
      </c>
      <c r="D90" s="64" t="s">
        <v>379</v>
      </c>
      <c r="E90" s="157" t="s">
        <v>167</v>
      </c>
      <c r="F90" s="157"/>
      <c r="G90" s="66" t="s">
        <v>40</v>
      </c>
      <c r="H90" s="67">
        <v>0.60499999999999998</v>
      </c>
      <c r="I90" s="68">
        <v>10.050000000000001</v>
      </c>
      <c r="J90" s="128">
        <f t="shared" si="9"/>
        <v>6.08</v>
      </c>
    </row>
    <row r="91" spans="1:11" ht="25.95" customHeight="1">
      <c r="A91" s="64" t="s">
        <v>164</v>
      </c>
      <c r="B91" s="65" t="s">
        <v>178</v>
      </c>
      <c r="C91" s="64" t="s">
        <v>29</v>
      </c>
      <c r="D91" s="64" t="s">
        <v>179</v>
      </c>
      <c r="E91" s="157" t="s">
        <v>167</v>
      </c>
      <c r="F91" s="157"/>
      <c r="G91" s="66" t="s">
        <v>40</v>
      </c>
      <c r="H91" s="67">
        <v>0.56699999999999995</v>
      </c>
      <c r="I91" s="68">
        <v>3.52</v>
      </c>
      <c r="J91" s="128">
        <f t="shared" si="9"/>
        <v>2</v>
      </c>
    </row>
    <row r="92" spans="1:11" ht="25.95" customHeight="1">
      <c r="A92" s="64" t="s">
        <v>164</v>
      </c>
      <c r="B92" s="65" t="s">
        <v>380</v>
      </c>
      <c r="C92" s="64" t="s">
        <v>29</v>
      </c>
      <c r="D92" s="64" t="s">
        <v>381</v>
      </c>
      <c r="E92" s="157" t="s">
        <v>167</v>
      </c>
      <c r="F92" s="157"/>
      <c r="G92" s="66" t="s">
        <v>126</v>
      </c>
      <c r="H92" s="67">
        <v>2.5999999999999999E-2</v>
      </c>
      <c r="I92" s="68">
        <v>22.81</v>
      </c>
      <c r="J92" s="128">
        <f t="shared" si="9"/>
        <v>0.59</v>
      </c>
    </row>
    <row r="93" spans="1:11" ht="25.95" customHeight="1">
      <c r="A93" s="64" t="s">
        <v>164</v>
      </c>
      <c r="B93" s="65" t="s">
        <v>835</v>
      </c>
      <c r="C93" s="64" t="s">
        <v>29</v>
      </c>
      <c r="D93" s="64" t="s">
        <v>836</v>
      </c>
      <c r="E93" s="157" t="s">
        <v>167</v>
      </c>
      <c r="F93" s="157"/>
      <c r="G93" s="66" t="s">
        <v>40</v>
      </c>
      <c r="H93" s="67">
        <v>1.008</v>
      </c>
      <c r="I93" s="68">
        <v>31.97</v>
      </c>
      <c r="J93" s="128">
        <f t="shared" si="9"/>
        <v>32.229999999999997</v>
      </c>
    </row>
    <row r="94" spans="1:11" ht="25.95" customHeight="1">
      <c r="A94" s="64" t="s">
        <v>164</v>
      </c>
      <c r="B94" s="65" t="s">
        <v>386</v>
      </c>
      <c r="C94" s="64" t="s">
        <v>29</v>
      </c>
      <c r="D94" s="64" t="s">
        <v>387</v>
      </c>
      <c r="E94" s="157" t="s">
        <v>167</v>
      </c>
      <c r="F94" s="157"/>
      <c r="G94" s="66" t="s">
        <v>126</v>
      </c>
      <c r="H94" s="67">
        <v>3.4000000000000002E-2</v>
      </c>
      <c r="I94" s="68">
        <v>27.62</v>
      </c>
      <c r="J94" s="128">
        <f t="shared" si="9"/>
        <v>0.94</v>
      </c>
    </row>
    <row r="95" spans="1:11" ht="30" customHeight="1" thickBot="1">
      <c r="A95" s="61"/>
      <c r="B95" s="61"/>
      <c r="C95" s="61"/>
      <c r="D95" s="61"/>
      <c r="E95" s="61"/>
      <c r="F95" s="61"/>
      <c r="G95" s="61" t="s">
        <v>158</v>
      </c>
      <c r="H95" s="62">
        <f>JANDUÍ!F16</f>
        <v>118.48</v>
      </c>
      <c r="I95" s="61" t="s">
        <v>159</v>
      </c>
      <c r="J95" s="127">
        <f>JANDUÍ!I16</f>
        <v>11811.57</v>
      </c>
    </row>
    <row r="96" spans="1:11" ht="1.05" customHeight="1" thickTop="1">
      <c r="A96" s="63"/>
      <c r="B96" s="63"/>
      <c r="C96" s="63"/>
      <c r="D96" s="63"/>
      <c r="E96" s="63"/>
      <c r="F96" s="63"/>
      <c r="G96" s="63"/>
      <c r="H96" s="63"/>
      <c r="I96" s="63"/>
      <c r="J96" s="129"/>
    </row>
    <row r="97" spans="1:11" ht="18" customHeight="1">
      <c r="A97" s="48" t="s">
        <v>769</v>
      </c>
      <c r="B97" s="49" t="s">
        <v>9</v>
      </c>
      <c r="C97" s="48" t="s">
        <v>10</v>
      </c>
      <c r="D97" s="48" t="s">
        <v>11</v>
      </c>
      <c r="E97" s="159" t="s">
        <v>150</v>
      </c>
      <c r="F97" s="159"/>
      <c r="G97" s="50" t="s">
        <v>12</v>
      </c>
      <c r="H97" s="49" t="s">
        <v>13</v>
      </c>
      <c r="I97" s="49" t="s">
        <v>14</v>
      </c>
      <c r="J97" s="133" t="s">
        <v>16</v>
      </c>
    </row>
    <row r="98" spans="1:11" ht="39" customHeight="1">
      <c r="A98" s="51" t="s">
        <v>151</v>
      </c>
      <c r="B98" s="52" t="s">
        <v>315</v>
      </c>
      <c r="C98" s="51" t="s">
        <v>29</v>
      </c>
      <c r="D98" s="51" t="s">
        <v>316</v>
      </c>
      <c r="E98" s="160" t="s">
        <v>172</v>
      </c>
      <c r="F98" s="160"/>
      <c r="G98" s="53" t="s">
        <v>163</v>
      </c>
      <c r="H98" s="54">
        <v>1</v>
      </c>
      <c r="I98" s="55">
        <f>JANDUÍ!G17</f>
        <v>614.61</v>
      </c>
      <c r="J98" s="128">
        <f t="shared" ref="J98:J103" si="10">ROUND(H98*I98,2)</f>
        <v>614.61</v>
      </c>
    </row>
    <row r="99" spans="1:11" ht="24" customHeight="1">
      <c r="A99" s="56" t="s">
        <v>153</v>
      </c>
      <c r="B99" s="57" t="s">
        <v>154</v>
      </c>
      <c r="C99" s="56" t="s">
        <v>29</v>
      </c>
      <c r="D99" s="56" t="s">
        <v>155</v>
      </c>
      <c r="E99" s="161" t="s">
        <v>152</v>
      </c>
      <c r="F99" s="161"/>
      <c r="G99" s="58" t="s">
        <v>24</v>
      </c>
      <c r="H99" s="59">
        <v>0.36299999999999999</v>
      </c>
      <c r="I99" s="60">
        <v>25.38</v>
      </c>
      <c r="J99" s="128">
        <f t="shared" si="10"/>
        <v>9.2100000000000009</v>
      </c>
      <c r="K99" s="143"/>
    </row>
    <row r="100" spans="1:11" ht="24" customHeight="1">
      <c r="A100" s="56" t="s">
        <v>153</v>
      </c>
      <c r="B100" s="57" t="s">
        <v>156</v>
      </c>
      <c r="C100" s="56" t="s">
        <v>29</v>
      </c>
      <c r="D100" s="56" t="s">
        <v>157</v>
      </c>
      <c r="E100" s="161" t="s">
        <v>152</v>
      </c>
      <c r="F100" s="161"/>
      <c r="G100" s="58" t="s">
        <v>24</v>
      </c>
      <c r="H100" s="59">
        <v>0.54400000000000004</v>
      </c>
      <c r="I100" s="60">
        <v>20.420000000000002</v>
      </c>
      <c r="J100" s="128">
        <f t="shared" si="10"/>
        <v>11.11</v>
      </c>
    </row>
    <row r="101" spans="1:11" ht="39" customHeight="1">
      <c r="A101" s="56" t="s">
        <v>153</v>
      </c>
      <c r="B101" s="57" t="s">
        <v>388</v>
      </c>
      <c r="C101" s="56" t="s">
        <v>29</v>
      </c>
      <c r="D101" s="56" t="s">
        <v>389</v>
      </c>
      <c r="E101" s="161" t="s">
        <v>278</v>
      </c>
      <c r="F101" s="161"/>
      <c r="G101" s="58" t="s">
        <v>279</v>
      </c>
      <c r="H101" s="59">
        <v>8.7999999999999995E-2</v>
      </c>
      <c r="I101" s="60">
        <v>1.28</v>
      </c>
      <c r="J101" s="128">
        <f t="shared" si="10"/>
        <v>0.11</v>
      </c>
    </row>
    <row r="102" spans="1:11" ht="39" customHeight="1">
      <c r="A102" s="56" t="s">
        <v>153</v>
      </c>
      <c r="B102" s="57" t="s">
        <v>390</v>
      </c>
      <c r="C102" s="56" t="s">
        <v>29</v>
      </c>
      <c r="D102" s="56" t="s">
        <v>391</v>
      </c>
      <c r="E102" s="161" t="s">
        <v>278</v>
      </c>
      <c r="F102" s="161"/>
      <c r="G102" s="58" t="s">
        <v>282</v>
      </c>
      <c r="H102" s="59">
        <v>9.2999999999999999E-2</v>
      </c>
      <c r="I102" s="60">
        <v>0.49</v>
      </c>
      <c r="J102" s="128">
        <f t="shared" si="10"/>
        <v>0.05</v>
      </c>
    </row>
    <row r="103" spans="1:11" ht="39" customHeight="1">
      <c r="A103" s="64" t="s">
        <v>164</v>
      </c>
      <c r="B103" s="65" t="s">
        <v>392</v>
      </c>
      <c r="C103" s="64" t="s">
        <v>29</v>
      </c>
      <c r="D103" s="64" t="s">
        <v>393</v>
      </c>
      <c r="E103" s="157" t="s">
        <v>167</v>
      </c>
      <c r="F103" s="157"/>
      <c r="G103" s="66" t="s">
        <v>163</v>
      </c>
      <c r="H103" s="67">
        <v>1.1499999999999999</v>
      </c>
      <c r="I103" s="68">
        <v>516.66</v>
      </c>
      <c r="J103" s="128">
        <f t="shared" si="10"/>
        <v>594.16</v>
      </c>
    </row>
    <row r="104" spans="1:11" ht="30" customHeight="1" thickBot="1">
      <c r="A104" s="61"/>
      <c r="B104" s="61"/>
      <c r="C104" s="61"/>
      <c r="D104" s="61"/>
      <c r="E104" s="61"/>
      <c r="F104" s="61"/>
      <c r="G104" s="61" t="s">
        <v>158</v>
      </c>
      <c r="H104" s="62">
        <f>JANDUÍ!F17</f>
        <v>11.85</v>
      </c>
      <c r="I104" s="61" t="s">
        <v>159</v>
      </c>
      <c r="J104" s="127">
        <f>JANDUÍ!I17</f>
        <v>8949.51</v>
      </c>
    </row>
    <row r="105" spans="1:11" ht="1.05" customHeight="1" thickTop="1">
      <c r="A105" s="63"/>
      <c r="B105" s="63"/>
      <c r="C105" s="63"/>
      <c r="D105" s="63"/>
      <c r="E105" s="63"/>
      <c r="F105" s="63"/>
      <c r="G105" s="63"/>
      <c r="H105" s="63"/>
      <c r="I105" s="63"/>
      <c r="J105" s="129"/>
    </row>
    <row r="106" spans="1:11" ht="24" customHeight="1">
      <c r="A106" s="45" t="s">
        <v>35</v>
      </c>
      <c r="B106" s="45"/>
      <c r="C106" s="45"/>
      <c r="D106" s="45" t="s">
        <v>770</v>
      </c>
      <c r="E106" s="45"/>
      <c r="F106" s="158"/>
      <c r="G106" s="158"/>
      <c r="H106" s="46"/>
      <c r="I106" s="45"/>
      <c r="J106" s="130">
        <f>SUM(J117,J131,J140,J150,J160)</f>
        <v>65091.62</v>
      </c>
    </row>
    <row r="107" spans="1:11" ht="18" customHeight="1">
      <c r="A107" s="48" t="s">
        <v>37</v>
      </c>
      <c r="B107" s="49" t="s">
        <v>9</v>
      </c>
      <c r="C107" s="48" t="s">
        <v>10</v>
      </c>
      <c r="D107" s="48" t="s">
        <v>11</v>
      </c>
      <c r="E107" s="159" t="s">
        <v>150</v>
      </c>
      <c r="F107" s="159"/>
      <c r="G107" s="50" t="s">
        <v>12</v>
      </c>
      <c r="H107" s="49" t="s">
        <v>13</v>
      </c>
      <c r="I107" s="49" t="s">
        <v>14</v>
      </c>
      <c r="J107" s="133" t="s">
        <v>16</v>
      </c>
    </row>
    <row r="108" spans="1:11" ht="52.05" customHeight="1">
      <c r="A108" s="51" t="s">
        <v>151</v>
      </c>
      <c r="B108" s="52" t="s">
        <v>771</v>
      </c>
      <c r="C108" s="51" t="s">
        <v>29</v>
      </c>
      <c r="D108" s="51" t="s">
        <v>772</v>
      </c>
      <c r="E108" s="160" t="s">
        <v>172</v>
      </c>
      <c r="F108" s="160"/>
      <c r="G108" s="53" t="s">
        <v>31</v>
      </c>
      <c r="H108" s="54">
        <v>1</v>
      </c>
      <c r="I108" s="55">
        <f>JANDUÍ!G19</f>
        <v>66.010000000000005</v>
      </c>
      <c r="J108" s="128">
        <f t="shared" ref="J108:J116" si="11">ROUND(H108*I108,2)</f>
        <v>66.010000000000005</v>
      </c>
    </row>
    <row r="109" spans="1:11" ht="25.95" customHeight="1">
      <c r="A109" s="56" t="s">
        <v>153</v>
      </c>
      <c r="B109" s="57" t="s">
        <v>370</v>
      </c>
      <c r="C109" s="56" t="s">
        <v>29</v>
      </c>
      <c r="D109" s="56" t="s">
        <v>371</v>
      </c>
      <c r="E109" s="161" t="s">
        <v>152</v>
      </c>
      <c r="F109" s="161"/>
      <c r="G109" s="58" t="s">
        <v>24</v>
      </c>
      <c r="H109" s="59">
        <v>0.13800000000000001</v>
      </c>
      <c r="I109" s="60">
        <v>20.27</v>
      </c>
      <c r="J109" s="128">
        <f t="shared" si="11"/>
        <v>2.8</v>
      </c>
    </row>
    <row r="110" spans="1:11" ht="24" customHeight="1">
      <c r="A110" s="56" t="s">
        <v>153</v>
      </c>
      <c r="B110" s="57" t="s">
        <v>168</v>
      </c>
      <c r="C110" s="56" t="s">
        <v>29</v>
      </c>
      <c r="D110" s="56" t="s">
        <v>169</v>
      </c>
      <c r="E110" s="161" t="s">
        <v>152</v>
      </c>
      <c r="F110" s="161"/>
      <c r="G110" s="58" t="s">
        <v>24</v>
      </c>
      <c r="H110" s="59">
        <v>0.752</v>
      </c>
      <c r="I110" s="60">
        <v>25</v>
      </c>
      <c r="J110" s="128">
        <f t="shared" si="11"/>
        <v>18.8</v>
      </c>
    </row>
    <row r="111" spans="1:11" ht="39" customHeight="1">
      <c r="A111" s="56" t="s">
        <v>153</v>
      </c>
      <c r="B111" s="57" t="s">
        <v>837</v>
      </c>
      <c r="C111" s="56" t="s">
        <v>29</v>
      </c>
      <c r="D111" s="56" t="s">
        <v>838</v>
      </c>
      <c r="E111" s="161" t="s">
        <v>172</v>
      </c>
      <c r="F111" s="161"/>
      <c r="G111" s="58" t="s">
        <v>31</v>
      </c>
      <c r="H111" s="59">
        <v>0.188</v>
      </c>
      <c r="I111" s="60">
        <v>177.98</v>
      </c>
      <c r="J111" s="128">
        <f t="shared" si="11"/>
        <v>33.46</v>
      </c>
    </row>
    <row r="112" spans="1:11" ht="25.95" customHeight="1">
      <c r="A112" s="64" t="s">
        <v>164</v>
      </c>
      <c r="B112" s="65" t="s">
        <v>173</v>
      </c>
      <c r="C112" s="64" t="s">
        <v>29</v>
      </c>
      <c r="D112" s="64" t="s">
        <v>174</v>
      </c>
      <c r="E112" s="157" t="s">
        <v>167</v>
      </c>
      <c r="F112" s="157"/>
      <c r="G112" s="66" t="s">
        <v>175</v>
      </c>
      <c r="H112" s="67">
        <v>0.01</v>
      </c>
      <c r="I112" s="68">
        <v>7.5</v>
      </c>
      <c r="J112" s="128">
        <f t="shared" si="11"/>
        <v>0.08</v>
      </c>
    </row>
    <row r="113" spans="1:10" ht="39" customHeight="1">
      <c r="A113" s="64" t="s">
        <v>164</v>
      </c>
      <c r="B113" s="65" t="s">
        <v>839</v>
      </c>
      <c r="C113" s="64" t="s">
        <v>29</v>
      </c>
      <c r="D113" s="64" t="s">
        <v>840</v>
      </c>
      <c r="E113" s="157" t="s">
        <v>253</v>
      </c>
      <c r="F113" s="157"/>
      <c r="G113" s="66" t="s">
        <v>404</v>
      </c>
      <c r="H113" s="67">
        <v>0.19600000000000001</v>
      </c>
      <c r="I113" s="68">
        <v>9.42</v>
      </c>
      <c r="J113" s="128">
        <f t="shared" si="11"/>
        <v>1.85</v>
      </c>
    </row>
    <row r="114" spans="1:10" ht="39" customHeight="1">
      <c r="A114" s="64" t="s">
        <v>164</v>
      </c>
      <c r="B114" s="65" t="s">
        <v>405</v>
      </c>
      <c r="C114" s="64" t="s">
        <v>29</v>
      </c>
      <c r="D114" s="64" t="s">
        <v>406</v>
      </c>
      <c r="E114" s="157" t="s">
        <v>253</v>
      </c>
      <c r="F114" s="157"/>
      <c r="G114" s="66" t="s">
        <v>404</v>
      </c>
      <c r="H114" s="67">
        <v>0.39300000000000002</v>
      </c>
      <c r="I114" s="68">
        <v>14.5</v>
      </c>
      <c r="J114" s="128">
        <f t="shared" si="11"/>
        <v>5.7</v>
      </c>
    </row>
    <row r="115" spans="1:10" ht="39" customHeight="1">
      <c r="A115" s="64" t="s">
        <v>164</v>
      </c>
      <c r="B115" s="65" t="s">
        <v>407</v>
      </c>
      <c r="C115" s="64" t="s">
        <v>29</v>
      </c>
      <c r="D115" s="64" t="s">
        <v>408</v>
      </c>
      <c r="E115" s="157" t="s">
        <v>253</v>
      </c>
      <c r="F115" s="157"/>
      <c r="G115" s="66" t="s">
        <v>404</v>
      </c>
      <c r="H115" s="67">
        <v>0.78500000000000003</v>
      </c>
      <c r="I115" s="68">
        <v>3.62</v>
      </c>
      <c r="J115" s="128">
        <f t="shared" si="11"/>
        <v>2.84</v>
      </c>
    </row>
    <row r="116" spans="1:10" ht="25.95" customHeight="1">
      <c r="A116" s="64" t="s">
        <v>164</v>
      </c>
      <c r="B116" s="65" t="s">
        <v>386</v>
      </c>
      <c r="C116" s="64" t="s">
        <v>29</v>
      </c>
      <c r="D116" s="64" t="s">
        <v>387</v>
      </c>
      <c r="E116" s="157" t="s">
        <v>167</v>
      </c>
      <c r="F116" s="157"/>
      <c r="G116" s="66" t="s">
        <v>126</v>
      </c>
      <c r="H116" s="67">
        <v>1.9E-2</v>
      </c>
      <c r="I116" s="68">
        <v>27.62</v>
      </c>
      <c r="J116" s="128">
        <f t="shared" si="11"/>
        <v>0.52</v>
      </c>
    </row>
    <row r="117" spans="1:10" ht="30" customHeight="1" thickBot="1">
      <c r="A117" s="61"/>
      <c r="B117" s="61"/>
      <c r="C117" s="61"/>
      <c r="D117" s="61"/>
      <c r="E117" s="61"/>
      <c r="F117" s="61"/>
      <c r="G117" s="61" t="s">
        <v>158</v>
      </c>
      <c r="H117" s="62">
        <f>JANDUÍ!F19</f>
        <v>111.6</v>
      </c>
      <c r="I117" s="61" t="s">
        <v>159</v>
      </c>
      <c r="J117" s="127">
        <f>JANDUÍ!I19</f>
        <v>9052.2199999999993</v>
      </c>
    </row>
    <row r="118" spans="1:10" ht="1.05" customHeight="1" thickTop="1">
      <c r="A118" s="63"/>
      <c r="B118" s="63"/>
      <c r="C118" s="63"/>
      <c r="D118" s="63"/>
      <c r="E118" s="63"/>
      <c r="F118" s="63"/>
      <c r="G118" s="63"/>
      <c r="H118" s="63"/>
      <c r="I118" s="63"/>
      <c r="J118" s="129"/>
    </row>
    <row r="119" spans="1:10" ht="18" customHeight="1">
      <c r="A119" s="48" t="s">
        <v>320</v>
      </c>
      <c r="B119" s="49" t="s">
        <v>9</v>
      </c>
      <c r="C119" s="48" t="s">
        <v>10</v>
      </c>
      <c r="D119" s="48" t="s">
        <v>11</v>
      </c>
      <c r="E119" s="159" t="s">
        <v>150</v>
      </c>
      <c r="F119" s="159"/>
      <c r="G119" s="50" t="s">
        <v>12</v>
      </c>
      <c r="H119" s="49" t="s">
        <v>13</v>
      </c>
      <c r="I119" s="49" t="s">
        <v>14</v>
      </c>
      <c r="J119" s="133" t="s">
        <v>16</v>
      </c>
    </row>
    <row r="120" spans="1:10" ht="39" customHeight="1">
      <c r="A120" s="51" t="s">
        <v>151</v>
      </c>
      <c r="B120" s="52" t="s">
        <v>773</v>
      </c>
      <c r="C120" s="51" t="s">
        <v>29</v>
      </c>
      <c r="D120" s="51" t="s">
        <v>774</v>
      </c>
      <c r="E120" s="160" t="s">
        <v>172</v>
      </c>
      <c r="F120" s="160"/>
      <c r="G120" s="53" t="s">
        <v>31</v>
      </c>
      <c r="H120" s="54">
        <v>1</v>
      </c>
      <c r="I120" s="55">
        <f>JANDUÍ!G20</f>
        <v>101.36</v>
      </c>
      <c r="J120" s="128">
        <f t="shared" ref="J120:J130" si="12">ROUND(H120*I120,2)</f>
        <v>101.36</v>
      </c>
    </row>
    <row r="121" spans="1:10" ht="25.95" customHeight="1">
      <c r="A121" s="56" t="s">
        <v>153</v>
      </c>
      <c r="B121" s="57" t="s">
        <v>370</v>
      </c>
      <c r="C121" s="56" t="s">
        <v>29</v>
      </c>
      <c r="D121" s="56" t="s">
        <v>371</v>
      </c>
      <c r="E121" s="161" t="s">
        <v>152</v>
      </c>
      <c r="F121" s="161"/>
      <c r="G121" s="58" t="s">
        <v>24</v>
      </c>
      <c r="H121" s="59">
        <v>0.27700000000000002</v>
      </c>
      <c r="I121" s="60">
        <v>20.27</v>
      </c>
      <c r="J121" s="128">
        <f t="shared" si="12"/>
        <v>5.61</v>
      </c>
    </row>
    <row r="122" spans="1:10" ht="24" customHeight="1">
      <c r="A122" s="56" t="s">
        <v>153</v>
      </c>
      <c r="B122" s="57" t="s">
        <v>168</v>
      </c>
      <c r="C122" s="56" t="s">
        <v>29</v>
      </c>
      <c r="D122" s="56" t="s">
        <v>169</v>
      </c>
      <c r="E122" s="161" t="s">
        <v>152</v>
      </c>
      <c r="F122" s="161"/>
      <c r="G122" s="58" t="s">
        <v>24</v>
      </c>
      <c r="H122" s="59">
        <v>1.5109999999999999</v>
      </c>
      <c r="I122" s="60">
        <v>25</v>
      </c>
      <c r="J122" s="128">
        <f t="shared" si="12"/>
        <v>37.78</v>
      </c>
    </row>
    <row r="123" spans="1:10" ht="25.95" customHeight="1">
      <c r="A123" s="56" t="s">
        <v>153</v>
      </c>
      <c r="B123" s="57" t="s">
        <v>841</v>
      </c>
      <c r="C123" s="56" t="s">
        <v>29</v>
      </c>
      <c r="D123" s="56" t="s">
        <v>842</v>
      </c>
      <c r="E123" s="161" t="s">
        <v>172</v>
      </c>
      <c r="F123" s="161"/>
      <c r="G123" s="58" t="s">
        <v>31</v>
      </c>
      <c r="H123" s="59">
        <v>0.29699999999999999</v>
      </c>
      <c r="I123" s="60">
        <v>128.26</v>
      </c>
      <c r="J123" s="128">
        <f t="shared" si="12"/>
        <v>38.090000000000003</v>
      </c>
    </row>
    <row r="124" spans="1:10" ht="25.95" customHeight="1">
      <c r="A124" s="64" t="s">
        <v>164</v>
      </c>
      <c r="B124" s="65" t="s">
        <v>173</v>
      </c>
      <c r="C124" s="64" t="s">
        <v>29</v>
      </c>
      <c r="D124" s="64" t="s">
        <v>174</v>
      </c>
      <c r="E124" s="157" t="s">
        <v>167</v>
      </c>
      <c r="F124" s="157"/>
      <c r="G124" s="66" t="s">
        <v>175</v>
      </c>
      <c r="H124" s="67">
        <v>0.01</v>
      </c>
      <c r="I124" s="68">
        <v>7.5</v>
      </c>
      <c r="J124" s="128">
        <f t="shared" si="12"/>
        <v>0.08</v>
      </c>
    </row>
    <row r="125" spans="1:10" ht="25.95" customHeight="1">
      <c r="A125" s="64" t="s">
        <v>164</v>
      </c>
      <c r="B125" s="65" t="s">
        <v>378</v>
      </c>
      <c r="C125" s="64" t="s">
        <v>29</v>
      </c>
      <c r="D125" s="64" t="s">
        <v>379</v>
      </c>
      <c r="E125" s="157" t="s">
        <v>167</v>
      </c>
      <c r="F125" s="157"/>
      <c r="G125" s="66" t="s">
        <v>40</v>
      </c>
      <c r="H125" s="67">
        <v>0.372</v>
      </c>
      <c r="I125" s="68">
        <v>10.050000000000001</v>
      </c>
      <c r="J125" s="128">
        <f t="shared" si="12"/>
        <v>3.74</v>
      </c>
    </row>
    <row r="126" spans="1:10" ht="52.05" customHeight="1">
      <c r="A126" s="64" t="s">
        <v>164</v>
      </c>
      <c r="B126" s="65" t="s">
        <v>402</v>
      </c>
      <c r="C126" s="64" t="s">
        <v>29</v>
      </c>
      <c r="D126" s="64" t="s">
        <v>403</v>
      </c>
      <c r="E126" s="157" t="s">
        <v>253</v>
      </c>
      <c r="F126" s="157"/>
      <c r="G126" s="66" t="s">
        <v>404</v>
      </c>
      <c r="H126" s="67">
        <v>1.1859999999999999</v>
      </c>
      <c r="I126" s="68">
        <v>6.64</v>
      </c>
      <c r="J126" s="128">
        <f t="shared" si="12"/>
        <v>7.88</v>
      </c>
    </row>
    <row r="127" spans="1:10" ht="39" customHeight="1">
      <c r="A127" s="64" t="s">
        <v>164</v>
      </c>
      <c r="B127" s="65" t="s">
        <v>405</v>
      </c>
      <c r="C127" s="64" t="s">
        <v>29</v>
      </c>
      <c r="D127" s="64" t="s">
        <v>406</v>
      </c>
      <c r="E127" s="157" t="s">
        <v>253</v>
      </c>
      <c r="F127" s="157"/>
      <c r="G127" s="66" t="s">
        <v>404</v>
      </c>
      <c r="H127" s="67">
        <v>9.0499999999999997E-2</v>
      </c>
      <c r="I127" s="68">
        <v>14.5</v>
      </c>
      <c r="J127" s="128">
        <f t="shared" si="12"/>
        <v>1.31</v>
      </c>
    </row>
    <row r="128" spans="1:10" ht="39" customHeight="1">
      <c r="A128" s="64" t="s">
        <v>164</v>
      </c>
      <c r="B128" s="65" t="s">
        <v>407</v>
      </c>
      <c r="C128" s="64" t="s">
        <v>29</v>
      </c>
      <c r="D128" s="64" t="s">
        <v>408</v>
      </c>
      <c r="E128" s="157" t="s">
        <v>253</v>
      </c>
      <c r="F128" s="157"/>
      <c r="G128" s="66" t="s">
        <v>404</v>
      </c>
      <c r="H128" s="67">
        <v>0.47399999999999998</v>
      </c>
      <c r="I128" s="68">
        <v>3.62</v>
      </c>
      <c r="J128" s="128">
        <f t="shared" si="12"/>
        <v>1.72</v>
      </c>
    </row>
    <row r="129" spans="1:10" ht="25.95" customHeight="1">
      <c r="A129" s="64" t="s">
        <v>164</v>
      </c>
      <c r="B129" s="65" t="s">
        <v>386</v>
      </c>
      <c r="C129" s="64" t="s">
        <v>29</v>
      </c>
      <c r="D129" s="64" t="s">
        <v>387</v>
      </c>
      <c r="E129" s="157" t="s">
        <v>167</v>
      </c>
      <c r="F129" s="157"/>
      <c r="G129" s="66" t="s">
        <v>126</v>
      </c>
      <c r="H129" s="67">
        <v>3.3000000000000002E-2</v>
      </c>
      <c r="I129" s="68">
        <v>27.62</v>
      </c>
      <c r="J129" s="128">
        <f t="shared" si="12"/>
        <v>0.91</v>
      </c>
    </row>
    <row r="130" spans="1:10" ht="24" customHeight="1">
      <c r="A130" s="64" t="s">
        <v>164</v>
      </c>
      <c r="B130" s="65" t="s">
        <v>409</v>
      </c>
      <c r="C130" s="64" t="s">
        <v>29</v>
      </c>
      <c r="D130" s="64" t="s">
        <v>410</v>
      </c>
      <c r="E130" s="157" t="s">
        <v>253</v>
      </c>
      <c r="F130" s="157"/>
      <c r="G130" s="66" t="s">
        <v>404</v>
      </c>
      <c r="H130" s="67">
        <v>1.1859999999999999</v>
      </c>
      <c r="I130" s="68">
        <v>3.62</v>
      </c>
      <c r="J130" s="128">
        <f t="shared" si="12"/>
        <v>4.29</v>
      </c>
    </row>
    <row r="131" spans="1:10" ht="30" customHeight="1" thickBot="1">
      <c r="A131" s="61"/>
      <c r="B131" s="61"/>
      <c r="C131" s="61"/>
      <c r="D131" s="61"/>
      <c r="E131" s="61"/>
      <c r="F131" s="61"/>
      <c r="G131" s="61" t="s">
        <v>158</v>
      </c>
      <c r="H131" s="62">
        <f>JANDUÍ!F20</f>
        <v>118.482</v>
      </c>
      <c r="I131" s="61" t="s">
        <v>159</v>
      </c>
      <c r="J131" s="127">
        <f>JANDUÍ!I20</f>
        <v>14757.07</v>
      </c>
    </row>
    <row r="132" spans="1:10" ht="1.05" customHeight="1" thickTop="1">
      <c r="A132" s="63"/>
      <c r="B132" s="63"/>
      <c r="C132" s="63"/>
      <c r="D132" s="63"/>
      <c r="E132" s="63"/>
      <c r="F132" s="63"/>
      <c r="G132" s="63"/>
      <c r="H132" s="63"/>
      <c r="I132" s="63"/>
      <c r="J132" s="129"/>
    </row>
    <row r="133" spans="1:10" ht="18" customHeight="1">
      <c r="A133" s="48" t="s">
        <v>323</v>
      </c>
      <c r="B133" s="49" t="s">
        <v>9</v>
      </c>
      <c r="C133" s="48" t="s">
        <v>10</v>
      </c>
      <c r="D133" s="48" t="s">
        <v>11</v>
      </c>
      <c r="E133" s="159" t="s">
        <v>150</v>
      </c>
      <c r="F133" s="159"/>
      <c r="G133" s="50" t="s">
        <v>12</v>
      </c>
      <c r="H133" s="49" t="s">
        <v>13</v>
      </c>
      <c r="I133" s="49" t="s">
        <v>14</v>
      </c>
      <c r="J133" s="133" t="s">
        <v>16</v>
      </c>
    </row>
    <row r="134" spans="1:10" ht="39" customHeight="1">
      <c r="A134" s="51" t="s">
        <v>151</v>
      </c>
      <c r="B134" s="52" t="s">
        <v>318</v>
      </c>
      <c r="C134" s="51" t="s">
        <v>29</v>
      </c>
      <c r="D134" s="51" t="s">
        <v>319</v>
      </c>
      <c r="E134" s="160" t="s">
        <v>172</v>
      </c>
      <c r="F134" s="160"/>
      <c r="G134" s="53" t="s">
        <v>126</v>
      </c>
      <c r="H134" s="54">
        <v>1</v>
      </c>
      <c r="I134" s="55">
        <f>JANDUÍ!G21</f>
        <v>14.74</v>
      </c>
      <c r="J134" s="128">
        <f t="shared" ref="J134:J139" si="13">ROUND(H134*I134,2)</f>
        <v>14.74</v>
      </c>
    </row>
    <row r="135" spans="1:10" ht="24" customHeight="1">
      <c r="A135" s="56" t="s">
        <v>153</v>
      </c>
      <c r="B135" s="57" t="s">
        <v>362</v>
      </c>
      <c r="C135" s="56" t="s">
        <v>29</v>
      </c>
      <c r="D135" s="56" t="s">
        <v>363</v>
      </c>
      <c r="E135" s="161" t="s">
        <v>152</v>
      </c>
      <c r="F135" s="161"/>
      <c r="G135" s="58" t="s">
        <v>24</v>
      </c>
      <c r="H135" s="59">
        <v>6.4000000000000003E-3</v>
      </c>
      <c r="I135" s="60">
        <v>20.27</v>
      </c>
      <c r="J135" s="128">
        <f t="shared" si="13"/>
        <v>0.13</v>
      </c>
    </row>
    <row r="136" spans="1:10" ht="24" customHeight="1">
      <c r="A136" s="56" t="s">
        <v>153</v>
      </c>
      <c r="B136" s="57" t="s">
        <v>364</v>
      </c>
      <c r="C136" s="56" t="s">
        <v>29</v>
      </c>
      <c r="D136" s="56" t="s">
        <v>365</v>
      </c>
      <c r="E136" s="161" t="s">
        <v>152</v>
      </c>
      <c r="F136" s="161"/>
      <c r="G136" s="58" t="s">
        <v>24</v>
      </c>
      <c r="H136" s="59">
        <v>3.9199999999999999E-2</v>
      </c>
      <c r="I136" s="60">
        <v>25.18</v>
      </c>
      <c r="J136" s="128">
        <f t="shared" si="13"/>
        <v>0.99</v>
      </c>
    </row>
    <row r="137" spans="1:10" ht="25.95" customHeight="1">
      <c r="A137" s="56" t="s">
        <v>153</v>
      </c>
      <c r="B137" s="57" t="s">
        <v>396</v>
      </c>
      <c r="C137" s="56" t="s">
        <v>29</v>
      </c>
      <c r="D137" s="56" t="s">
        <v>397</v>
      </c>
      <c r="E137" s="161" t="s">
        <v>172</v>
      </c>
      <c r="F137" s="161"/>
      <c r="G137" s="58" t="s">
        <v>126</v>
      </c>
      <c r="H137" s="59">
        <v>1</v>
      </c>
      <c r="I137" s="60">
        <v>12.87</v>
      </c>
      <c r="J137" s="128">
        <f t="shared" si="13"/>
        <v>12.87</v>
      </c>
    </row>
    <row r="138" spans="1:10" ht="39" customHeight="1">
      <c r="A138" s="64" t="s">
        <v>164</v>
      </c>
      <c r="B138" s="65" t="s">
        <v>368</v>
      </c>
      <c r="C138" s="64" t="s">
        <v>29</v>
      </c>
      <c r="D138" s="64" t="s">
        <v>369</v>
      </c>
      <c r="E138" s="157" t="s">
        <v>167</v>
      </c>
      <c r="F138" s="157"/>
      <c r="G138" s="66" t="s">
        <v>59</v>
      </c>
      <c r="H138" s="67">
        <v>0.54300000000000004</v>
      </c>
      <c r="I138" s="68">
        <v>0.18</v>
      </c>
      <c r="J138" s="128">
        <f t="shared" si="13"/>
        <v>0.1</v>
      </c>
    </row>
    <row r="139" spans="1:10" ht="25.95" customHeight="1">
      <c r="A139" s="64" t="s">
        <v>164</v>
      </c>
      <c r="B139" s="65" t="s">
        <v>195</v>
      </c>
      <c r="C139" s="64" t="s">
        <v>29</v>
      </c>
      <c r="D139" s="64" t="s">
        <v>196</v>
      </c>
      <c r="E139" s="157" t="s">
        <v>167</v>
      </c>
      <c r="F139" s="157"/>
      <c r="G139" s="66" t="s">
        <v>126</v>
      </c>
      <c r="H139" s="67">
        <v>2.5000000000000001E-2</v>
      </c>
      <c r="I139" s="68">
        <v>27</v>
      </c>
      <c r="J139" s="128">
        <f t="shared" si="13"/>
        <v>0.68</v>
      </c>
    </row>
    <row r="140" spans="1:10" ht="30" customHeight="1" thickBot="1">
      <c r="A140" s="61"/>
      <c r="B140" s="61"/>
      <c r="C140" s="61"/>
      <c r="D140" s="61"/>
      <c r="E140" s="61"/>
      <c r="F140" s="61"/>
      <c r="G140" s="61" t="s">
        <v>158</v>
      </c>
      <c r="H140" s="62">
        <f>JANDUÍ!F21</f>
        <v>1175.92796</v>
      </c>
      <c r="I140" s="61" t="s">
        <v>159</v>
      </c>
      <c r="J140" s="127">
        <f>JANDUÍ!I21</f>
        <v>21299.01</v>
      </c>
    </row>
    <row r="141" spans="1:10" ht="1.05" customHeight="1" thickTop="1">
      <c r="A141" s="63"/>
      <c r="B141" s="63"/>
      <c r="C141" s="63"/>
      <c r="D141" s="63"/>
      <c r="E141" s="63"/>
      <c r="F141" s="63"/>
      <c r="G141" s="63"/>
      <c r="H141" s="63"/>
      <c r="I141" s="63"/>
      <c r="J141" s="129"/>
    </row>
    <row r="142" spans="1:10" ht="18" customHeight="1">
      <c r="A142" s="48" t="s">
        <v>326</v>
      </c>
      <c r="B142" s="49" t="s">
        <v>9</v>
      </c>
      <c r="C142" s="48" t="s">
        <v>10</v>
      </c>
      <c r="D142" s="48" t="s">
        <v>11</v>
      </c>
      <c r="E142" s="159" t="s">
        <v>150</v>
      </c>
      <c r="F142" s="159"/>
      <c r="G142" s="50" t="s">
        <v>12</v>
      </c>
      <c r="H142" s="49" t="s">
        <v>13</v>
      </c>
      <c r="I142" s="49" t="s">
        <v>14</v>
      </c>
      <c r="J142" s="133" t="s">
        <v>16</v>
      </c>
    </row>
    <row r="143" spans="1:10" ht="39" customHeight="1">
      <c r="A143" s="51" t="s">
        <v>151</v>
      </c>
      <c r="B143" s="52" t="s">
        <v>775</v>
      </c>
      <c r="C143" s="51" t="s">
        <v>29</v>
      </c>
      <c r="D143" s="51" t="s">
        <v>776</v>
      </c>
      <c r="E143" s="160" t="s">
        <v>172</v>
      </c>
      <c r="F143" s="160"/>
      <c r="G143" s="53" t="s">
        <v>163</v>
      </c>
      <c r="H143" s="54">
        <v>1</v>
      </c>
      <c r="I143" s="55">
        <f>JANDUÍ!G22</f>
        <v>863.15</v>
      </c>
      <c r="J143" s="128">
        <f t="shared" ref="J143:J149" si="14">ROUND(H143*I143,2)</f>
        <v>863.15</v>
      </c>
    </row>
    <row r="144" spans="1:10" ht="24" customHeight="1">
      <c r="A144" s="56" t="s">
        <v>153</v>
      </c>
      <c r="B144" s="57" t="s">
        <v>168</v>
      </c>
      <c r="C144" s="56" t="s">
        <v>29</v>
      </c>
      <c r="D144" s="56" t="s">
        <v>169</v>
      </c>
      <c r="E144" s="161" t="s">
        <v>152</v>
      </c>
      <c r="F144" s="161"/>
      <c r="G144" s="58" t="s">
        <v>24</v>
      </c>
      <c r="H144" s="59">
        <v>2.4590000000000001</v>
      </c>
      <c r="I144" s="60">
        <v>25</v>
      </c>
      <c r="J144" s="128">
        <f t="shared" si="14"/>
        <v>61.48</v>
      </c>
    </row>
    <row r="145" spans="1:10" ht="24" customHeight="1">
      <c r="A145" s="56" t="s">
        <v>153</v>
      </c>
      <c r="B145" s="57" t="s">
        <v>154</v>
      </c>
      <c r="C145" s="56" t="s">
        <v>29</v>
      </c>
      <c r="D145" s="56" t="s">
        <v>155</v>
      </c>
      <c r="E145" s="161" t="s">
        <v>152</v>
      </c>
      <c r="F145" s="161"/>
      <c r="G145" s="58" t="s">
        <v>24</v>
      </c>
      <c r="H145" s="59">
        <v>2.4590000000000001</v>
      </c>
      <c r="I145" s="60">
        <v>25.38</v>
      </c>
      <c r="J145" s="128">
        <f t="shared" si="14"/>
        <v>62.41</v>
      </c>
    </row>
    <row r="146" spans="1:10" ht="24" customHeight="1">
      <c r="A146" s="56" t="s">
        <v>153</v>
      </c>
      <c r="B146" s="57" t="s">
        <v>156</v>
      </c>
      <c r="C146" s="56" t="s">
        <v>29</v>
      </c>
      <c r="D146" s="56" t="s">
        <v>157</v>
      </c>
      <c r="E146" s="161" t="s">
        <v>152</v>
      </c>
      <c r="F146" s="161"/>
      <c r="G146" s="58" t="s">
        <v>24</v>
      </c>
      <c r="H146" s="59">
        <v>7.3769999999999998</v>
      </c>
      <c r="I146" s="60">
        <v>20.420000000000002</v>
      </c>
      <c r="J146" s="128">
        <f t="shared" si="14"/>
        <v>150.63999999999999</v>
      </c>
    </row>
    <row r="147" spans="1:10" ht="39" customHeight="1">
      <c r="A147" s="56" t="s">
        <v>153</v>
      </c>
      <c r="B147" s="57" t="s">
        <v>388</v>
      </c>
      <c r="C147" s="56" t="s">
        <v>29</v>
      </c>
      <c r="D147" s="56" t="s">
        <v>389</v>
      </c>
      <c r="E147" s="161" t="s">
        <v>278</v>
      </c>
      <c r="F147" s="161"/>
      <c r="G147" s="58" t="s">
        <v>279</v>
      </c>
      <c r="H147" s="59">
        <v>1.042</v>
      </c>
      <c r="I147" s="60">
        <v>1.28</v>
      </c>
      <c r="J147" s="128">
        <f t="shared" si="14"/>
        <v>1.33</v>
      </c>
    </row>
    <row r="148" spans="1:10" ht="39" customHeight="1">
      <c r="A148" s="56" t="s">
        <v>153</v>
      </c>
      <c r="B148" s="57" t="s">
        <v>390</v>
      </c>
      <c r="C148" s="56" t="s">
        <v>29</v>
      </c>
      <c r="D148" s="56" t="s">
        <v>391</v>
      </c>
      <c r="E148" s="161" t="s">
        <v>278</v>
      </c>
      <c r="F148" s="161"/>
      <c r="G148" s="58" t="s">
        <v>282</v>
      </c>
      <c r="H148" s="59">
        <v>1.417</v>
      </c>
      <c r="I148" s="60">
        <v>0.49</v>
      </c>
      <c r="J148" s="128">
        <f t="shared" si="14"/>
        <v>0.69</v>
      </c>
    </row>
    <row r="149" spans="1:10" ht="39" customHeight="1">
      <c r="A149" s="64" t="s">
        <v>164</v>
      </c>
      <c r="B149" s="65" t="s">
        <v>843</v>
      </c>
      <c r="C149" s="64" t="s">
        <v>29</v>
      </c>
      <c r="D149" s="64" t="s">
        <v>844</v>
      </c>
      <c r="E149" s="157" t="s">
        <v>167</v>
      </c>
      <c r="F149" s="157"/>
      <c r="G149" s="66" t="s">
        <v>163</v>
      </c>
      <c r="H149" s="67">
        <v>1.103</v>
      </c>
      <c r="I149" s="68">
        <v>531.85</v>
      </c>
      <c r="J149" s="128">
        <f t="shared" si="14"/>
        <v>586.63</v>
      </c>
    </row>
    <row r="150" spans="1:10" ht="30" customHeight="1" thickBot="1">
      <c r="A150" s="61"/>
      <c r="B150" s="61"/>
      <c r="C150" s="61"/>
      <c r="D150" s="61"/>
      <c r="E150" s="61"/>
      <c r="F150" s="61"/>
      <c r="G150" s="61" t="s">
        <v>158</v>
      </c>
      <c r="H150" s="62">
        <f>JANDUÍ!F22</f>
        <v>12.555</v>
      </c>
      <c r="I150" s="61" t="s">
        <v>159</v>
      </c>
      <c r="J150" s="127">
        <f>JANDUÍ!I22</f>
        <v>13316.32</v>
      </c>
    </row>
    <row r="151" spans="1:10" ht="1.05" customHeight="1" thickTop="1">
      <c r="A151" s="63"/>
      <c r="B151" s="63"/>
      <c r="C151" s="63"/>
      <c r="D151" s="63"/>
      <c r="E151" s="63"/>
      <c r="F151" s="63"/>
      <c r="G151" s="63"/>
      <c r="H151" s="63"/>
      <c r="I151" s="63"/>
      <c r="J151" s="129"/>
    </row>
    <row r="152" spans="1:10" ht="18" customHeight="1">
      <c r="A152" s="48" t="s">
        <v>777</v>
      </c>
      <c r="B152" s="49" t="s">
        <v>9</v>
      </c>
      <c r="C152" s="48" t="s">
        <v>10</v>
      </c>
      <c r="D152" s="48" t="s">
        <v>11</v>
      </c>
      <c r="E152" s="159" t="s">
        <v>150</v>
      </c>
      <c r="F152" s="159"/>
      <c r="G152" s="50" t="s">
        <v>12</v>
      </c>
      <c r="H152" s="49" t="s">
        <v>13</v>
      </c>
      <c r="I152" s="49" t="s">
        <v>14</v>
      </c>
      <c r="J152" s="133" t="s">
        <v>16</v>
      </c>
    </row>
    <row r="153" spans="1:10" ht="39" customHeight="1">
      <c r="A153" s="51" t="s">
        <v>151</v>
      </c>
      <c r="B153" s="52" t="s">
        <v>778</v>
      </c>
      <c r="C153" s="51" t="s">
        <v>29</v>
      </c>
      <c r="D153" s="51" t="s">
        <v>779</v>
      </c>
      <c r="E153" s="160" t="s">
        <v>172</v>
      </c>
      <c r="F153" s="160"/>
      <c r="G153" s="53" t="s">
        <v>163</v>
      </c>
      <c r="H153" s="54">
        <v>1</v>
      </c>
      <c r="I153" s="55">
        <f>JANDUÍ!G23</f>
        <v>610.57000000000005</v>
      </c>
      <c r="J153" s="128">
        <f t="shared" ref="J153:J159" si="15">ROUND(H153*I153,2)</f>
        <v>610.57000000000005</v>
      </c>
    </row>
    <row r="154" spans="1:10" ht="24" customHeight="1">
      <c r="A154" s="56" t="s">
        <v>153</v>
      </c>
      <c r="B154" s="57" t="s">
        <v>168</v>
      </c>
      <c r="C154" s="56" t="s">
        <v>29</v>
      </c>
      <c r="D154" s="56" t="s">
        <v>169</v>
      </c>
      <c r="E154" s="161" t="s">
        <v>152</v>
      </c>
      <c r="F154" s="161"/>
      <c r="G154" s="58" t="s">
        <v>24</v>
      </c>
      <c r="H154" s="59">
        <v>0.186</v>
      </c>
      <c r="I154" s="60">
        <v>25</v>
      </c>
      <c r="J154" s="128">
        <f t="shared" si="15"/>
        <v>4.6500000000000004</v>
      </c>
    </row>
    <row r="155" spans="1:10" ht="24" customHeight="1">
      <c r="A155" s="56" t="s">
        <v>153</v>
      </c>
      <c r="B155" s="57" t="s">
        <v>154</v>
      </c>
      <c r="C155" s="56" t="s">
        <v>29</v>
      </c>
      <c r="D155" s="56" t="s">
        <v>155</v>
      </c>
      <c r="E155" s="161" t="s">
        <v>152</v>
      </c>
      <c r="F155" s="161"/>
      <c r="G155" s="58" t="s">
        <v>24</v>
      </c>
      <c r="H155" s="59">
        <v>1.119</v>
      </c>
      <c r="I155" s="60">
        <v>25.38</v>
      </c>
      <c r="J155" s="128">
        <f t="shared" si="15"/>
        <v>28.4</v>
      </c>
    </row>
    <row r="156" spans="1:10" ht="24" customHeight="1">
      <c r="A156" s="56" t="s">
        <v>153</v>
      </c>
      <c r="B156" s="57" t="s">
        <v>156</v>
      </c>
      <c r="C156" s="56" t="s">
        <v>29</v>
      </c>
      <c r="D156" s="56" t="s">
        <v>157</v>
      </c>
      <c r="E156" s="161" t="s">
        <v>152</v>
      </c>
      <c r="F156" s="161"/>
      <c r="G156" s="58" t="s">
        <v>24</v>
      </c>
      <c r="H156" s="59">
        <v>1.1919999999999999</v>
      </c>
      <c r="I156" s="60">
        <v>20.420000000000002</v>
      </c>
      <c r="J156" s="128">
        <f t="shared" si="15"/>
        <v>24.34</v>
      </c>
    </row>
    <row r="157" spans="1:10" ht="39" customHeight="1">
      <c r="A157" s="56" t="s">
        <v>153</v>
      </c>
      <c r="B157" s="57" t="s">
        <v>388</v>
      </c>
      <c r="C157" s="56" t="s">
        <v>29</v>
      </c>
      <c r="D157" s="56" t="s">
        <v>389</v>
      </c>
      <c r="E157" s="161" t="s">
        <v>278</v>
      </c>
      <c r="F157" s="161"/>
      <c r="G157" s="58" t="s">
        <v>279</v>
      </c>
      <c r="H157" s="59">
        <v>0.19400000000000001</v>
      </c>
      <c r="I157" s="60">
        <v>1.28</v>
      </c>
      <c r="J157" s="128">
        <f t="shared" si="15"/>
        <v>0.25</v>
      </c>
    </row>
    <row r="158" spans="1:10" ht="39" customHeight="1">
      <c r="A158" s="56" t="s">
        <v>153</v>
      </c>
      <c r="B158" s="57" t="s">
        <v>390</v>
      </c>
      <c r="C158" s="56" t="s">
        <v>29</v>
      </c>
      <c r="D158" s="56" t="s">
        <v>391</v>
      </c>
      <c r="E158" s="161" t="s">
        <v>278</v>
      </c>
      <c r="F158" s="161"/>
      <c r="G158" s="58" t="s">
        <v>282</v>
      </c>
      <c r="H158" s="59">
        <v>0.17899999999999999</v>
      </c>
      <c r="I158" s="60">
        <v>0.49</v>
      </c>
      <c r="J158" s="128">
        <f t="shared" si="15"/>
        <v>0.09</v>
      </c>
    </row>
    <row r="159" spans="1:10" ht="39" customHeight="1">
      <c r="A159" s="64" t="s">
        <v>164</v>
      </c>
      <c r="B159" s="65" t="s">
        <v>398</v>
      </c>
      <c r="C159" s="64" t="s">
        <v>29</v>
      </c>
      <c r="D159" s="64" t="s">
        <v>399</v>
      </c>
      <c r="E159" s="157" t="s">
        <v>167</v>
      </c>
      <c r="F159" s="157"/>
      <c r="G159" s="66" t="s">
        <v>163</v>
      </c>
      <c r="H159" s="67">
        <v>1.103</v>
      </c>
      <c r="I159" s="68">
        <v>501.24</v>
      </c>
      <c r="J159" s="128">
        <f t="shared" si="15"/>
        <v>552.87</v>
      </c>
    </row>
    <row r="160" spans="1:10" ht="30" customHeight="1" thickBot="1">
      <c r="A160" s="61"/>
      <c r="B160" s="61"/>
      <c r="C160" s="61"/>
      <c r="D160" s="61"/>
      <c r="E160" s="61"/>
      <c r="F160" s="61"/>
      <c r="G160" s="61" t="s">
        <v>158</v>
      </c>
      <c r="H160" s="62">
        <f>JANDUÍ!F23</f>
        <v>8.8861500000000007</v>
      </c>
      <c r="I160" s="61" t="s">
        <v>159</v>
      </c>
      <c r="J160" s="127">
        <f>JANDUÍ!I23</f>
        <v>6667</v>
      </c>
    </row>
    <row r="161" spans="1:11" ht="1.05" customHeight="1" thickTop="1">
      <c r="A161" s="63"/>
      <c r="B161" s="63"/>
      <c r="C161" s="63"/>
      <c r="D161" s="63"/>
      <c r="E161" s="63"/>
      <c r="F161" s="63"/>
      <c r="G161" s="63"/>
      <c r="H161" s="63"/>
      <c r="I161" s="63"/>
      <c r="J161" s="129"/>
    </row>
    <row r="162" spans="1:11" ht="24" customHeight="1">
      <c r="A162" s="45" t="s">
        <v>41</v>
      </c>
      <c r="B162" s="45"/>
      <c r="C162" s="45"/>
      <c r="D162" s="45" t="s">
        <v>483</v>
      </c>
      <c r="E162" s="45"/>
      <c r="F162" s="158"/>
      <c r="G162" s="158"/>
      <c r="H162" s="46"/>
      <c r="I162" s="45"/>
      <c r="J162" s="130">
        <f>SUM(J169,J179)</f>
        <v>154107.53</v>
      </c>
    </row>
    <row r="163" spans="1:11" ht="18" customHeight="1">
      <c r="A163" s="48" t="s">
        <v>43</v>
      </c>
      <c r="B163" s="49" t="s">
        <v>9</v>
      </c>
      <c r="C163" s="48" t="s">
        <v>10</v>
      </c>
      <c r="D163" s="48" t="s">
        <v>11</v>
      </c>
      <c r="E163" s="159" t="s">
        <v>150</v>
      </c>
      <c r="F163" s="159"/>
      <c r="G163" s="50" t="s">
        <v>12</v>
      </c>
      <c r="H163" s="49" t="s">
        <v>13</v>
      </c>
      <c r="I163" s="49" t="s">
        <v>14</v>
      </c>
      <c r="J163" s="133" t="s">
        <v>16</v>
      </c>
    </row>
    <row r="164" spans="1:11" ht="25.95" customHeight="1">
      <c r="A164" s="51" t="s">
        <v>151</v>
      </c>
      <c r="B164" s="52" t="s">
        <v>484</v>
      </c>
      <c r="C164" s="51" t="s">
        <v>22</v>
      </c>
      <c r="D164" s="51" t="s">
        <v>485</v>
      </c>
      <c r="E164" s="160" t="s">
        <v>205</v>
      </c>
      <c r="F164" s="160"/>
      <c r="G164" s="53" t="s">
        <v>71</v>
      </c>
      <c r="H164" s="54">
        <v>1</v>
      </c>
      <c r="I164" s="55">
        <f>JANDUÍ!G25</f>
        <v>698.18</v>
      </c>
      <c r="J164" s="128">
        <f t="shared" ref="J164:J168" si="16">ROUND(H164*I164,2)</f>
        <v>698.18</v>
      </c>
    </row>
    <row r="165" spans="1:11" ht="24" customHeight="1">
      <c r="A165" s="56" t="s">
        <v>153</v>
      </c>
      <c r="B165" s="57" t="s">
        <v>156</v>
      </c>
      <c r="C165" s="56" t="s">
        <v>29</v>
      </c>
      <c r="D165" s="56" t="s">
        <v>157</v>
      </c>
      <c r="E165" s="161" t="s">
        <v>152</v>
      </c>
      <c r="F165" s="161"/>
      <c r="G165" s="58" t="s">
        <v>24</v>
      </c>
      <c r="H165" s="59">
        <v>9.1999999999999993</v>
      </c>
      <c r="I165" s="60">
        <v>20.420000000000002</v>
      </c>
      <c r="J165" s="128">
        <f t="shared" si="16"/>
        <v>187.86</v>
      </c>
      <c r="K165" s="143"/>
    </row>
    <row r="166" spans="1:11" ht="24" customHeight="1">
      <c r="A166" s="56" t="s">
        <v>153</v>
      </c>
      <c r="B166" s="57" t="s">
        <v>154</v>
      </c>
      <c r="C166" s="56" t="s">
        <v>29</v>
      </c>
      <c r="D166" s="56" t="s">
        <v>155</v>
      </c>
      <c r="E166" s="161" t="s">
        <v>152</v>
      </c>
      <c r="F166" s="161"/>
      <c r="G166" s="58" t="s">
        <v>24</v>
      </c>
      <c r="H166" s="59">
        <v>8.5</v>
      </c>
      <c r="I166" s="60">
        <v>25.38</v>
      </c>
      <c r="J166" s="128">
        <f t="shared" si="16"/>
        <v>215.73</v>
      </c>
    </row>
    <row r="167" spans="1:11" ht="25.95" customHeight="1">
      <c r="A167" s="56" t="s">
        <v>153</v>
      </c>
      <c r="B167" s="57" t="s">
        <v>578</v>
      </c>
      <c r="C167" s="56" t="s">
        <v>29</v>
      </c>
      <c r="D167" s="56" t="s">
        <v>579</v>
      </c>
      <c r="E167" s="161" t="s">
        <v>152</v>
      </c>
      <c r="F167" s="161"/>
      <c r="G167" s="58" t="s">
        <v>163</v>
      </c>
      <c r="H167" s="59">
        <v>0.3</v>
      </c>
      <c r="I167" s="60">
        <v>590.29999999999995</v>
      </c>
      <c r="J167" s="128">
        <f t="shared" si="16"/>
        <v>177.09</v>
      </c>
    </row>
    <row r="168" spans="1:11" ht="39" customHeight="1">
      <c r="A168" s="64" t="s">
        <v>164</v>
      </c>
      <c r="B168" s="65" t="s">
        <v>580</v>
      </c>
      <c r="C168" s="64" t="s">
        <v>29</v>
      </c>
      <c r="D168" s="64" t="s">
        <v>581</v>
      </c>
      <c r="E168" s="157" t="s">
        <v>167</v>
      </c>
      <c r="F168" s="157"/>
      <c r="G168" s="66" t="s">
        <v>59</v>
      </c>
      <c r="H168" s="67">
        <v>235</v>
      </c>
      <c r="I168" s="68">
        <v>0.5</v>
      </c>
      <c r="J168" s="128">
        <f t="shared" si="16"/>
        <v>117.5</v>
      </c>
    </row>
    <row r="169" spans="1:11" ht="30" customHeight="1" thickBot="1">
      <c r="A169" s="61"/>
      <c r="B169" s="61"/>
      <c r="C169" s="61"/>
      <c r="D169" s="61"/>
      <c r="E169" s="61"/>
      <c r="F169" s="61"/>
      <c r="G169" s="61" t="s">
        <v>158</v>
      </c>
      <c r="H169" s="62">
        <f>JANDUÍ!F25</f>
        <v>72.89</v>
      </c>
      <c r="I169" s="61" t="s">
        <v>159</v>
      </c>
      <c r="J169" s="127">
        <f>JANDUÍ!I25</f>
        <v>62534.05</v>
      </c>
    </row>
    <row r="170" spans="1:11" ht="1.05" customHeight="1" thickTop="1">
      <c r="A170" s="63"/>
      <c r="B170" s="63"/>
      <c r="C170" s="63"/>
      <c r="D170" s="63"/>
      <c r="E170" s="63"/>
      <c r="F170" s="63"/>
      <c r="G170" s="63"/>
      <c r="H170" s="63"/>
      <c r="I170" s="63"/>
      <c r="J170" s="129"/>
    </row>
    <row r="171" spans="1:11" ht="18" customHeight="1">
      <c r="A171" s="48" t="s">
        <v>47</v>
      </c>
      <c r="B171" s="49" t="s">
        <v>9</v>
      </c>
      <c r="C171" s="48" t="s">
        <v>10</v>
      </c>
      <c r="D171" s="48" t="s">
        <v>11</v>
      </c>
      <c r="E171" s="159" t="s">
        <v>150</v>
      </c>
      <c r="F171" s="159"/>
      <c r="G171" s="50" t="s">
        <v>12</v>
      </c>
      <c r="H171" s="49" t="s">
        <v>13</v>
      </c>
      <c r="I171" s="49" t="s">
        <v>14</v>
      </c>
      <c r="J171" s="133" t="s">
        <v>16</v>
      </c>
    </row>
    <row r="172" spans="1:11" ht="52.05" customHeight="1">
      <c r="A172" s="51" t="s">
        <v>151</v>
      </c>
      <c r="B172" s="52" t="s">
        <v>486</v>
      </c>
      <c r="C172" s="51" t="s">
        <v>29</v>
      </c>
      <c r="D172" s="51" t="s">
        <v>487</v>
      </c>
      <c r="E172" s="160" t="s">
        <v>582</v>
      </c>
      <c r="F172" s="160"/>
      <c r="G172" s="53" t="s">
        <v>31</v>
      </c>
      <c r="H172" s="54">
        <v>1</v>
      </c>
      <c r="I172" s="55">
        <f>JANDUÍ!G26</f>
        <v>79.7</v>
      </c>
      <c r="J172" s="128">
        <f t="shared" ref="J172:J178" si="17">ROUND(H172*I172,2)</f>
        <v>79.7</v>
      </c>
    </row>
    <row r="173" spans="1:11" ht="52.05" customHeight="1">
      <c r="A173" s="56" t="s">
        <v>153</v>
      </c>
      <c r="B173" s="57" t="s">
        <v>583</v>
      </c>
      <c r="C173" s="56" t="s">
        <v>29</v>
      </c>
      <c r="D173" s="56" t="s">
        <v>584</v>
      </c>
      <c r="E173" s="161" t="s">
        <v>152</v>
      </c>
      <c r="F173" s="161"/>
      <c r="G173" s="58" t="s">
        <v>163</v>
      </c>
      <c r="H173" s="59">
        <v>9.1000000000000004E-3</v>
      </c>
      <c r="I173" s="60">
        <v>748.06</v>
      </c>
      <c r="J173" s="128">
        <f t="shared" si="17"/>
        <v>6.81</v>
      </c>
      <c r="K173" s="143"/>
    </row>
    <row r="174" spans="1:11" ht="24" customHeight="1">
      <c r="A174" s="56" t="s">
        <v>153</v>
      </c>
      <c r="B174" s="57" t="s">
        <v>154</v>
      </c>
      <c r="C174" s="56" t="s">
        <v>29</v>
      </c>
      <c r="D174" s="56" t="s">
        <v>155</v>
      </c>
      <c r="E174" s="161" t="s">
        <v>152</v>
      </c>
      <c r="F174" s="161"/>
      <c r="G174" s="58" t="s">
        <v>24</v>
      </c>
      <c r="H174" s="59">
        <v>1.61</v>
      </c>
      <c r="I174" s="60">
        <v>25.38</v>
      </c>
      <c r="J174" s="128">
        <f t="shared" si="17"/>
        <v>40.86</v>
      </c>
    </row>
    <row r="175" spans="1:11" ht="24" customHeight="1">
      <c r="A175" s="56" t="s">
        <v>153</v>
      </c>
      <c r="B175" s="57" t="s">
        <v>156</v>
      </c>
      <c r="C175" s="56" t="s">
        <v>29</v>
      </c>
      <c r="D175" s="56" t="s">
        <v>157</v>
      </c>
      <c r="E175" s="161" t="s">
        <v>152</v>
      </c>
      <c r="F175" s="161"/>
      <c r="G175" s="58" t="s">
        <v>24</v>
      </c>
      <c r="H175" s="59">
        <v>0.80500000000000005</v>
      </c>
      <c r="I175" s="60">
        <v>20.420000000000002</v>
      </c>
      <c r="J175" s="128">
        <f t="shared" si="17"/>
        <v>16.440000000000001</v>
      </c>
    </row>
    <row r="176" spans="1:11" ht="39" customHeight="1">
      <c r="A176" s="64" t="s">
        <v>164</v>
      </c>
      <c r="B176" s="65" t="s">
        <v>580</v>
      </c>
      <c r="C176" s="64" t="s">
        <v>29</v>
      </c>
      <c r="D176" s="64" t="s">
        <v>581</v>
      </c>
      <c r="E176" s="157" t="s">
        <v>167</v>
      </c>
      <c r="F176" s="157"/>
      <c r="G176" s="66" t="s">
        <v>59</v>
      </c>
      <c r="H176" s="67">
        <v>28.31</v>
      </c>
      <c r="I176" s="68">
        <v>0.5</v>
      </c>
      <c r="J176" s="128">
        <f t="shared" si="17"/>
        <v>14.16</v>
      </c>
    </row>
    <row r="177" spans="1:10" ht="39" customHeight="1">
      <c r="A177" s="64" t="s">
        <v>164</v>
      </c>
      <c r="B177" s="65" t="s">
        <v>585</v>
      </c>
      <c r="C177" s="64" t="s">
        <v>29</v>
      </c>
      <c r="D177" s="64" t="s">
        <v>586</v>
      </c>
      <c r="E177" s="157" t="s">
        <v>167</v>
      </c>
      <c r="F177" s="157"/>
      <c r="G177" s="66" t="s">
        <v>40</v>
      </c>
      <c r="H177" s="67">
        <v>0.42</v>
      </c>
      <c r="I177" s="68">
        <v>3</v>
      </c>
      <c r="J177" s="128">
        <f t="shared" si="17"/>
        <v>1.26</v>
      </c>
    </row>
    <row r="178" spans="1:10" ht="24" customHeight="1">
      <c r="A178" s="64" t="s">
        <v>164</v>
      </c>
      <c r="B178" s="65" t="s">
        <v>587</v>
      </c>
      <c r="C178" s="64" t="s">
        <v>29</v>
      </c>
      <c r="D178" s="64" t="s">
        <v>588</v>
      </c>
      <c r="E178" s="157" t="s">
        <v>167</v>
      </c>
      <c r="F178" s="157"/>
      <c r="G178" s="66" t="s">
        <v>258</v>
      </c>
      <c r="H178" s="67">
        <v>5.0000000000000001E-3</v>
      </c>
      <c r="I178" s="68">
        <v>41.52</v>
      </c>
      <c r="J178" s="128">
        <f t="shared" si="17"/>
        <v>0.21</v>
      </c>
    </row>
    <row r="179" spans="1:10" ht="30" customHeight="1" thickBot="1">
      <c r="A179" s="61"/>
      <c r="B179" s="61"/>
      <c r="C179" s="61"/>
      <c r="D179" s="61"/>
      <c r="E179" s="61"/>
      <c r="F179" s="61"/>
      <c r="G179" s="61" t="s">
        <v>158</v>
      </c>
      <c r="H179" s="62">
        <f>JANDUÍ!F26</f>
        <v>935.04</v>
      </c>
      <c r="I179" s="61" t="s">
        <v>159</v>
      </c>
      <c r="J179" s="127">
        <f>JANDUÍ!I26</f>
        <v>91573.48</v>
      </c>
    </row>
    <row r="180" spans="1:10" ht="1.05" customHeight="1" thickTop="1">
      <c r="A180" s="63"/>
      <c r="B180" s="63"/>
      <c r="C180" s="63"/>
      <c r="D180" s="63"/>
      <c r="E180" s="63"/>
      <c r="F180" s="63"/>
      <c r="G180" s="63"/>
      <c r="H180" s="63"/>
      <c r="I180" s="63"/>
      <c r="J180" s="129"/>
    </row>
    <row r="181" spans="1:10" ht="24" customHeight="1">
      <c r="A181" s="45" t="s">
        <v>50</v>
      </c>
      <c r="B181" s="45"/>
      <c r="C181" s="45"/>
      <c r="D181" s="45" t="s">
        <v>488</v>
      </c>
      <c r="E181" s="45"/>
      <c r="F181" s="158"/>
      <c r="G181" s="158"/>
      <c r="H181" s="46"/>
      <c r="I181" s="45"/>
      <c r="J181" s="130">
        <f>SUM(J187,J194,J203)</f>
        <v>128261.43</v>
      </c>
    </row>
    <row r="182" spans="1:10" ht="18" customHeight="1">
      <c r="A182" s="48" t="s">
        <v>52</v>
      </c>
      <c r="B182" s="49" t="s">
        <v>9</v>
      </c>
      <c r="C182" s="48" t="s">
        <v>10</v>
      </c>
      <c r="D182" s="48" t="s">
        <v>11</v>
      </c>
      <c r="E182" s="159" t="s">
        <v>150</v>
      </c>
      <c r="F182" s="159"/>
      <c r="G182" s="50" t="s">
        <v>12</v>
      </c>
      <c r="H182" s="49" t="s">
        <v>13</v>
      </c>
      <c r="I182" s="49" t="s">
        <v>14</v>
      </c>
      <c r="J182" s="133" t="s">
        <v>16</v>
      </c>
    </row>
    <row r="183" spans="1:10" ht="39" customHeight="1">
      <c r="A183" s="51" t="s">
        <v>151</v>
      </c>
      <c r="B183" s="52" t="s">
        <v>489</v>
      </c>
      <c r="C183" s="51" t="s">
        <v>29</v>
      </c>
      <c r="D183" s="51" t="s">
        <v>490</v>
      </c>
      <c r="E183" s="160" t="s">
        <v>244</v>
      </c>
      <c r="F183" s="160"/>
      <c r="G183" s="53" t="s">
        <v>31</v>
      </c>
      <c r="H183" s="54">
        <v>1</v>
      </c>
      <c r="I183" s="55">
        <f>JANDUÍ!G28</f>
        <v>4.62</v>
      </c>
      <c r="J183" s="128">
        <f t="shared" ref="J183:J186" si="18">ROUND(H183*I183,2)</f>
        <v>4.62</v>
      </c>
    </row>
    <row r="184" spans="1:10" ht="39" customHeight="1">
      <c r="A184" s="56" t="s">
        <v>153</v>
      </c>
      <c r="B184" s="57" t="s">
        <v>589</v>
      </c>
      <c r="C184" s="56" t="s">
        <v>29</v>
      </c>
      <c r="D184" s="56" t="s">
        <v>590</v>
      </c>
      <c r="E184" s="161" t="s">
        <v>152</v>
      </c>
      <c r="F184" s="161"/>
      <c r="G184" s="58" t="s">
        <v>163</v>
      </c>
      <c r="H184" s="59">
        <v>3.7000000000000002E-3</v>
      </c>
      <c r="I184" s="60">
        <v>643.69000000000005</v>
      </c>
      <c r="J184" s="128">
        <f t="shared" si="18"/>
        <v>2.38</v>
      </c>
    </row>
    <row r="185" spans="1:10" ht="24" customHeight="1">
      <c r="A185" s="56" t="s">
        <v>153</v>
      </c>
      <c r="B185" s="57" t="s">
        <v>154</v>
      </c>
      <c r="C185" s="56" t="s">
        <v>29</v>
      </c>
      <c r="D185" s="56" t="s">
        <v>155</v>
      </c>
      <c r="E185" s="161" t="s">
        <v>152</v>
      </c>
      <c r="F185" s="161"/>
      <c r="G185" s="58" t="s">
        <v>24</v>
      </c>
      <c r="H185" s="59">
        <v>6.8099999999999994E-2</v>
      </c>
      <c r="I185" s="60">
        <v>25.38</v>
      </c>
      <c r="J185" s="128">
        <f t="shared" si="18"/>
        <v>1.73</v>
      </c>
    </row>
    <row r="186" spans="1:10" ht="24" customHeight="1">
      <c r="A186" s="56" t="s">
        <v>153</v>
      </c>
      <c r="B186" s="57" t="s">
        <v>156</v>
      </c>
      <c r="C186" s="56" t="s">
        <v>29</v>
      </c>
      <c r="D186" s="56" t="s">
        <v>157</v>
      </c>
      <c r="E186" s="161" t="s">
        <v>152</v>
      </c>
      <c r="F186" s="161"/>
      <c r="G186" s="58" t="s">
        <v>24</v>
      </c>
      <c r="H186" s="59">
        <v>2.5499999999999998E-2</v>
      </c>
      <c r="I186" s="60">
        <v>20.420000000000002</v>
      </c>
      <c r="J186" s="128">
        <f t="shared" si="18"/>
        <v>0.52</v>
      </c>
    </row>
    <row r="187" spans="1:10" ht="30" customHeight="1" thickBot="1">
      <c r="A187" s="61"/>
      <c r="B187" s="61"/>
      <c r="C187" s="61"/>
      <c r="D187" s="61"/>
      <c r="E187" s="61"/>
      <c r="F187" s="61"/>
      <c r="G187" s="61" t="s">
        <v>158</v>
      </c>
      <c r="H187" s="62">
        <f>JANDUÍ!F28</f>
        <v>1870.08</v>
      </c>
      <c r="I187" s="61" t="s">
        <v>159</v>
      </c>
      <c r="J187" s="127">
        <f>JANDUÍ!I28</f>
        <v>10616.55</v>
      </c>
    </row>
    <row r="188" spans="1:10" ht="1.05" customHeight="1" thickTop="1">
      <c r="A188" s="63"/>
      <c r="B188" s="63"/>
      <c r="C188" s="63"/>
      <c r="D188" s="63"/>
      <c r="E188" s="63"/>
      <c r="F188" s="63"/>
      <c r="G188" s="63"/>
      <c r="H188" s="63"/>
      <c r="I188" s="63"/>
      <c r="J188" s="129"/>
    </row>
    <row r="189" spans="1:10" ht="18" customHeight="1">
      <c r="A189" s="48" t="s">
        <v>56</v>
      </c>
      <c r="B189" s="49" t="s">
        <v>9</v>
      </c>
      <c r="C189" s="48" t="s">
        <v>10</v>
      </c>
      <c r="D189" s="48" t="s">
        <v>11</v>
      </c>
      <c r="E189" s="159" t="s">
        <v>150</v>
      </c>
      <c r="F189" s="159"/>
      <c r="G189" s="50" t="s">
        <v>12</v>
      </c>
      <c r="H189" s="49" t="s">
        <v>13</v>
      </c>
      <c r="I189" s="49" t="s">
        <v>14</v>
      </c>
      <c r="J189" s="133" t="s">
        <v>16</v>
      </c>
    </row>
    <row r="190" spans="1:10" ht="64.95" customHeight="1">
      <c r="A190" s="51" t="s">
        <v>151</v>
      </c>
      <c r="B190" s="52" t="s">
        <v>333</v>
      </c>
      <c r="C190" s="51" t="s">
        <v>29</v>
      </c>
      <c r="D190" s="51" t="s">
        <v>334</v>
      </c>
      <c r="E190" s="160" t="s">
        <v>244</v>
      </c>
      <c r="F190" s="160"/>
      <c r="G190" s="53" t="s">
        <v>31</v>
      </c>
      <c r="H190" s="54">
        <v>1</v>
      </c>
      <c r="I190" s="55">
        <f>JANDUÍ!G29</f>
        <v>40.24</v>
      </c>
      <c r="J190" s="128">
        <f t="shared" ref="J190:J193" si="19">ROUND(H190*I190,2)</f>
        <v>40.24</v>
      </c>
    </row>
    <row r="191" spans="1:10" ht="52.05" customHeight="1">
      <c r="A191" s="56" t="s">
        <v>153</v>
      </c>
      <c r="B191" s="57" t="s">
        <v>417</v>
      </c>
      <c r="C191" s="56" t="s">
        <v>29</v>
      </c>
      <c r="D191" s="56" t="s">
        <v>418</v>
      </c>
      <c r="E191" s="161" t="s">
        <v>152</v>
      </c>
      <c r="F191" s="161"/>
      <c r="G191" s="58" t="s">
        <v>163</v>
      </c>
      <c r="H191" s="59">
        <v>3.7600000000000001E-2</v>
      </c>
      <c r="I191" s="60">
        <v>660.42</v>
      </c>
      <c r="J191" s="128">
        <f t="shared" si="19"/>
        <v>24.83</v>
      </c>
    </row>
    <row r="192" spans="1:10" ht="24" customHeight="1">
      <c r="A192" s="56" t="s">
        <v>153</v>
      </c>
      <c r="B192" s="57" t="s">
        <v>154</v>
      </c>
      <c r="C192" s="56" t="s">
        <v>29</v>
      </c>
      <c r="D192" s="56" t="s">
        <v>155</v>
      </c>
      <c r="E192" s="161" t="s">
        <v>152</v>
      </c>
      <c r="F192" s="161"/>
      <c r="G192" s="58" t="s">
        <v>24</v>
      </c>
      <c r="H192" s="59">
        <v>0.47</v>
      </c>
      <c r="I192" s="60">
        <v>25.38</v>
      </c>
      <c r="J192" s="128">
        <f t="shared" si="19"/>
        <v>11.93</v>
      </c>
    </row>
    <row r="193" spans="1:10" ht="24" customHeight="1">
      <c r="A193" s="56" t="s">
        <v>153</v>
      </c>
      <c r="B193" s="57" t="s">
        <v>156</v>
      </c>
      <c r="C193" s="56" t="s">
        <v>29</v>
      </c>
      <c r="D193" s="56" t="s">
        <v>157</v>
      </c>
      <c r="E193" s="161" t="s">
        <v>152</v>
      </c>
      <c r="F193" s="161"/>
      <c r="G193" s="58" t="s">
        <v>24</v>
      </c>
      <c r="H193" s="59">
        <v>0.17100000000000001</v>
      </c>
      <c r="I193" s="60">
        <v>20.420000000000002</v>
      </c>
      <c r="J193" s="128">
        <f t="shared" si="19"/>
        <v>3.49</v>
      </c>
    </row>
    <row r="194" spans="1:10" ht="30" customHeight="1" thickBot="1">
      <c r="A194" s="61"/>
      <c r="B194" s="61"/>
      <c r="C194" s="61"/>
      <c r="D194" s="61"/>
      <c r="E194" s="61"/>
      <c r="F194" s="61"/>
      <c r="G194" s="61" t="s">
        <v>158</v>
      </c>
      <c r="H194" s="62">
        <f>JANDUÍ!F29</f>
        <v>1870.08</v>
      </c>
      <c r="I194" s="61" t="s">
        <v>159</v>
      </c>
      <c r="J194" s="127">
        <f>JANDUÍ!I29</f>
        <v>92469.68</v>
      </c>
    </row>
    <row r="195" spans="1:10" ht="1.05" customHeight="1" thickTop="1">
      <c r="A195" s="63"/>
      <c r="B195" s="63"/>
      <c r="C195" s="63"/>
      <c r="D195" s="63"/>
      <c r="E195" s="63"/>
      <c r="F195" s="63"/>
      <c r="G195" s="63"/>
      <c r="H195" s="63"/>
      <c r="I195" s="63"/>
      <c r="J195" s="129"/>
    </row>
    <row r="196" spans="1:10" ht="18" customHeight="1">
      <c r="A196" s="48" t="s">
        <v>60</v>
      </c>
      <c r="B196" s="49" t="s">
        <v>9</v>
      </c>
      <c r="C196" s="48" t="s">
        <v>10</v>
      </c>
      <c r="D196" s="48" t="s">
        <v>11</v>
      </c>
      <c r="E196" s="159" t="s">
        <v>150</v>
      </c>
      <c r="F196" s="159"/>
      <c r="G196" s="50" t="s">
        <v>12</v>
      </c>
      <c r="H196" s="49" t="s">
        <v>13</v>
      </c>
      <c r="I196" s="49" t="s">
        <v>14</v>
      </c>
      <c r="J196" s="133" t="s">
        <v>16</v>
      </c>
    </row>
    <row r="197" spans="1:10" ht="52.05" customHeight="1">
      <c r="A197" s="51" t="s">
        <v>151</v>
      </c>
      <c r="B197" s="52" t="s">
        <v>780</v>
      </c>
      <c r="C197" s="51" t="s">
        <v>29</v>
      </c>
      <c r="D197" s="51" t="s">
        <v>781</v>
      </c>
      <c r="E197" s="160" t="s">
        <v>244</v>
      </c>
      <c r="F197" s="160"/>
      <c r="G197" s="53" t="s">
        <v>31</v>
      </c>
      <c r="H197" s="54">
        <v>1</v>
      </c>
      <c r="I197" s="55">
        <f>JANDUÍ!G30</f>
        <v>78.92</v>
      </c>
      <c r="J197" s="128">
        <f t="shared" ref="J197:J202" si="20">ROUND(H197*I197,2)</f>
        <v>78.92</v>
      </c>
    </row>
    <row r="198" spans="1:10" ht="25.95" customHeight="1">
      <c r="A198" s="56" t="s">
        <v>153</v>
      </c>
      <c r="B198" s="57" t="s">
        <v>595</v>
      </c>
      <c r="C198" s="56" t="s">
        <v>29</v>
      </c>
      <c r="D198" s="56" t="s">
        <v>596</v>
      </c>
      <c r="E198" s="161" t="s">
        <v>152</v>
      </c>
      <c r="F198" s="161"/>
      <c r="G198" s="58" t="s">
        <v>24</v>
      </c>
      <c r="H198" s="59">
        <v>0.86</v>
      </c>
      <c r="I198" s="60">
        <v>25.25</v>
      </c>
      <c r="J198" s="128">
        <f t="shared" si="20"/>
        <v>21.72</v>
      </c>
    </row>
    <row r="199" spans="1:10" ht="24" customHeight="1">
      <c r="A199" s="56" t="s">
        <v>153</v>
      </c>
      <c r="B199" s="57" t="s">
        <v>156</v>
      </c>
      <c r="C199" s="56" t="s">
        <v>29</v>
      </c>
      <c r="D199" s="56" t="s">
        <v>157</v>
      </c>
      <c r="E199" s="161" t="s">
        <v>152</v>
      </c>
      <c r="F199" s="161"/>
      <c r="G199" s="58" t="s">
        <v>24</v>
      </c>
      <c r="H199" s="59">
        <v>0.44</v>
      </c>
      <c r="I199" s="60">
        <v>20.420000000000002</v>
      </c>
      <c r="J199" s="128">
        <f t="shared" si="20"/>
        <v>8.98</v>
      </c>
    </row>
    <row r="200" spans="1:10" ht="25.95" customHeight="1">
      <c r="A200" s="64" t="s">
        <v>164</v>
      </c>
      <c r="B200" s="65" t="s">
        <v>845</v>
      </c>
      <c r="C200" s="64" t="s">
        <v>29</v>
      </c>
      <c r="D200" s="64" t="s">
        <v>846</v>
      </c>
      <c r="E200" s="157" t="s">
        <v>167</v>
      </c>
      <c r="F200" s="157"/>
      <c r="G200" s="66" t="s">
        <v>31</v>
      </c>
      <c r="H200" s="67">
        <v>1.08</v>
      </c>
      <c r="I200" s="68">
        <v>38.9</v>
      </c>
      <c r="J200" s="128">
        <f t="shared" si="20"/>
        <v>42.01</v>
      </c>
    </row>
    <row r="201" spans="1:10" ht="24" customHeight="1">
      <c r="A201" s="64" t="s">
        <v>164</v>
      </c>
      <c r="B201" s="65" t="s">
        <v>599</v>
      </c>
      <c r="C201" s="64" t="s">
        <v>29</v>
      </c>
      <c r="D201" s="64" t="s">
        <v>600</v>
      </c>
      <c r="E201" s="157" t="s">
        <v>167</v>
      </c>
      <c r="F201" s="157"/>
      <c r="G201" s="66" t="s">
        <v>126</v>
      </c>
      <c r="H201" s="67">
        <v>4.8600000000000003</v>
      </c>
      <c r="I201" s="68">
        <v>0.95</v>
      </c>
      <c r="J201" s="128">
        <f t="shared" si="20"/>
        <v>4.62</v>
      </c>
    </row>
    <row r="202" spans="1:10" ht="24" customHeight="1">
      <c r="A202" s="64" t="s">
        <v>164</v>
      </c>
      <c r="B202" s="65" t="s">
        <v>601</v>
      </c>
      <c r="C202" s="64" t="s">
        <v>29</v>
      </c>
      <c r="D202" s="64" t="s">
        <v>602</v>
      </c>
      <c r="E202" s="157" t="s">
        <v>167</v>
      </c>
      <c r="F202" s="157"/>
      <c r="G202" s="66" t="s">
        <v>126</v>
      </c>
      <c r="H202" s="67">
        <v>0.28999999999999998</v>
      </c>
      <c r="I202" s="68">
        <v>5.57</v>
      </c>
      <c r="J202" s="128">
        <f t="shared" si="20"/>
        <v>1.62</v>
      </c>
    </row>
    <row r="203" spans="1:10" ht="30" customHeight="1" thickBot="1">
      <c r="A203" s="61"/>
      <c r="B203" s="61"/>
      <c r="C203" s="61"/>
      <c r="D203" s="61"/>
      <c r="E203" s="61"/>
      <c r="F203" s="61"/>
      <c r="G203" s="61" t="s">
        <v>158</v>
      </c>
      <c r="H203" s="62">
        <f>JANDUÍ!F30</f>
        <v>259.60000000000002</v>
      </c>
      <c r="I203" s="61" t="s">
        <v>159</v>
      </c>
      <c r="J203" s="127">
        <f>JANDUÍ!I30</f>
        <v>25175.200000000001</v>
      </c>
    </row>
    <row r="204" spans="1:10" ht="1.05" customHeight="1" thickTop="1">
      <c r="A204" s="63"/>
      <c r="B204" s="63"/>
      <c r="C204" s="63"/>
      <c r="D204" s="63"/>
      <c r="E204" s="63"/>
      <c r="F204" s="63"/>
      <c r="G204" s="63"/>
      <c r="H204" s="63"/>
      <c r="I204" s="63"/>
      <c r="J204" s="129"/>
    </row>
    <row r="205" spans="1:10" ht="24" customHeight="1">
      <c r="A205" s="45" t="s">
        <v>66</v>
      </c>
      <c r="B205" s="45"/>
      <c r="C205" s="45"/>
      <c r="D205" s="45" t="s">
        <v>26</v>
      </c>
      <c r="E205" s="45"/>
      <c r="F205" s="158"/>
      <c r="G205" s="158"/>
      <c r="H205" s="46"/>
      <c r="I205" s="45"/>
      <c r="J205" s="130">
        <f>SUM(J212,J221,J234)</f>
        <v>156374.03</v>
      </c>
    </row>
    <row r="206" spans="1:10" ht="18" customHeight="1">
      <c r="A206" s="48" t="s">
        <v>68</v>
      </c>
      <c r="B206" s="49" t="s">
        <v>9</v>
      </c>
      <c r="C206" s="48" t="s">
        <v>10</v>
      </c>
      <c r="D206" s="48" t="s">
        <v>11</v>
      </c>
      <c r="E206" s="159" t="s">
        <v>150</v>
      </c>
      <c r="F206" s="159"/>
      <c r="G206" s="50" t="s">
        <v>12</v>
      </c>
      <c r="H206" s="49" t="s">
        <v>13</v>
      </c>
      <c r="I206" s="49" t="s">
        <v>14</v>
      </c>
      <c r="J206" s="133" t="s">
        <v>16</v>
      </c>
    </row>
    <row r="207" spans="1:10" ht="52.05" customHeight="1">
      <c r="A207" s="51" t="s">
        <v>151</v>
      </c>
      <c r="B207" s="52" t="s">
        <v>782</v>
      </c>
      <c r="C207" s="51" t="s">
        <v>29</v>
      </c>
      <c r="D207" s="51" t="s">
        <v>783</v>
      </c>
      <c r="E207" s="160" t="s">
        <v>160</v>
      </c>
      <c r="F207" s="160"/>
      <c r="G207" s="53" t="s">
        <v>31</v>
      </c>
      <c r="H207" s="54">
        <v>1</v>
      </c>
      <c r="I207" s="55">
        <f>JANDUÍ!G32</f>
        <v>60.28</v>
      </c>
      <c r="J207" s="128">
        <f t="shared" ref="J207:J211" si="21">ROUND(H207*I207,2)</f>
        <v>60.28</v>
      </c>
    </row>
    <row r="208" spans="1:10" ht="39" customHeight="1">
      <c r="A208" s="56" t="s">
        <v>153</v>
      </c>
      <c r="B208" s="57" t="s">
        <v>161</v>
      </c>
      <c r="C208" s="56" t="s">
        <v>29</v>
      </c>
      <c r="D208" s="56" t="s">
        <v>162</v>
      </c>
      <c r="E208" s="161" t="s">
        <v>152</v>
      </c>
      <c r="F208" s="161"/>
      <c r="G208" s="58" t="s">
        <v>163</v>
      </c>
      <c r="H208" s="59">
        <v>5.2999999999999999E-2</v>
      </c>
      <c r="I208" s="60">
        <v>717.37</v>
      </c>
      <c r="J208" s="128">
        <f t="shared" si="21"/>
        <v>38.020000000000003</v>
      </c>
    </row>
    <row r="209" spans="1:10" ht="24" customHeight="1">
      <c r="A209" s="56" t="s">
        <v>153</v>
      </c>
      <c r="B209" s="57" t="s">
        <v>154</v>
      </c>
      <c r="C209" s="56" t="s">
        <v>29</v>
      </c>
      <c r="D209" s="56" t="s">
        <v>155</v>
      </c>
      <c r="E209" s="161" t="s">
        <v>152</v>
      </c>
      <c r="F209" s="161"/>
      <c r="G209" s="58" t="s">
        <v>24</v>
      </c>
      <c r="H209" s="59">
        <v>0.61599999999999999</v>
      </c>
      <c r="I209" s="60">
        <v>25.38</v>
      </c>
      <c r="J209" s="128">
        <f t="shared" si="21"/>
        <v>15.63</v>
      </c>
    </row>
    <row r="210" spans="1:10" ht="24" customHeight="1">
      <c r="A210" s="56" t="s">
        <v>153</v>
      </c>
      <c r="B210" s="57" t="s">
        <v>156</v>
      </c>
      <c r="C210" s="56" t="s">
        <v>29</v>
      </c>
      <c r="D210" s="56" t="s">
        <v>157</v>
      </c>
      <c r="E210" s="161" t="s">
        <v>152</v>
      </c>
      <c r="F210" s="161"/>
      <c r="G210" s="58" t="s">
        <v>24</v>
      </c>
      <c r="H210" s="59">
        <v>0.308</v>
      </c>
      <c r="I210" s="60">
        <v>20.420000000000002</v>
      </c>
      <c r="J210" s="128">
        <f t="shared" si="21"/>
        <v>6.29</v>
      </c>
    </row>
    <row r="211" spans="1:10" ht="24" customHeight="1">
      <c r="A211" s="64" t="s">
        <v>164</v>
      </c>
      <c r="B211" s="65" t="s">
        <v>165</v>
      </c>
      <c r="C211" s="64" t="s">
        <v>29</v>
      </c>
      <c r="D211" s="64" t="s">
        <v>166</v>
      </c>
      <c r="E211" s="157" t="s">
        <v>167</v>
      </c>
      <c r="F211" s="157"/>
      <c r="G211" s="66" t="s">
        <v>126</v>
      </c>
      <c r="H211" s="67">
        <v>0.5</v>
      </c>
      <c r="I211" s="68">
        <v>0.7</v>
      </c>
      <c r="J211" s="128">
        <f t="shared" si="21"/>
        <v>0.35</v>
      </c>
    </row>
    <row r="212" spans="1:10" ht="30" customHeight="1" thickBot="1">
      <c r="A212" s="61"/>
      <c r="B212" s="61"/>
      <c r="C212" s="61"/>
      <c r="D212" s="61"/>
      <c r="E212" s="61"/>
      <c r="F212" s="61"/>
      <c r="G212" s="61" t="s">
        <v>158</v>
      </c>
      <c r="H212" s="62">
        <f>JANDUÍ!F32</f>
        <v>963.81</v>
      </c>
      <c r="I212" s="61" t="s">
        <v>159</v>
      </c>
      <c r="J212" s="127">
        <f>JANDUÍ!I32</f>
        <v>71391.399999999994</v>
      </c>
    </row>
    <row r="213" spans="1:10" ht="1.05" customHeight="1" thickTop="1">
      <c r="A213" s="63"/>
      <c r="B213" s="63"/>
      <c r="C213" s="63"/>
      <c r="D213" s="63"/>
      <c r="E213" s="63"/>
      <c r="F213" s="63"/>
      <c r="G213" s="63"/>
      <c r="H213" s="63"/>
      <c r="I213" s="63"/>
      <c r="J213" s="129"/>
    </row>
    <row r="214" spans="1:10" ht="18" customHeight="1">
      <c r="A214" s="48" t="s">
        <v>72</v>
      </c>
      <c r="B214" s="49" t="s">
        <v>9</v>
      </c>
      <c r="C214" s="48" t="s">
        <v>10</v>
      </c>
      <c r="D214" s="48" t="s">
        <v>11</v>
      </c>
      <c r="E214" s="159" t="s">
        <v>150</v>
      </c>
      <c r="F214" s="159"/>
      <c r="G214" s="50" t="s">
        <v>12</v>
      </c>
      <c r="H214" s="49" t="s">
        <v>13</v>
      </c>
      <c r="I214" s="49" t="s">
        <v>14</v>
      </c>
      <c r="J214" s="133" t="s">
        <v>16</v>
      </c>
    </row>
    <row r="215" spans="1:10" ht="39" customHeight="1">
      <c r="A215" s="51" t="s">
        <v>151</v>
      </c>
      <c r="B215" s="52" t="s">
        <v>491</v>
      </c>
      <c r="C215" s="51" t="s">
        <v>29</v>
      </c>
      <c r="D215" s="51" t="s">
        <v>492</v>
      </c>
      <c r="E215" s="160" t="s">
        <v>160</v>
      </c>
      <c r="F215" s="160"/>
      <c r="G215" s="53" t="s">
        <v>31</v>
      </c>
      <c r="H215" s="54">
        <v>1</v>
      </c>
      <c r="I215" s="55">
        <f>JANDUÍ!G33</f>
        <v>54.13</v>
      </c>
      <c r="J215" s="128">
        <f t="shared" ref="J215:J220" si="22">ROUND(H215*I215,2)</f>
        <v>54.13</v>
      </c>
    </row>
    <row r="216" spans="1:10" ht="39" customHeight="1">
      <c r="A216" s="56" t="s">
        <v>153</v>
      </c>
      <c r="B216" s="57" t="s">
        <v>591</v>
      </c>
      <c r="C216" s="56" t="s">
        <v>29</v>
      </c>
      <c r="D216" s="56" t="s">
        <v>592</v>
      </c>
      <c r="E216" s="161" t="s">
        <v>152</v>
      </c>
      <c r="F216" s="161"/>
      <c r="G216" s="58" t="s">
        <v>163</v>
      </c>
      <c r="H216" s="59">
        <v>5.2999999999999999E-2</v>
      </c>
      <c r="I216" s="60">
        <v>692.97</v>
      </c>
      <c r="J216" s="128">
        <f t="shared" si="22"/>
        <v>36.729999999999997</v>
      </c>
    </row>
    <row r="217" spans="1:10" ht="24" customHeight="1">
      <c r="A217" s="56" t="s">
        <v>153</v>
      </c>
      <c r="B217" s="57" t="s">
        <v>154</v>
      </c>
      <c r="C217" s="56" t="s">
        <v>29</v>
      </c>
      <c r="D217" s="56" t="s">
        <v>155</v>
      </c>
      <c r="E217" s="161" t="s">
        <v>152</v>
      </c>
      <c r="F217" s="161"/>
      <c r="G217" s="58" t="s">
        <v>24</v>
      </c>
      <c r="H217" s="59">
        <v>0.41799999999999998</v>
      </c>
      <c r="I217" s="60">
        <v>25.38</v>
      </c>
      <c r="J217" s="128">
        <f t="shared" si="22"/>
        <v>10.61</v>
      </c>
    </row>
    <row r="218" spans="1:10" ht="24" customHeight="1">
      <c r="A218" s="56" t="s">
        <v>153</v>
      </c>
      <c r="B218" s="57" t="s">
        <v>156</v>
      </c>
      <c r="C218" s="56" t="s">
        <v>29</v>
      </c>
      <c r="D218" s="56" t="s">
        <v>157</v>
      </c>
      <c r="E218" s="161" t="s">
        <v>152</v>
      </c>
      <c r="F218" s="161"/>
      <c r="G218" s="58" t="s">
        <v>24</v>
      </c>
      <c r="H218" s="59">
        <v>0.20899999999999999</v>
      </c>
      <c r="I218" s="60">
        <v>20.420000000000002</v>
      </c>
      <c r="J218" s="128">
        <f t="shared" si="22"/>
        <v>4.2699999999999996</v>
      </c>
    </row>
    <row r="219" spans="1:10" ht="24" customHeight="1">
      <c r="A219" s="64" t="s">
        <v>164</v>
      </c>
      <c r="B219" s="65" t="s">
        <v>165</v>
      </c>
      <c r="C219" s="64" t="s">
        <v>29</v>
      </c>
      <c r="D219" s="64" t="s">
        <v>166</v>
      </c>
      <c r="E219" s="157" t="s">
        <v>167</v>
      </c>
      <c r="F219" s="157"/>
      <c r="G219" s="66" t="s">
        <v>126</v>
      </c>
      <c r="H219" s="67">
        <v>0.5</v>
      </c>
      <c r="I219" s="68">
        <v>0.7</v>
      </c>
      <c r="J219" s="128">
        <f t="shared" si="22"/>
        <v>0.35</v>
      </c>
    </row>
    <row r="220" spans="1:10" ht="25.95" customHeight="1">
      <c r="A220" s="64" t="s">
        <v>164</v>
      </c>
      <c r="B220" s="65" t="s">
        <v>593</v>
      </c>
      <c r="C220" s="64" t="s">
        <v>29</v>
      </c>
      <c r="D220" s="64" t="s">
        <v>594</v>
      </c>
      <c r="E220" s="157" t="s">
        <v>167</v>
      </c>
      <c r="F220" s="157"/>
      <c r="G220" s="66" t="s">
        <v>40</v>
      </c>
      <c r="H220" s="67">
        <v>1.67</v>
      </c>
      <c r="I220" s="68">
        <v>1.32</v>
      </c>
      <c r="J220" s="128">
        <f t="shared" si="22"/>
        <v>2.2000000000000002</v>
      </c>
    </row>
    <row r="221" spans="1:10" ht="30" customHeight="1" thickBot="1">
      <c r="A221" s="61"/>
      <c r="B221" s="61"/>
      <c r="C221" s="61"/>
      <c r="D221" s="61"/>
      <c r="E221" s="61"/>
      <c r="F221" s="61"/>
      <c r="G221" s="61" t="s">
        <v>158</v>
      </c>
      <c r="H221" s="62">
        <f>JANDUÍ!F33</f>
        <v>813.81</v>
      </c>
      <c r="I221" s="61" t="s">
        <v>159</v>
      </c>
      <c r="J221" s="127">
        <f>JANDUÍ!I33</f>
        <v>54130.53</v>
      </c>
    </row>
    <row r="222" spans="1:10" ht="1.05" customHeight="1" thickTop="1">
      <c r="A222" s="63"/>
      <c r="B222" s="63"/>
      <c r="C222" s="63"/>
      <c r="D222" s="63"/>
      <c r="E222" s="63"/>
      <c r="F222" s="63"/>
      <c r="G222" s="63"/>
      <c r="H222" s="63"/>
      <c r="I222" s="63"/>
      <c r="J222" s="129"/>
    </row>
    <row r="223" spans="1:10" ht="18" customHeight="1">
      <c r="A223" s="48" t="s">
        <v>75</v>
      </c>
      <c r="B223" s="49" t="s">
        <v>9</v>
      </c>
      <c r="C223" s="48" t="s">
        <v>10</v>
      </c>
      <c r="D223" s="48" t="s">
        <v>11</v>
      </c>
      <c r="E223" s="159" t="s">
        <v>150</v>
      </c>
      <c r="F223" s="159"/>
      <c r="G223" s="50" t="s">
        <v>12</v>
      </c>
      <c r="H223" s="49" t="s">
        <v>13</v>
      </c>
      <c r="I223" s="49" t="s">
        <v>14</v>
      </c>
      <c r="J223" s="133" t="s">
        <v>16</v>
      </c>
    </row>
    <row r="224" spans="1:10" ht="52.05" customHeight="1">
      <c r="A224" s="51" t="s">
        <v>151</v>
      </c>
      <c r="B224" s="52" t="s">
        <v>33</v>
      </c>
      <c r="C224" s="51" t="s">
        <v>29</v>
      </c>
      <c r="D224" s="51" t="s">
        <v>34</v>
      </c>
      <c r="E224" s="160" t="s">
        <v>160</v>
      </c>
      <c r="F224" s="160"/>
      <c r="G224" s="53" t="s">
        <v>31</v>
      </c>
      <c r="H224" s="54">
        <v>1</v>
      </c>
      <c r="I224" s="55">
        <f>JANDUÍ!G34</f>
        <v>100.43</v>
      </c>
      <c r="J224" s="128">
        <f t="shared" ref="J224:J233" si="23">ROUND(H224*I224,2)</f>
        <v>100.43</v>
      </c>
    </row>
    <row r="225" spans="1:11" ht="24" customHeight="1">
      <c r="A225" s="56" t="s">
        <v>153</v>
      </c>
      <c r="B225" s="57" t="s">
        <v>168</v>
      </c>
      <c r="C225" s="56" t="s">
        <v>29</v>
      </c>
      <c r="D225" s="56" t="s">
        <v>169</v>
      </c>
      <c r="E225" s="161" t="s">
        <v>152</v>
      </c>
      <c r="F225" s="161"/>
      <c r="G225" s="58" t="s">
        <v>24</v>
      </c>
      <c r="H225" s="59">
        <v>0.13009999999999999</v>
      </c>
      <c r="I225" s="60">
        <v>25</v>
      </c>
      <c r="J225" s="128">
        <f t="shared" si="23"/>
        <v>3.25</v>
      </c>
    </row>
    <row r="226" spans="1:11" ht="24" customHeight="1">
      <c r="A226" s="56" t="s">
        <v>153</v>
      </c>
      <c r="B226" s="57" t="s">
        <v>154</v>
      </c>
      <c r="C226" s="56" t="s">
        <v>29</v>
      </c>
      <c r="D226" s="56" t="s">
        <v>155</v>
      </c>
      <c r="E226" s="161" t="s">
        <v>152</v>
      </c>
      <c r="F226" s="161"/>
      <c r="G226" s="58" t="s">
        <v>24</v>
      </c>
      <c r="H226" s="59">
        <v>0.18820000000000001</v>
      </c>
      <c r="I226" s="60">
        <v>25.38</v>
      </c>
      <c r="J226" s="128">
        <f t="shared" si="23"/>
        <v>4.78</v>
      </c>
    </row>
    <row r="227" spans="1:11" ht="24" customHeight="1">
      <c r="A227" s="56" t="s">
        <v>153</v>
      </c>
      <c r="B227" s="57" t="s">
        <v>156</v>
      </c>
      <c r="C227" s="56" t="s">
        <v>29</v>
      </c>
      <c r="D227" s="56" t="s">
        <v>157</v>
      </c>
      <c r="E227" s="161" t="s">
        <v>152</v>
      </c>
      <c r="F227" s="161"/>
      <c r="G227" s="58" t="s">
        <v>24</v>
      </c>
      <c r="H227" s="59">
        <v>0.31830000000000003</v>
      </c>
      <c r="I227" s="60">
        <v>20.420000000000002</v>
      </c>
      <c r="J227" s="128">
        <f t="shared" si="23"/>
        <v>6.5</v>
      </c>
    </row>
    <row r="228" spans="1:11" ht="39" customHeight="1">
      <c r="A228" s="56" t="s">
        <v>153</v>
      </c>
      <c r="B228" s="57" t="s">
        <v>170</v>
      </c>
      <c r="C228" s="56" t="s">
        <v>29</v>
      </c>
      <c r="D228" s="56" t="s">
        <v>171</v>
      </c>
      <c r="E228" s="161" t="s">
        <v>172</v>
      </c>
      <c r="F228" s="161"/>
      <c r="G228" s="58" t="s">
        <v>163</v>
      </c>
      <c r="H228" s="59">
        <v>9.8500000000000004E-2</v>
      </c>
      <c r="I228" s="60">
        <v>474.55</v>
      </c>
      <c r="J228" s="128">
        <f t="shared" si="23"/>
        <v>46.74</v>
      </c>
    </row>
    <row r="229" spans="1:11" ht="25.95" customHeight="1">
      <c r="A229" s="64" t="s">
        <v>164</v>
      </c>
      <c r="B229" s="65" t="s">
        <v>173</v>
      </c>
      <c r="C229" s="64" t="s">
        <v>29</v>
      </c>
      <c r="D229" s="64" t="s">
        <v>174</v>
      </c>
      <c r="E229" s="157" t="s">
        <v>167</v>
      </c>
      <c r="F229" s="157"/>
      <c r="G229" s="66" t="s">
        <v>175</v>
      </c>
      <c r="H229" s="67">
        <v>1.6999999999999999E-3</v>
      </c>
      <c r="I229" s="68">
        <v>7.5</v>
      </c>
      <c r="J229" s="128">
        <f t="shared" si="23"/>
        <v>0.01</v>
      </c>
    </row>
    <row r="230" spans="1:11" ht="25.95" customHeight="1">
      <c r="A230" s="64" t="s">
        <v>164</v>
      </c>
      <c r="B230" s="65" t="s">
        <v>176</v>
      </c>
      <c r="C230" s="64" t="s">
        <v>29</v>
      </c>
      <c r="D230" s="64" t="s">
        <v>177</v>
      </c>
      <c r="E230" s="157" t="s">
        <v>167</v>
      </c>
      <c r="F230" s="157"/>
      <c r="G230" s="66" t="s">
        <v>40</v>
      </c>
      <c r="H230" s="67">
        <v>0.25</v>
      </c>
      <c r="I230" s="68">
        <v>5.0999999999999996</v>
      </c>
      <c r="J230" s="128">
        <f t="shared" si="23"/>
        <v>1.28</v>
      </c>
    </row>
    <row r="231" spans="1:11" ht="25.95" customHeight="1">
      <c r="A231" s="64" t="s">
        <v>164</v>
      </c>
      <c r="B231" s="65" t="s">
        <v>178</v>
      </c>
      <c r="C231" s="64" t="s">
        <v>29</v>
      </c>
      <c r="D231" s="64" t="s">
        <v>179</v>
      </c>
      <c r="E231" s="157" t="s">
        <v>167</v>
      </c>
      <c r="F231" s="157"/>
      <c r="G231" s="66" t="s">
        <v>40</v>
      </c>
      <c r="H231" s="67">
        <v>0.2</v>
      </c>
      <c r="I231" s="68">
        <v>3.52</v>
      </c>
      <c r="J231" s="128">
        <f t="shared" si="23"/>
        <v>0.7</v>
      </c>
    </row>
    <row r="232" spans="1:11" ht="24" customHeight="1">
      <c r="A232" s="64" t="s">
        <v>164</v>
      </c>
      <c r="B232" s="65" t="s">
        <v>180</v>
      </c>
      <c r="C232" s="64" t="s">
        <v>29</v>
      </c>
      <c r="D232" s="64" t="s">
        <v>181</v>
      </c>
      <c r="E232" s="157" t="s">
        <v>167</v>
      </c>
      <c r="F232" s="157"/>
      <c r="G232" s="66" t="s">
        <v>126</v>
      </c>
      <c r="H232" s="67">
        <v>2.4E-2</v>
      </c>
      <c r="I232" s="68">
        <v>22.38</v>
      </c>
      <c r="J232" s="128">
        <f t="shared" si="23"/>
        <v>0.54</v>
      </c>
    </row>
    <row r="233" spans="1:11" ht="39" customHeight="1">
      <c r="A233" s="64" t="s">
        <v>164</v>
      </c>
      <c r="B233" s="65" t="s">
        <v>182</v>
      </c>
      <c r="C233" s="64" t="s">
        <v>29</v>
      </c>
      <c r="D233" s="64" t="s">
        <v>183</v>
      </c>
      <c r="E233" s="157" t="s">
        <v>167</v>
      </c>
      <c r="F233" s="157"/>
      <c r="G233" s="66" t="s">
        <v>31</v>
      </c>
      <c r="H233" s="67">
        <v>1.0815999999999999</v>
      </c>
      <c r="I233" s="68">
        <v>33.909999999999997</v>
      </c>
      <c r="J233" s="128">
        <f t="shared" si="23"/>
        <v>36.68</v>
      </c>
    </row>
    <row r="234" spans="1:11" ht="30" customHeight="1" thickBot="1">
      <c r="A234" s="61"/>
      <c r="B234" s="61"/>
      <c r="C234" s="61"/>
      <c r="D234" s="61"/>
      <c r="E234" s="61"/>
      <c r="F234" s="61"/>
      <c r="G234" s="61" t="s">
        <v>158</v>
      </c>
      <c r="H234" s="62">
        <f>JANDUÍ!F34</f>
        <v>250</v>
      </c>
      <c r="I234" s="61" t="s">
        <v>159</v>
      </c>
      <c r="J234" s="127">
        <f>JANDUÍ!I34</f>
        <v>30852.1</v>
      </c>
    </row>
    <row r="235" spans="1:11" ht="1.05" customHeight="1" thickTop="1">
      <c r="A235" s="63"/>
      <c r="B235" s="63"/>
      <c r="C235" s="63"/>
      <c r="D235" s="63"/>
      <c r="E235" s="63"/>
      <c r="F235" s="63"/>
      <c r="G235" s="63"/>
      <c r="H235" s="63"/>
      <c r="I235" s="63"/>
      <c r="J235" s="129"/>
    </row>
    <row r="236" spans="1:11" ht="24" customHeight="1">
      <c r="A236" s="45" t="s">
        <v>81</v>
      </c>
      <c r="B236" s="45"/>
      <c r="C236" s="45"/>
      <c r="D236" s="45" t="s">
        <v>36</v>
      </c>
      <c r="E236" s="45"/>
      <c r="F236" s="158"/>
      <c r="G236" s="158"/>
      <c r="H236" s="46"/>
      <c r="I236" s="45"/>
      <c r="J236" s="130">
        <f>SUM(J241,J249,J257,J264,J271,J278,J285,J292,J299)</f>
        <v>347780.79000000004</v>
      </c>
    </row>
    <row r="237" spans="1:11" ht="18" customHeight="1">
      <c r="A237" s="48" t="s">
        <v>83</v>
      </c>
      <c r="B237" s="49" t="s">
        <v>9</v>
      </c>
      <c r="C237" s="48" t="s">
        <v>10</v>
      </c>
      <c r="D237" s="48" t="s">
        <v>11</v>
      </c>
      <c r="E237" s="159" t="s">
        <v>150</v>
      </c>
      <c r="F237" s="159"/>
      <c r="G237" s="50" t="s">
        <v>12</v>
      </c>
      <c r="H237" s="49" t="s">
        <v>13</v>
      </c>
      <c r="I237" s="49" t="s">
        <v>14</v>
      </c>
      <c r="J237" s="133" t="s">
        <v>16</v>
      </c>
    </row>
    <row r="238" spans="1:11" ht="25.95" customHeight="1">
      <c r="A238" s="51" t="s">
        <v>151</v>
      </c>
      <c r="B238" s="52" t="s">
        <v>496</v>
      </c>
      <c r="C238" s="51" t="s">
        <v>22</v>
      </c>
      <c r="D238" s="51" t="s">
        <v>497</v>
      </c>
      <c r="E238" s="160" t="s">
        <v>205</v>
      </c>
      <c r="F238" s="160"/>
      <c r="G238" s="53" t="s">
        <v>71</v>
      </c>
      <c r="H238" s="54">
        <v>1</v>
      </c>
      <c r="I238" s="55">
        <f>JANDUÍ!G36</f>
        <v>3.92</v>
      </c>
      <c r="J238" s="128">
        <f t="shared" ref="J238:J240" si="24">ROUND(H238*I238,2)</f>
        <v>3.92</v>
      </c>
    </row>
    <row r="239" spans="1:11" ht="24" customHeight="1">
      <c r="A239" s="56" t="s">
        <v>153</v>
      </c>
      <c r="B239" s="57" t="s">
        <v>185</v>
      </c>
      <c r="C239" s="56" t="s">
        <v>29</v>
      </c>
      <c r="D239" s="56" t="s">
        <v>186</v>
      </c>
      <c r="E239" s="161" t="s">
        <v>152</v>
      </c>
      <c r="F239" s="161"/>
      <c r="G239" s="58" t="s">
        <v>24</v>
      </c>
      <c r="H239" s="59">
        <v>0.14000000000000001</v>
      </c>
      <c r="I239" s="60">
        <v>26.6</v>
      </c>
      <c r="J239" s="128">
        <f t="shared" si="24"/>
        <v>3.72</v>
      </c>
      <c r="K239" s="143"/>
    </row>
    <row r="240" spans="1:11" ht="25.95" customHeight="1">
      <c r="A240" s="64" t="s">
        <v>164</v>
      </c>
      <c r="B240" s="65" t="s">
        <v>419</v>
      </c>
      <c r="C240" s="64" t="s">
        <v>29</v>
      </c>
      <c r="D240" s="64" t="s">
        <v>420</v>
      </c>
      <c r="E240" s="157" t="s">
        <v>167</v>
      </c>
      <c r="F240" s="157"/>
      <c r="G240" s="66" t="s">
        <v>59</v>
      </c>
      <c r="H240" s="67">
        <v>0.25</v>
      </c>
      <c r="I240" s="68">
        <v>0.79</v>
      </c>
      <c r="J240" s="128">
        <f t="shared" si="24"/>
        <v>0.2</v>
      </c>
    </row>
    <row r="241" spans="1:10" ht="30" customHeight="1" thickBot="1">
      <c r="A241" s="61"/>
      <c r="B241" s="61"/>
      <c r="C241" s="61"/>
      <c r="D241" s="61"/>
      <c r="E241" s="61"/>
      <c r="F241" s="61"/>
      <c r="G241" s="61" t="s">
        <v>158</v>
      </c>
      <c r="H241" s="62">
        <f>JANDUÍ!F36</f>
        <v>3202.72</v>
      </c>
      <c r="I241" s="61" t="s">
        <v>159</v>
      </c>
      <c r="J241" s="127">
        <f>JANDUÍ!I36</f>
        <v>15427.17</v>
      </c>
    </row>
    <row r="242" spans="1:10" ht="1.05" customHeight="1" thickTop="1">
      <c r="A242" s="63"/>
      <c r="B242" s="63"/>
      <c r="C242" s="63"/>
      <c r="D242" s="63"/>
      <c r="E242" s="63"/>
      <c r="F242" s="63"/>
      <c r="G242" s="63"/>
      <c r="H242" s="63"/>
      <c r="I242" s="63"/>
      <c r="J242" s="129"/>
    </row>
    <row r="243" spans="1:10" ht="18" customHeight="1">
      <c r="A243" s="48" t="s">
        <v>86</v>
      </c>
      <c r="B243" s="49" t="s">
        <v>9</v>
      </c>
      <c r="C243" s="48" t="s">
        <v>10</v>
      </c>
      <c r="D243" s="48" t="s">
        <v>11</v>
      </c>
      <c r="E243" s="159" t="s">
        <v>150</v>
      </c>
      <c r="F243" s="159"/>
      <c r="G243" s="50" t="s">
        <v>12</v>
      </c>
      <c r="H243" s="49" t="s">
        <v>13</v>
      </c>
      <c r="I243" s="49" t="s">
        <v>14</v>
      </c>
      <c r="J243" s="133" t="s">
        <v>16</v>
      </c>
    </row>
    <row r="244" spans="1:10" ht="25.95" customHeight="1">
      <c r="A244" s="51" t="s">
        <v>151</v>
      </c>
      <c r="B244" s="52" t="s">
        <v>498</v>
      </c>
      <c r="C244" s="51" t="s">
        <v>29</v>
      </c>
      <c r="D244" s="51" t="s">
        <v>499</v>
      </c>
      <c r="E244" s="160" t="s">
        <v>184</v>
      </c>
      <c r="F244" s="160"/>
      <c r="G244" s="53" t="s">
        <v>31</v>
      </c>
      <c r="H244" s="54">
        <v>1</v>
      </c>
      <c r="I244" s="55">
        <f>JANDUÍ!G37</f>
        <v>24.74</v>
      </c>
      <c r="J244" s="128">
        <f t="shared" ref="J244:J248" si="25">ROUND(H244*I244,2)</f>
        <v>24.74</v>
      </c>
    </row>
    <row r="245" spans="1:10" ht="24" customHeight="1">
      <c r="A245" s="56" t="s">
        <v>153</v>
      </c>
      <c r="B245" s="57" t="s">
        <v>185</v>
      </c>
      <c r="C245" s="56" t="s">
        <v>29</v>
      </c>
      <c r="D245" s="56" t="s">
        <v>186</v>
      </c>
      <c r="E245" s="161" t="s">
        <v>152</v>
      </c>
      <c r="F245" s="161"/>
      <c r="G245" s="58" t="s">
        <v>24</v>
      </c>
      <c r="H245" s="59">
        <v>0.57099999999999995</v>
      </c>
      <c r="I245" s="60">
        <v>26.6</v>
      </c>
      <c r="J245" s="128">
        <f t="shared" si="25"/>
        <v>15.19</v>
      </c>
    </row>
    <row r="246" spans="1:10" ht="24" customHeight="1">
      <c r="A246" s="56" t="s">
        <v>153</v>
      </c>
      <c r="B246" s="57" t="s">
        <v>156</v>
      </c>
      <c r="C246" s="56" t="s">
        <v>29</v>
      </c>
      <c r="D246" s="56" t="s">
        <v>157</v>
      </c>
      <c r="E246" s="161" t="s">
        <v>152</v>
      </c>
      <c r="F246" s="161"/>
      <c r="G246" s="58" t="s">
        <v>24</v>
      </c>
      <c r="H246" s="59">
        <v>0.14299999999999999</v>
      </c>
      <c r="I246" s="60">
        <v>20.420000000000002</v>
      </c>
      <c r="J246" s="128">
        <f t="shared" si="25"/>
        <v>2.92</v>
      </c>
    </row>
    <row r="247" spans="1:10" ht="25.95" customHeight="1">
      <c r="A247" s="64" t="s">
        <v>164</v>
      </c>
      <c r="B247" s="65" t="s">
        <v>419</v>
      </c>
      <c r="C247" s="64" t="s">
        <v>29</v>
      </c>
      <c r="D247" s="64" t="s">
        <v>420</v>
      </c>
      <c r="E247" s="157" t="s">
        <v>167</v>
      </c>
      <c r="F247" s="157"/>
      <c r="G247" s="66" t="s">
        <v>59</v>
      </c>
      <c r="H247" s="67">
        <v>0.1</v>
      </c>
      <c r="I247" s="68">
        <v>0.79</v>
      </c>
      <c r="J247" s="128">
        <f t="shared" si="25"/>
        <v>0.08</v>
      </c>
    </row>
    <row r="248" spans="1:10" ht="25.95" customHeight="1">
      <c r="A248" s="64" t="s">
        <v>164</v>
      </c>
      <c r="B248" s="65" t="s">
        <v>603</v>
      </c>
      <c r="C248" s="64" t="s">
        <v>29</v>
      </c>
      <c r="D248" s="64" t="s">
        <v>604</v>
      </c>
      <c r="E248" s="157" t="s">
        <v>167</v>
      </c>
      <c r="F248" s="157"/>
      <c r="G248" s="66" t="s">
        <v>126</v>
      </c>
      <c r="H248" s="67">
        <v>1.5518400000000001</v>
      </c>
      <c r="I248" s="68">
        <v>4.24</v>
      </c>
      <c r="J248" s="128">
        <f t="shared" si="25"/>
        <v>6.58</v>
      </c>
    </row>
    <row r="249" spans="1:10" ht="30" customHeight="1" thickBot="1">
      <c r="A249" s="61"/>
      <c r="B249" s="61"/>
      <c r="C249" s="61"/>
      <c r="D249" s="61"/>
      <c r="E249" s="61"/>
      <c r="F249" s="61"/>
      <c r="G249" s="61" t="s">
        <v>158</v>
      </c>
      <c r="H249" s="62">
        <f>JANDUÍ!F37</f>
        <v>1198.04</v>
      </c>
      <c r="I249" s="61" t="s">
        <v>159</v>
      </c>
      <c r="J249" s="127">
        <f>JANDUÍ!I37</f>
        <v>36421.03</v>
      </c>
    </row>
    <row r="250" spans="1:10" ht="1.05" customHeight="1" thickTop="1">
      <c r="A250" s="63"/>
      <c r="B250" s="63"/>
      <c r="C250" s="63"/>
      <c r="D250" s="63"/>
      <c r="E250" s="63"/>
      <c r="F250" s="63"/>
      <c r="G250" s="63"/>
      <c r="H250" s="63"/>
      <c r="I250" s="63"/>
      <c r="J250" s="129"/>
    </row>
    <row r="251" spans="1:10" ht="18" customHeight="1">
      <c r="A251" s="48" t="s">
        <v>349</v>
      </c>
      <c r="B251" s="49" t="s">
        <v>9</v>
      </c>
      <c r="C251" s="48" t="s">
        <v>10</v>
      </c>
      <c r="D251" s="48" t="s">
        <v>11</v>
      </c>
      <c r="E251" s="159" t="s">
        <v>150</v>
      </c>
      <c r="F251" s="159"/>
      <c r="G251" s="50" t="s">
        <v>12</v>
      </c>
      <c r="H251" s="49" t="s">
        <v>13</v>
      </c>
      <c r="I251" s="49" t="s">
        <v>14</v>
      </c>
      <c r="J251" s="133" t="s">
        <v>16</v>
      </c>
    </row>
    <row r="252" spans="1:10" ht="25.95" customHeight="1">
      <c r="A252" s="51" t="s">
        <v>151</v>
      </c>
      <c r="B252" s="52" t="s">
        <v>335</v>
      </c>
      <c r="C252" s="51" t="s">
        <v>29</v>
      </c>
      <c r="D252" s="51" t="s">
        <v>336</v>
      </c>
      <c r="E252" s="160" t="s">
        <v>184</v>
      </c>
      <c r="F252" s="160"/>
      <c r="G252" s="53" t="s">
        <v>31</v>
      </c>
      <c r="H252" s="54">
        <v>1</v>
      </c>
      <c r="I252" s="55">
        <f>JANDUÍ!G38</f>
        <v>14.34</v>
      </c>
      <c r="J252" s="128">
        <f t="shared" ref="J252:J256" si="26">ROUND(H252*I252,2)</f>
        <v>14.34</v>
      </c>
    </row>
    <row r="253" spans="1:10" ht="24" customHeight="1">
      <c r="A253" s="56" t="s">
        <v>153</v>
      </c>
      <c r="B253" s="57" t="s">
        <v>185</v>
      </c>
      <c r="C253" s="56" t="s">
        <v>29</v>
      </c>
      <c r="D253" s="56" t="s">
        <v>186</v>
      </c>
      <c r="E253" s="161" t="s">
        <v>152</v>
      </c>
      <c r="F253" s="161"/>
      <c r="G253" s="58" t="s">
        <v>24</v>
      </c>
      <c r="H253" s="59">
        <v>0.312</v>
      </c>
      <c r="I253" s="60">
        <v>26.6</v>
      </c>
      <c r="J253" s="128">
        <f t="shared" si="26"/>
        <v>8.3000000000000007</v>
      </c>
    </row>
    <row r="254" spans="1:10" ht="24" customHeight="1">
      <c r="A254" s="56" t="s">
        <v>153</v>
      </c>
      <c r="B254" s="57" t="s">
        <v>156</v>
      </c>
      <c r="C254" s="56" t="s">
        <v>29</v>
      </c>
      <c r="D254" s="56" t="s">
        <v>157</v>
      </c>
      <c r="E254" s="161" t="s">
        <v>152</v>
      </c>
      <c r="F254" s="161"/>
      <c r="G254" s="58" t="s">
        <v>24</v>
      </c>
      <c r="H254" s="59">
        <v>0.114</v>
      </c>
      <c r="I254" s="60">
        <v>20.420000000000002</v>
      </c>
      <c r="J254" s="128">
        <f t="shared" si="26"/>
        <v>2.33</v>
      </c>
    </row>
    <row r="255" spans="1:10" ht="25.95" customHeight="1">
      <c r="A255" s="64" t="s">
        <v>164</v>
      </c>
      <c r="B255" s="65" t="s">
        <v>419</v>
      </c>
      <c r="C255" s="64" t="s">
        <v>29</v>
      </c>
      <c r="D255" s="64" t="s">
        <v>420</v>
      </c>
      <c r="E255" s="157" t="s">
        <v>167</v>
      </c>
      <c r="F255" s="157"/>
      <c r="G255" s="66" t="s">
        <v>59</v>
      </c>
      <c r="H255" s="67">
        <v>0.1</v>
      </c>
      <c r="I255" s="68">
        <v>0.79</v>
      </c>
      <c r="J255" s="128">
        <f t="shared" si="26"/>
        <v>0.08</v>
      </c>
    </row>
    <row r="256" spans="1:10" ht="25.95" customHeight="1">
      <c r="A256" s="64" t="s">
        <v>164</v>
      </c>
      <c r="B256" s="65" t="s">
        <v>421</v>
      </c>
      <c r="C256" s="64" t="s">
        <v>29</v>
      </c>
      <c r="D256" s="64" t="s">
        <v>422</v>
      </c>
      <c r="E256" s="157" t="s">
        <v>167</v>
      </c>
      <c r="F256" s="157"/>
      <c r="G256" s="66" t="s">
        <v>126</v>
      </c>
      <c r="H256" s="67">
        <v>1.5550200000000001</v>
      </c>
      <c r="I256" s="68">
        <v>2.36</v>
      </c>
      <c r="J256" s="128">
        <f t="shared" si="26"/>
        <v>3.67</v>
      </c>
    </row>
    <row r="257" spans="1:10" ht="30" customHeight="1" thickBot="1">
      <c r="A257" s="61"/>
      <c r="B257" s="61"/>
      <c r="C257" s="61"/>
      <c r="D257" s="61"/>
      <c r="E257" s="61"/>
      <c r="F257" s="61"/>
      <c r="G257" s="61" t="s">
        <v>158</v>
      </c>
      <c r="H257" s="62">
        <f>JANDUÍ!F38</f>
        <v>3874.76</v>
      </c>
      <c r="I257" s="61" t="s">
        <v>159</v>
      </c>
      <c r="J257" s="127">
        <f>JANDUÍ!I38</f>
        <v>68277.11</v>
      </c>
    </row>
    <row r="258" spans="1:10" ht="1.05" customHeight="1" thickTop="1">
      <c r="A258" s="63"/>
      <c r="B258" s="63"/>
      <c r="C258" s="63"/>
      <c r="D258" s="63"/>
      <c r="E258" s="63"/>
      <c r="F258" s="63"/>
      <c r="G258" s="63"/>
      <c r="H258" s="63"/>
      <c r="I258" s="63"/>
      <c r="J258" s="129"/>
    </row>
    <row r="259" spans="1:10" ht="18" customHeight="1">
      <c r="A259" s="48" t="s">
        <v>352</v>
      </c>
      <c r="B259" s="49" t="s">
        <v>9</v>
      </c>
      <c r="C259" s="48" t="s">
        <v>10</v>
      </c>
      <c r="D259" s="48" t="s">
        <v>11</v>
      </c>
      <c r="E259" s="159" t="s">
        <v>150</v>
      </c>
      <c r="F259" s="159"/>
      <c r="G259" s="50" t="s">
        <v>12</v>
      </c>
      <c r="H259" s="49" t="s">
        <v>13</v>
      </c>
      <c r="I259" s="49" t="s">
        <v>14</v>
      </c>
      <c r="J259" s="133" t="s">
        <v>16</v>
      </c>
    </row>
    <row r="260" spans="1:10" ht="25.95" customHeight="1">
      <c r="A260" s="51" t="s">
        <v>151</v>
      </c>
      <c r="B260" s="52" t="s">
        <v>337</v>
      </c>
      <c r="C260" s="51" t="s">
        <v>29</v>
      </c>
      <c r="D260" s="51" t="s">
        <v>338</v>
      </c>
      <c r="E260" s="160" t="s">
        <v>184</v>
      </c>
      <c r="F260" s="160"/>
      <c r="G260" s="53" t="s">
        <v>31</v>
      </c>
      <c r="H260" s="54">
        <v>1</v>
      </c>
      <c r="I260" s="55">
        <f>JANDUÍ!G39</f>
        <v>3.19</v>
      </c>
      <c r="J260" s="128">
        <f t="shared" ref="J260:J263" si="27">ROUND(H260*I260,2)</f>
        <v>3.19</v>
      </c>
    </row>
    <row r="261" spans="1:10" ht="24" customHeight="1">
      <c r="A261" s="56" t="s">
        <v>153</v>
      </c>
      <c r="B261" s="57" t="s">
        <v>185</v>
      </c>
      <c r="C261" s="56" t="s">
        <v>29</v>
      </c>
      <c r="D261" s="56" t="s">
        <v>186</v>
      </c>
      <c r="E261" s="161" t="s">
        <v>152</v>
      </c>
      <c r="F261" s="161"/>
      <c r="G261" s="58" t="s">
        <v>24</v>
      </c>
      <c r="H261" s="59">
        <v>5.3999999999999999E-2</v>
      </c>
      <c r="I261" s="60">
        <v>26.6</v>
      </c>
      <c r="J261" s="128">
        <f t="shared" si="27"/>
        <v>1.44</v>
      </c>
    </row>
    <row r="262" spans="1:10" ht="24" customHeight="1">
      <c r="A262" s="56" t="s">
        <v>153</v>
      </c>
      <c r="B262" s="57" t="s">
        <v>156</v>
      </c>
      <c r="C262" s="56" t="s">
        <v>29</v>
      </c>
      <c r="D262" s="56" t="s">
        <v>157</v>
      </c>
      <c r="E262" s="161" t="s">
        <v>152</v>
      </c>
      <c r="F262" s="161"/>
      <c r="G262" s="58" t="s">
        <v>24</v>
      </c>
      <c r="H262" s="59">
        <v>1.4E-2</v>
      </c>
      <c r="I262" s="60">
        <v>20.420000000000002</v>
      </c>
      <c r="J262" s="128">
        <f t="shared" si="27"/>
        <v>0.28999999999999998</v>
      </c>
    </row>
    <row r="263" spans="1:10" ht="24" customHeight="1">
      <c r="A263" s="64" t="s">
        <v>164</v>
      </c>
      <c r="B263" s="65" t="s">
        <v>423</v>
      </c>
      <c r="C263" s="64" t="s">
        <v>29</v>
      </c>
      <c r="D263" s="64" t="s">
        <v>424</v>
      </c>
      <c r="E263" s="157" t="s">
        <v>167</v>
      </c>
      <c r="F263" s="157"/>
      <c r="G263" s="66" t="s">
        <v>175</v>
      </c>
      <c r="H263" s="67">
        <v>0.16</v>
      </c>
      <c r="I263" s="68">
        <v>9.2899999999999991</v>
      </c>
      <c r="J263" s="128">
        <f t="shared" si="27"/>
        <v>1.49</v>
      </c>
    </row>
    <row r="264" spans="1:10" ht="30" customHeight="1" thickBot="1">
      <c r="A264" s="61"/>
      <c r="B264" s="61"/>
      <c r="C264" s="61"/>
      <c r="D264" s="61"/>
      <c r="E264" s="61"/>
      <c r="F264" s="61"/>
      <c r="G264" s="61" t="s">
        <v>158</v>
      </c>
      <c r="H264" s="62">
        <f>JANDUÍ!F39</f>
        <v>5072.8</v>
      </c>
      <c r="I264" s="61" t="s">
        <v>159</v>
      </c>
      <c r="J264" s="127">
        <f>JANDUÍ!I39</f>
        <v>19884.73</v>
      </c>
    </row>
    <row r="265" spans="1:10" ht="1.05" customHeight="1" thickTop="1">
      <c r="A265" s="63"/>
      <c r="B265" s="63"/>
      <c r="C265" s="63"/>
      <c r="D265" s="63"/>
      <c r="E265" s="63"/>
      <c r="F265" s="63"/>
      <c r="G265" s="63"/>
      <c r="H265" s="63"/>
      <c r="I265" s="63"/>
      <c r="J265" s="129"/>
    </row>
    <row r="266" spans="1:10" ht="18" customHeight="1">
      <c r="A266" s="48" t="s">
        <v>355</v>
      </c>
      <c r="B266" s="49" t="s">
        <v>9</v>
      </c>
      <c r="C266" s="48" t="s">
        <v>10</v>
      </c>
      <c r="D266" s="48" t="s">
        <v>11</v>
      </c>
      <c r="E266" s="159" t="s">
        <v>150</v>
      </c>
      <c r="F266" s="159"/>
      <c r="G266" s="50" t="s">
        <v>12</v>
      </c>
      <c r="H266" s="49" t="s">
        <v>13</v>
      </c>
      <c r="I266" s="49" t="s">
        <v>14</v>
      </c>
      <c r="J266" s="133" t="s">
        <v>16</v>
      </c>
    </row>
    <row r="267" spans="1:10" ht="25.95" customHeight="1">
      <c r="A267" s="51" t="s">
        <v>151</v>
      </c>
      <c r="B267" s="52" t="s">
        <v>339</v>
      </c>
      <c r="C267" s="51" t="s">
        <v>29</v>
      </c>
      <c r="D267" s="51" t="s">
        <v>340</v>
      </c>
      <c r="E267" s="160" t="s">
        <v>184</v>
      </c>
      <c r="F267" s="160"/>
      <c r="G267" s="53" t="s">
        <v>31</v>
      </c>
      <c r="H267" s="54">
        <v>1</v>
      </c>
      <c r="I267" s="55">
        <f>JANDUÍ!G40</f>
        <v>16.21</v>
      </c>
      <c r="J267" s="128">
        <f t="shared" ref="J267:J270" si="28">ROUND(H267*I267,2)</f>
        <v>16.21</v>
      </c>
    </row>
    <row r="268" spans="1:10" ht="24" customHeight="1">
      <c r="A268" s="56" t="s">
        <v>153</v>
      </c>
      <c r="B268" s="57" t="s">
        <v>185</v>
      </c>
      <c r="C268" s="56" t="s">
        <v>29</v>
      </c>
      <c r="D268" s="56" t="s">
        <v>186</v>
      </c>
      <c r="E268" s="161" t="s">
        <v>152</v>
      </c>
      <c r="F268" s="161"/>
      <c r="G268" s="58" t="s">
        <v>24</v>
      </c>
      <c r="H268" s="59">
        <v>0.34399999999999997</v>
      </c>
      <c r="I268" s="60">
        <v>26.6</v>
      </c>
      <c r="J268" s="128">
        <f t="shared" si="28"/>
        <v>9.15</v>
      </c>
    </row>
    <row r="269" spans="1:10" ht="24" customHeight="1">
      <c r="A269" s="56" t="s">
        <v>153</v>
      </c>
      <c r="B269" s="57" t="s">
        <v>156</v>
      </c>
      <c r="C269" s="56" t="s">
        <v>29</v>
      </c>
      <c r="D269" s="56" t="s">
        <v>157</v>
      </c>
      <c r="E269" s="161" t="s">
        <v>152</v>
      </c>
      <c r="F269" s="161"/>
      <c r="G269" s="58" t="s">
        <v>24</v>
      </c>
      <c r="H269" s="59">
        <v>8.5999999999999993E-2</v>
      </c>
      <c r="I269" s="60">
        <v>20.420000000000002</v>
      </c>
      <c r="J269" s="128">
        <f t="shared" si="28"/>
        <v>1.76</v>
      </c>
    </row>
    <row r="270" spans="1:10" ht="24" customHeight="1">
      <c r="A270" s="64" t="s">
        <v>164</v>
      </c>
      <c r="B270" s="65" t="s">
        <v>425</v>
      </c>
      <c r="C270" s="64" t="s">
        <v>29</v>
      </c>
      <c r="D270" s="64" t="s">
        <v>426</v>
      </c>
      <c r="E270" s="157" t="s">
        <v>167</v>
      </c>
      <c r="F270" s="157"/>
      <c r="G270" s="66" t="s">
        <v>175</v>
      </c>
      <c r="H270" s="67">
        <v>0.2</v>
      </c>
      <c r="I270" s="68">
        <v>26.59</v>
      </c>
      <c r="J270" s="128">
        <f t="shared" si="28"/>
        <v>5.32</v>
      </c>
    </row>
    <row r="271" spans="1:10" ht="30" customHeight="1" thickBot="1">
      <c r="A271" s="61"/>
      <c r="B271" s="61"/>
      <c r="C271" s="61"/>
      <c r="D271" s="61"/>
      <c r="E271" s="61"/>
      <c r="F271" s="61"/>
      <c r="G271" s="61" t="s">
        <v>158</v>
      </c>
      <c r="H271" s="62">
        <f>JANDUÍ!F40</f>
        <v>5072.8</v>
      </c>
      <c r="I271" s="61" t="s">
        <v>159</v>
      </c>
      <c r="J271" s="127">
        <f>JANDUÍ!I40</f>
        <v>101044.33</v>
      </c>
    </row>
    <row r="272" spans="1:10" ht="1.05" customHeight="1" thickTop="1">
      <c r="A272" s="63"/>
      <c r="B272" s="63"/>
      <c r="C272" s="63"/>
      <c r="D272" s="63"/>
      <c r="E272" s="63"/>
      <c r="F272" s="63"/>
      <c r="G272" s="63"/>
      <c r="H272" s="63"/>
      <c r="I272" s="63"/>
      <c r="J272" s="129"/>
    </row>
    <row r="273" spans="1:10" ht="18" customHeight="1">
      <c r="A273" s="48" t="s">
        <v>356</v>
      </c>
      <c r="B273" s="49" t="s">
        <v>9</v>
      </c>
      <c r="C273" s="48" t="s">
        <v>10</v>
      </c>
      <c r="D273" s="48" t="s">
        <v>11</v>
      </c>
      <c r="E273" s="159" t="s">
        <v>150</v>
      </c>
      <c r="F273" s="159"/>
      <c r="G273" s="50" t="s">
        <v>12</v>
      </c>
      <c r="H273" s="49" t="s">
        <v>13</v>
      </c>
      <c r="I273" s="49" t="s">
        <v>14</v>
      </c>
      <c r="J273" s="133" t="s">
        <v>16</v>
      </c>
    </row>
    <row r="274" spans="1:10" ht="39" customHeight="1">
      <c r="A274" s="51" t="s">
        <v>151</v>
      </c>
      <c r="B274" s="52" t="s">
        <v>501</v>
      </c>
      <c r="C274" s="51" t="s">
        <v>29</v>
      </c>
      <c r="D274" s="51" t="s">
        <v>502</v>
      </c>
      <c r="E274" s="160" t="s">
        <v>184</v>
      </c>
      <c r="F274" s="160"/>
      <c r="G274" s="53" t="s">
        <v>31</v>
      </c>
      <c r="H274" s="54">
        <v>1</v>
      </c>
      <c r="I274" s="55">
        <f>JANDUÍ!G41</f>
        <v>15.95</v>
      </c>
      <c r="J274" s="128">
        <f t="shared" ref="J274:J277" si="29">ROUND(H274*I274,2)</f>
        <v>15.95</v>
      </c>
    </row>
    <row r="275" spans="1:10" ht="24" customHeight="1">
      <c r="A275" s="56" t="s">
        <v>153</v>
      </c>
      <c r="B275" s="57" t="s">
        <v>185</v>
      </c>
      <c r="C275" s="56" t="s">
        <v>29</v>
      </c>
      <c r="D275" s="56" t="s">
        <v>186</v>
      </c>
      <c r="E275" s="161" t="s">
        <v>152</v>
      </c>
      <c r="F275" s="161"/>
      <c r="G275" s="58" t="s">
        <v>24</v>
      </c>
      <c r="H275" s="59">
        <v>0.3805</v>
      </c>
      <c r="I275" s="60">
        <v>26.6</v>
      </c>
      <c r="J275" s="128">
        <f t="shared" si="29"/>
        <v>10.119999999999999</v>
      </c>
    </row>
    <row r="276" spans="1:10" ht="24" customHeight="1">
      <c r="A276" s="64" t="s">
        <v>164</v>
      </c>
      <c r="B276" s="65" t="s">
        <v>605</v>
      </c>
      <c r="C276" s="64" t="s">
        <v>29</v>
      </c>
      <c r="D276" s="64" t="s">
        <v>606</v>
      </c>
      <c r="E276" s="157" t="s">
        <v>167</v>
      </c>
      <c r="F276" s="157"/>
      <c r="G276" s="66" t="s">
        <v>175</v>
      </c>
      <c r="H276" s="67">
        <v>1.4E-2</v>
      </c>
      <c r="I276" s="68">
        <v>26.4</v>
      </c>
      <c r="J276" s="128">
        <f t="shared" si="29"/>
        <v>0.37</v>
      </c>
    </row>
    <row r="277" spans="1:10" ht="24" customHeight="1">
      <c r="A277" s="64" t="s">
        <v>164</v>
      </c>
      <c r="B277" s="65" t="s">
        <v>607</v>
      </c>
      <c r="C277" s="64" t="s">
        <v>29</v>
      </c>
      <c r="D277" s="64" t="s">
        <v>608</v>
      </c>
      <c r="E277" s="157" t="s">
        <v>167</v>
      </c>
      <c r="F277" s="157"/>
      <c r="G277" s="66" t="s">
        <v>175</v>
      </c>
      <c r="H277" s="67">
        <v>0.14030000000000001</v>
      </c>
      <c r="I277" s="68">
        <v>39.01</v>
      </c>
      <c r="J277" s="128">
        <f t="shared" si="29"/>
        <v>5.47</v>
      </c>
    </row>
    <row r="278" spans="1:10" ht="30" customHeight="1" thickBot="1">
      <c r="A278" s="61"/>
      <c r="B278" s="61"/>
      <c r="C278" s="61"/>
      <c r="D278" s="61"/>
      <c r="E278" s="61"/>
      <c r="F278" s="61"/>
      <c r="G278" s="61" t="s">
        <v>158</v>
      </c>
      <c r="H278" s="62">
        <f>JANDUÍ!F41</f>
        <v>231.84</v>
      </c>
      <c r="I278" s="61" t="s">
        <v>159</v>
      </c>
      <c r="J278" s="127">
        <f>JANDUÍ!I41</f>
        <v>4543.92</v>
      </c>
    </row>
    <row r="279" spans="1:10" ht="1.05" customHeight="1" thickTop="1">
      <c r="A279" s="63"/>
      <c r="B279" s="63"/>
      <c r="C279" s="63"/>
      <c r="D279" s="63"/>
      <c r="E279" s="63"/>
      <c r="F279" s="63"/>
      <c r="G279" s="63"/>
      <c r="H279" s="63"/>
      <c r="I279" s="63"/>
      <c r="J279" s="129"/>
    </row>
    <row r="280" spans="1:10" ht="18" customHeight="1">
      <c r="A280" s="48" t="s">
        <v>522</v>
      </c>
      <c r="B280" s="49" t="s">
        <v>9</v>
      </c>
      <c r="C280" s="48" t="s">
        <v>10</v>
      </c>
      <c r="D280" s="48" t="s">
        <v>11</v>
      </c>
      <c r="E280" s="159" t="s">
        <v>150</v>
      </c>
      <c r="F280" s="159"/>
      <c r="G280" s="50" t="s">
        <v>12</v>
      </c>
      <c r="H280" s="49" t="s">
        <v>13</v>
      </c>
      <c r="I280" s="49" t="s">
        <v>14</v>
      </c>
      <c r="J280" s="133" t="s">
        <v>16</v>
      </c>
    </row>
    <row r="281" spans="1:10" ht="52.05" customHeight="1">
      <c r="A281" s="51" t="s">
        <v>151</v>
      </c>
      <c r="B281" s="52" t="s">
        <v>504</v>
      </c>
      <c r="C281" s="51" t="s">
        <v>29</v>
      </c>
      <c r="D281" s="51" t="s">
        <v>505</v>
      </c>
      <c r="E281" s="160" t="s">
        <v>184</v>
      </c>
      <c r="F281" s="160"/>
      <c r="G281" s="53" t="s">
        <v>31</v>
      </c>
      <c r="H281" s="54">
        <v>1</v>
      </c>
      <c r="I281" s="55">
        <f>JANDUÍ!G42</f>
        <v>47.4</v>
      </c>
      <c r="J281" s="128">
        <f t="shared" ref="J281:J284" si="30">ROUND(H281*I281,2)</f>
        <v>47.4</v>
      </c>
    </row>
    <row r="282" spans="1:10" ht="24" customHeight="1">
      <c r="A282" s="56" t="s">
        <v>153</v>
      </c>
      <c r="B282" s="57" t="s">
        <v>185</v>
      </c>
      <c r="C282" s="56" t="s">
        <v>29</v>
      </c>
      <c r="D282" s="56" t="s">
        <v>186</v>
      </c>
      <c r="E282" s="161" t="s">
        <v>152</v>
      </c>
      <c r="F282" s="161"/>
      <c r="G282" s="58" t="s">
        <v>24</v>
      </c>
      <c r="H282" s="59">
        <v>1.0530999999999999</v>
      </c>
      <c r="I282" s="60">
        <v>26.6</v>
      </c>
      <c r="J282" s="128">
        <f t="shared" si="30"/>
        <v>28.01</v>
      </c>
    </row>
    <row r="283" spans="1:10" ht="24" customHeight="1">
      <c r="A283" s="64" t="s">
        <v>164</v>
      </c>
      <c r="B283" s="65" t="s">
        <v>605</v>
      </c>
      <c r="C283" s="64" t="s">
        <v>29</v>
      </c>
      <c r="D283" s="64" t="s">
        <v>606</v>
      </c>
      <c r="E283" s="157" t="s">
        <v>167</v>
      </c>
      <c r="F283" s="157"/>
      <c r="G283" s="66" t="s">
        <v>175</v>
      </c>
      <c r="H283" s="67">
        <v>0.124</v>
      </c>
      <c r="I283" s="68">
        <v>26.4</v>
      </c>
      <c r="J283" s="128">
        <f t="shared" si="30"/>
        <v>3.27</v>
      </c>
    </row>
    <row r="284" spans="1:10" ht="24" customHeight="1">
      <c r="A284" s="64" t="s">
        <v>164</v>
      </c>
      <c r="B284" s="65" t="s">
        <v>607</v>
      </c>
      <c r="C284" s="64" t="s">
        <v>29</v>
      </c>
      <c r="D284" s="64" t="s">
        <v>608</v>
      </c>
      <c r="E284" s="157" t="s">
        <v>167</v>
      </c>
      <c r="F284" s="157"/>
      <c r="G284" s="66" t="s">
        <v>175</v>
      </c>
      <c r="H284" s="67">
        <v>0.41339999999999999</v>
      </c>
      <c r="I284" s="68">
        <v>39.01</v>
      </c>
      <c r="J284" s="128">
        <f t="shared" si="30"/>
        <v>16.13</v>
      </c>
    </row>
    <row r="285" spans="1:10" ht="30" customHeight="1" thickBot="1">
      <c r="A285" s="61"/>
      <c r="B285" s="61"/>
      <c r="C285" s="61"/>
      <c r="D285" s="61"/>
      <c r="E285" s="61"/>
      <c r="F285" s="61"/>
      <c r="G285" s="61" t="s">
        <v>158</v>
      </c>
      <c r="H285" s="62">
        <f>JANDUÍ!F42</f>
        <v>110</v>
      </c>
      <c r="I285" s="61" t="s">
        <v>159</v>
      </c>
      <c r="J285" s="127">
        <f>JANDUÍ!I42</f>
        <v>6406.96</v>
      </c>
    </row>
    <row r="286" spans="1:10" ht="1.05" customHeight="1" thickTop="1">
      <c r="A286" s="63"/>
      <c r="B286" s="63"/>
      <c r="C286" s="63"/>
      <c r="D286" s="63"/>
      <c r="E286" s="63"/>
      <c r="F286" s="63"/>
      <c r="G286" s="63"/>
      <c r="H286" s="63"/>
      <c r="I286" s="63"/>
      <c r="J286" s="129"/>
    </row>
    <row r="287" spans="1:10" ht="18" customHeight="1">
      <c r="A287" s="48" t="s">
        <v>523</v>
      </c>
      <c r="B287" s="49" t="s">
        <v>9</v>
      </c>
      <c r="C287" s="48" t="s">
        <v>10</v>
      </c>
      <c r="D287" s="48" t="s">
        <v>11</v>
      </c>
      <c r="E287" s="159" t="s">
        <v>150</v>
      </c>
      <c r="F287" s="159"/>
      <c r="G287" s="50" t="s">
        <v>12</v>
      </c>
      <c r="H287" s="49" t="s">
        <v>13</v>
      </c>
      <c r="I287" s="49" t="s">
        <v>14</v>
      </c>
      <c r="J287" s="133" t="s">
        <v>16</v>
      </c>
    </row>
    <row r="288" spans="1:10" ht="25.95" customHeight="1">
      <c r="A288" s="51" t="s">
        <v>151</v>
      </c>
      <c r="B288" s="52" t="s">
        <v>784</v>
      </c>
      <c r="C288" s="51" t="s">
        <v>29</v>
      </c>
      <c r="D288" s="51" t="s">
        <v>785</v>
      </c>
      <c r="E288" s="160" t="s">
        <v>184</v>
      </c>
      <c r="F288" s="160"/>
      <c r="G288" s="53" t="s">
        <v>31</v>
      </c>
      <c r="H288" s="54">
        <v>1</v>
      </c>
      <c r="I288" s="55">
        <f>JANDUÍ!G43</f>
        <v>15.14</v>
      </c>
      <c r="J288" s="128">
        <f t="shared" ref="J288:J291" si="31">ROUND(H288*I288,2)</f>
        <v>15.14</v>
      </c>
    </row>
    <row r="289" spans="1:11" ht="24" customHeight="1">
      <c r="A289" s="56" t="s">
        <v>153</v>
      </c>
      <c r="B289" s="57" t="s">
        <v>185</v>
      </c>
      <c r="C289" s="56" t="s">
        <v>29</v>
      </c>
      <c r="D289" s="56" t="s">
        <v>186</v>
      </c>
      <c r="E289" s="161" t="s">
        <v>152</v>
      </c>
      <c r="F289" s="161"/>
      <c r="G289" s="58" t="s">
        <v>24</v>
      </c>
      <c r="H289" s="59">
        <v>0.187</v>
      </c>
      <c r="I289" s="60">
        <v>26.6</v>
      </c>
      <c r="J289" s="128">
        <f t="shared" si="31"/>
        <v>4.97</v>
      </c>
    </row>
    <row r="290" spans="1:11" ht="24" customHeight="1">
      <c r="A290" s="56" t="s">
        <v>153</v>
      </c>
      <c r="B290" s="57" t="s">
        <v>156</v>
      </c>
      <c r="C290" s="56" t="s">
        <v>29</v>
      </c>
      <c r="D290" s="56" t="s">
        <v>157</v>
      </c>
      <c r="E290" s="161" t="s">
        <v>152</v>
      </c>
      <c r="F290" s="161"/>
      <c r="G290" s="58" t="s">
        <v>24</v>
      </c>
      <c r="H290" s="59">
        <v>6.9000000000000006E-2</v>
      </c>
      <c r="I290" s="60">
        <v>20.420000000000002</v>
      </c>
      <c r="J290" s="128">
        <f t="shared" si="31"/>
        <v>1.41</v>
      </c>
    </row>
    <row r="291" spans="1:11" ht="24" customHeight="1">
      <c r="A291" s="64" t="s">
        <v>164</v>
      </c>
      <c r="B291" s="65" t="s">
        <v>425</v>
      </c>
      <c r="C291" s="64" t="s">
        <v>29</v>
      </c>
      <c r="D291" s="64" t="s">
        <v>426</v>
      </c>
      <c r="E291" s="157" t="s">
        <v>167</v>
      </c>
      <c r="F291" s="157"/>
      <c r="G291" s="66" t="s">
        <v>175</v>
      </c>
      <c r="H291" s="67">
        <v>0.33</v>
      </c>
      <c r="I291" s="68">
        <v>26.59</v>
      </c>
      <c r="J291" s="128">
        <f t="shared" si="31"/>
        <v>8.77</v>
      </c>
    </row>
    <row r="292" spans="1:11" ht="30" customHeight="1" thickBot="1">
      <c r="A292" s="61"/>
      <c r="B292" s="61"/>
      <c r="C292" s="61"/>
      <c r="D292" s="61"/>
      <c r="E292" s="61"/>
      <c r="F292" s="61"/>
      <c r="G292" s="61" t="s">
        <v>158</v>
      </c>
      <c r="H292" s="62">
        <f>JANDUÍ!F43</f>
        <v>1200</v>
      </c>
      <c r="I292" s="61" t="s">
        <v>159</v>
      </c>
      <c r="J292" s="127">
        <f>JANDUÍ!I43</f>
        <v>22324.84</v>
      </c>
    </row>
    <row r="293" spans="1:11" ht="1.05" customHeight="1" thickTop="1">
      <c r="A293" s="63"/>
      <c r="B293" s="63"/>
      <c r="C293" s="63"/>
      <c r="D293" s="63"/>
      <c r="E293" s="63"/>
      <c r="F293" s="63"/>
      <c r="G293" s="63"/>
      <c r="H293" s="63"/>
      <c r="I293" s="63"/>
      <c r="J293" s="129"/>
    </row>
    <row r="294" spans="1:11" ht="18" customHeight="1">
      <c r="A294" s="48" t="s">
        <v>786</v>
      </c>
      <c r="B294" s="49" t="s">
        <v>9</v>
      </c>
      <c r="C294" s="48" t="s">
        <v>10</v>
      </c>
      <c r="D294" s="48" t="s">
        <v>11</v>
      </c>
      <c r="E294" s="159" t="s">
        <v>150</v>
      </c>
      <c r="F294" s="159"/>
      <c r="G294" s="50" t="s">
        <v>12</v>
      </c>
      <c r="H294" s="49" t="s">
        <v>13</v>
      </c>
      <c r="I294" s="49" t="s">
        <v>14</v>
      </c>
      <c r="J294" s="133" t="s">
        <v>16</v>
      </c>
    </row>
    <row r="295" spans="1:11" ht="25.95" customHeight="1">
      <c r="A295" s="51" t="s">
        <v>151</v>
      </c>
      <c r="B295" s="52" t="s">
        <v>552</v>
      </c>
      <c r="C295" s="51" t="s">
        <v>29</v>
      </c>
      <c r="D295" s="51" t="s">
        <v>553</v>
      </c>
      <c r="E295" s="160" t="s">
        <v>683</v>
      </c>
      <c r="F295" s="160"/>
      <c r="G295" s="53" t="s">
        <v>31</v>
      </c>
      <c r="H295" s="54">
        <v>1</v>
      </c>
      <c r="I295" s="55">
        <f>JANDUÍ!G44</f>
        <v>42.4</v>
      </c>
      <c r="J295" s="128">
        <f t="shared" ref="J295:J298" si="32">ROUND(H295*I295,2)</f>
        <v>42.4</v>
      </c>
    </row>
    <row r="296" spans="1:11" ht="25.95" customHeight="1">
      <c r="A296" s="56" t="s">
        <v>153</v>
      </c>
      <c r="B296" s="57" t="s">
        <v>684</v>
      </c>
      <c r="C296" s="56" t="s">
        <v>29</v>
      </c>
      <c r="D296" s="56" t="s">
        <v>685</v>
      </c>
      <c r="E296" s="161" t="s">
        <v>152</v>
      </c>
      <c r="F296" s="161"/>
      <c r="G296" s="58" t="s">
        <v>24</v>
      </c>
      <c r="H296" s="59">
        <v>8.5000000000000006E-2</v>
      </c>
      <c r="I296" s="60">
        <v>22.65</v>
      </c>
      <c r="J296" s="128">
        <f t="shared" si="32"/>
        <v>1.93</v>
      </c>
    </row>
    <row r="297" spans="1:11" ht="24" customHeight="1">
      <c r="A297" s="56" t="s">
        <v>153</v>
      </c>
      <c r="B297" s="57" t="s">
        <v>686</v>
      </c>
      <c r="C297" s="56" t="s">
        <v>29</v>
      </c>
      <c r="D297" s="56" t="s">
        <v>687</v>
      </c>
      <c r="E297" s="161" t="s">
        <v>152</v>
      </c>
      <c r="F297" s="161"/>
      <c r="G297" s="58" t="s">
        <v>24</v>
      </c>
      <c r="H297" s="59">
        <v>0.42199999999999999</v>
      </c>
      <c r="I297" s="60">
        <v>25.38</v>
      </c>
      <c r="J297" s="128">
        <f t="shared" si="32"/>
        <v>10.71</v>
      </c>
    </row>
    <row r="298" spans="1:11" ht="52.05" customHeight="1">
      <c r="A298" s="64" t="s">
        <v>164</v>
      </c>
      <c r="B298" s="65" t="s">
        <v>688</v>
      </c>
      <c r="C298" s="64" t="s">
        <v>29</v>
      </c>
      <c r="D298" s="64" t="s">
        <v>689</v>
      </c>
      <c r="E298" s="157" t="s">
        <v>167</v>
      </c>
      <c r="F298" s="157"/>
      <c r="G298" s="66" t="s">
        <v>126</v>
      </c>
      <c r="H298" s="67">
        <v>1.5</v>
      </c>
      <c r="I298" s="68">
        <v>19.850000000000001</v>
      </c>
      <c r="J298" s="128">
        <f t="shared" si="32"/>
        <v>29.78</v>
      </c>
    </row>
    <row r="299" spans="1:11" ht="30" customHeight="1" thickBot="1">
      <c r="A299" s="61"/>
      <c r="B299" s="61"/>
      <c r="C299" s="61"/>
      <c r="D299" s="61"/>
      <c r="E299" s="61"/>
      <c r="F299" s="61"/>
      <c r="G299" s="61" t="s">
        <v>158</v>
      </c>
      <c r="H299" s="62">
        <f>JANDUÍ!F44</f>
        <v>1409.7719999999999</v>
      </c>
      <c r="I299" s="61" t="s">
        <v>159</v>
      </c>
      <c r="J299" s="127">
        <f>JANDUÍ!I44</f>
        <v>73450.7</v>
      </c>
    </row>
    <row r="300" spans="1:11" ht="1.05" customHeight="1" thickTop="1">
      <c r="A300" s="63"/>
      <c r="B300" s="63"/>
      <c r="C300" s="63"/>
      <c r="D300" s="63"/>
      <c r="E300" s="63"/>
      <c r="F300" s="63"/>
      <c r="G300" s="63"/>
      <c r="H300" s="63"/>
      <c r="I300" s="63"/>
      <c r="J300" s="129"/>
    </row>
    <row r="301" spans="1:11" ht="24" customHeight="1">
      <c r="A301" s="45" t="s">
        <v>89</v>
      </c>
      <c r="B301" s="45"/>
      <c r="C301" s="45"/>
      <c r="D301" s="45" t="str">
        <f>JANDUÍ!D45</f>
        <v>INSTALAÇAOES ELETRICAS</v>
      </c>
      <c r="E301" s="45"/>
      <c r="F301" s="158"/>
      <c r="G301" s="158"/>
      <c r="H301" s="46"/>
      <c r="I301" s="45"/>
      <c r="J301" s="130">
        <f>SUM(J310,J320,J333,J341,J351,J364,J372,J380)</f>
        <v>34302.39</v>
      </c>
    </row>
    <row r="302" spans="1:11" ht="18" customHeight="1">
      <c r="A302" s="48" t="s">
        <v>90</v>
      </c>
      <c r="B302" s="49" t="s">
        <v>9</v>
      </c>
      <c r="C302" s="48" t="s">
        <v>10</v>
      </c>
      <c r="D302" s="48" t="s">
        <v>11</v>
      </c>
      <c r="E302" s="159" t="s">
        <v>150</v>
      </c>
      <c r="F302" s="159"/>
      <c r="G302" s="50" t="s">
        <v>12</v>
      </c>
      <c r="H302" s="49" t="s">
        <v>13</v>
      </c>
      <c r="I302" s="49" t="s">
        <v>14</v>
      </c>
      <c r="J302" s="133" t="s">
        <v>16</v>
      </c>
    </row>
    <row r="303" spans="1:11" ht="25.95" customHeight="1">
      <c r="A303" s="51" t="s">
        <v>151</v>
      </c>
      <c r="B303" s="52" t="s">
        <v>44</v>
      </c>
      <c r="C303" s="51" t="s">
        <v>22</v>
      </c>
      <c r="D303" s="51" t="s">
        <v>45</v>
      </c>
      <c r="E303" s="160" t="s">
        <v>152</v>
      </c>
      <c r="F303" s="160"/>
      <c r="G303" s="53" t="s">
        <v>46</v>
      </c>
      <c r="H303" s="54">
        <v>1</v>
      </c>
      <c r="I303" s="55">
        <f>JANDUÍ!G46</f>
        <v>123.61</v>
      </c>
      <c r="J303" s="128">
        <f t="shared" ref="J303:J309" si="33">ROUND(H303*I303,2)</f>
        <v>123.61</v>
      </c>
      <c r="K303" s="143"/>
    </row>
    <row r="304" spans="1:11" ht="24" customHeight="1">
      <c r="A304" s="56" t="s">
        <v>153</v>
      </c>
      <c r="B304" s="57" t="s">
        <v>193</v>
      </c>
      <c r="C304" s="56" t="s">
        <v>29</v>
      </c>
      <c r="D304" s="56" t="s">
        <v>194</v>
      </c>
      <c r="E304" s="161" t="s">
        <v>152</v>
      </c>
      <c r="F304" s="161"/>
      <c r="G304" s="58" t="s">
        <v>24</v>
      </c>
      <c r="H304" s="59">
        <v>2</v>
      </c>
      <c r="I304" s="60">
        <v>25.69</v>
      </c>
      <c r="J304" s="128">
        <f t="shared" si="33"/>
        <v>51.38</v>
      </c>
      <c r="K304" s="143"/>
    </row>
    <row r="305" spans="1:11" ht="24" customHeight="1">
      <c r="A305" s="56" t="s">
        <v>153</v>
      </c>
      <c r="B305" s="57" t="s">
        <v>156</v>
      </c>
      <c r="C305" s="56" t="s">
        <v>29</v>
      </c>
      <c r="D305" s="56" t="s">
        <v>157</v>
      </c>
      <c r="E305" s="161" t="s">
        <v>152</v>
      </c>
      <c r="F305" s="161"/>
      <c r="G305" s="58" t="s">
        <v>24</v>
      </c>
      <c r="H305" s="59">
        <v>1</v>
      </c>
      <c r="I305" s="60">
        <v>20.420000000000002</v>
      </c>
      <c r="J305" s="128">
        <f t="shared" si="33"/>
        <v>20.420000000000002</v>
      </c>
    </row>
    <row r="306" spans="1:11" ht="25.95" customHeight="1">
      <c r="A306" s="64" t="s">
        <v>164</v>
      </c>
      <c r="B306" s="65" t="s">
        <v>195</v>
      </c>
      <c r="C306" s="64" t="s">
        <v>29</v>
      </c>
      <c r="D306" s="64" t="s">
        <v>196</v>
      </c>
      <c r="E306" s="157" t="s">
        <v>167</v>
      </c>
      <c r="F306" s="157"/>
      <c r="G306" s="66" t="s">
        <v>126</v>
      </c>
      <c r="H306" s="67">
        <v>6.0000000000000001E-3</v>
      </c>
      <c r="I306" s="68">
        <v>27</v>
      </c>
      <c r="J306" s="128">
        <f t="shared" si="33"/>
        <v>0.16</v>
      </c>
    </row>
    <row r="307" spans="1:11" ht="25.95" customHeight="1">
      <c r="A307" s="64" t="s">
        <v>164</v>
      </c>
      <c r="B307" s="65" t="s">
        <v>197</v>
      </c>
      <c r="C307" s="64" t="s">
        <v>29</v>
      </c>
      <c r="D307" s="64" t="s">
        <v>198</v>
      </c>
      <c r="E307" s="157" t="s">
        <v>167</v>
      </c>
      <c r="F307" s="157"/>
      <c r="G307" s="66" t="s">
        <v>40</v>
      </c>
      <c r="H307" s="67">
        <v>12</v>
      </c>
      <c r="I307" s="68">
        <v>2.6</v>
      </c>
      <c r="J307" s="128">
        <f t="shared" si="33"/>
        <v>31.2</v>
      </c>
    </row>
    <row r="308" spans="1:11" ht="25.95" customHeight="1">
      <c r="A308" s="64" t="s">
        <v>164</v>
      </c>
      <c r="B308" s="65" t="s">
        <v>199</v>
      </c>
      <c r="C308" s="64" t="s">
        <v>29</v>
      </c>
      <c r="D308" s="64" t="s">
        <v>200</v>
      </c>
      <c r="E308" s="157" t="s">
        <v>167</v>
      </c>
      <c r="F308" s="157"/>
      <c r="G308" s="66" t="s">
        <v>59</v>
      </c>
      <c r="H308" s="67">
        <v>0.5</v>
      </c>
      <c r="I308" s="68">
        <v>23.96</v>
      </c>
      <c r="J308" s="128">
        <f t="shared" si="33"/>
        <v>11.98</v>
      </c>
    </row>
    <row r="309" spans="1:11" ht="24" customHeight="1">
      <c r="A309" s="64" t="s">
        <v>164</v>
      </c>
      <c r="B309" s="65" t="s">
        <v>201</v>
      </c>
      <c r="C309" s="64" t="s">
        <v>29</v>
      </c>
      <c r="D309" s="64" t="s">
        <v>202</v>
      </c>
      <c r="E309" s="157" t="s">
        <v>167</v>
      </c>
      <c r="F309" s="157"/>
      <c r="G309" s="66" t="s">
        <v>59</v>
      </c>
      <c r="H309" s="67">
        <v>1</v>
      </c>
      <c r="I309" s="68">
        <v>8.4700000000000006</v>
      </c>
      <c r="J309" s="128">
        <f t="shared" si="33"/>
        <v>8.4700000000000006</v>
      </c>
    </row>
    <row r="310" spans="1:11" ht="30" customHeight="1" thickBot="1">
      <c r="A310" s="61"/>
      <c r="B310" s="61"/>
      <c r="C310" s="61"/>
      <c r="D310" s="61"/>
      <c r="E310" s="61"/>
      <c r="F310" s="61"/>
      <c r="G310" s="61" t="s">
        <v>158</v>
      </c>
      <c r="H310" s="62">
        <f>JANDUÍ!F46</f>
        <v>20</v>
      </c>
      <c r="I310" s="61" t="s">
        <v>159</v>
      </c>
      <c r="J310" s="127">
        <f>JANDUÍ!I46</f>
        <v>3037.84</v>
      </c>
    </row>
    <row r="311" spans="1:11" ht="1.05" customHeight="1" thickTop="1">
      <c r="A311" s="63"/>
      <c r="B311" s="63"/>
      <c r="C311" s="63"/>
      <c r="D311" s="63"/>
      <c r="E311" s="63"/>
      <c r="F311" s="63"/>
      <c r="G311" s="63"/>
      <c r="H311" s="63"/>
      <c r="I311" s="63"/>
      <c r="J311" s="129"/>
    </row>
    <row r="312" spans="1:11" ht="18" customHeight="1">
      <c r="A312" s="48" t="s">
        <v>357</v>
      </c>
      <c r="B312" s="49" t="s">
        <v>9</v>
      </c>
      <c r="C312" s="48" t="s">
        <v>10</v>
      </c>
      <c r="D312" s="48" t="s">
        <v>11</v>
      </c>
      <c r="E312" s="159" t="s">
        <v>150</v>
      </c>
      <c r="F312" s="159"/>
      <c r="G312" s="50" t="s">
        <v>12</v>
      </c>
      <c r="H312" s="49" t="s">
        <v>13</v>
      </c>
      <c r="I312" s="49" t="s">
        <v>14</v>
      </c>
      <c r="J312" s="133" t="s">
        <v>16</v>
      </c>
    </row>
    <row r="313" spans="1:11" ht="25.95" customHeight="1">
      <c r="A313" s="51" t="s">
        <v>151</v>
      </c>
      <c r="B313" s="52" t="s">
        <v>48</v>
      </c>
      <c r="C313" s="51" t="s">
        <v>22</v>
      </c>
      <c r="D313" s="51" t="s">
        <v>49</v>
      </c>
      <c r="E313" s="160" t="s">
        <v>152</v>
      </c>
      <c r="F313" s="160"/>
      <c r="G313" s="53" t="s">
        <v>46</v>
      </c>
      <c r="H313" s="54">
        <v>1</v>
      </c>
      <c r="I313" s="55">
        <f>JANDUÍ!G47</f>
        <v>122.58</v>
      </c>
      <c r="J313" s="128">
        <f t="shared" ref="J313:J319" si="34">ROUND(H313*I313,2)</f>
        <v>122.58</v>
      </c>
      <c r="K313" s="143"/>
    </row>
    <row r="314" spans="1:11" ht="24" customHeight="1">
      <c r="A314" s="56" t="s">
        <v>153</v>
      </c>
      <c r="B314" s="57" t="s">
        <v>193</v>
      </c>
      <c r="C314" s="56" t="s">
        <v>29</v>
      </c>
      <c r="D314" s="56" t="s">
        <v>194</v>
      </c>
      <c r="E314" s="161" t="s">
        <v>152</v>
      </c>
      <c r="F314" s="161"/>
      <c r="G314" s="58" t="s">
        <v>24</v>
      </c>
      <c r="H314" s="59">
        <v>2</v>
      </c>
      <c r="I314" s="60">
        <v>25.69</v>
      </c>
      <c r="J314" s="128">
        <f t="shared" si="34"/>
        <v>51.38</v>
      </c>
      <c r="K314" s="143"/>
    </row>
    <row r="315" spans="1:11" ht="24" customHeight="1">
      <c r="A315" s="56" t="s">
        <v>153</v>
      </c>
      <c r="B315" s="57" t="s">
        <v>156</v>
      </c>
      <c r="C315" s="56" t="s">
        <v>29</v>
      </c>
      <c r="D315" s="56" t="s">
        <v>157</v>
      </c>
      <c r="E315" s="161" t="s">
        <v>152</v>
      </c>
      <c r="F315" s="161"/>
      <c r="G315" s="58" t="s">
        <v>24</v>
      </c>
      <c r="H315" s="59">
        <v>1</v>
      </c>
      <c r="I315" s="60">
        <v>20.420000000000002</v>
      </c>
      <c r="J315" s="128">
        <f t="shared" si="34"/>
        <v>20.420000000000002</v>
      </c>
    </row>
    <row r="316" spans="1:11" ht="25.95" customHeight="1">
      <c r="A316" s="64" t="s">
        <v>164</v>
      </c>
      <c r="B316" s="65" t="s">
        <v>195</v>
      </c>
      <c r="C316" s="64" t="s">
        <v>29</v>
      </c>
      <c r="D316" s="64" t="s">
        <v>196</v>
      </c>
      <c r="E316" s="157" t="s">
        <v>167</v>
      </c>
      <c r="F316" s="157"/>
      <c r="G316" s="66" t="s">
        <v>126</v>
      </c>
      <c r="H316" s="67">
        <v>6.0000000000000001E-3</v>
      </c>
      <c r="I316" s="68">
        <v>27</v>
      </c>
      <c r="J316" s="128">
        <f t="shared" si="34"/>
        <v>0.16</v>
      </c>
    </row>
    <row r="317" spans="1:11" ht="25.95" customHeight="1">
      <c r="A317" s="64" t="s">
        <v>164</v>
      </c>
      <c r="B317" s="65" t="s">
        <v>197</v>
      </c>
      <c r="C317" s="64" t="s">
        <v>29</v>
      </c>
      <c r="D317" s="64" t="s">
        <v>198</v>
      </c>
      <c r="E317" s="157" t="s">
        <v>167</v>
      </c>
      <c r="F317" s="157"/>
      <c r="G317" s="66" t="s">
        <v>40</v>
      </c>
      <c r="H317" s="67">
        <v>12</v>
      </c>
      <c r="I317" s="68">
        <v>2.6</v>
      </c>
      <c r="J317" s="128">
        <f t="shared" si="34"/>
        <v>31.2</v>
      </c>
    </row>
    <row r="318" spans="1:11" ht="25.95" customHeight="1">
      <c r="A318" s="64" t="s">
        <v>164</v>
      </c>
      <c r="B318" s="65" t="s">
        <v>199</v>
      </c>
      <c r="C318" s="64" t="s">
        <v>29</v>
      </c>
      <c r="D318" s="64" t="s">
        <v>200</v>
      </c>
      <c r="E318" s="157" t="s">
        <v>167</v>
      </c>
      <c r="F318" s="157"/>
      <c r="G318" s="66" t="s">
        <v>59</v>
      </c>
      <c r="H318" s="67">
        <v>0.5</v>
      </c>
      <c r="I318" s="68">
        <v>23.96</v>
      </c>
      <c r="J318" s="128">
        <f t="shared" si="34"/>
        <v>11.98</v>
      </c>
    </row>
    <row r="319" spans="1:11" ht="24" customHeight="1">
      <c r="A319" s="64" t="s">
        <v>164</v>
      </c>
      <c r="B319" s="65" t="s">
        <v>203</v>
      </c>
      <c r="C319" s="64" t="s">
        <v>29</v>
      </c>
      <c r="D319" s="64" t="s">
        <v>204</v>
      </c>
      <c r="E319" s="157" t="s">
        <v>167</v>
      </c>
      <c r="F319" s="157"/>
      <c r="G319" s="66" t="s">
        <v>59</v>
      </c>
      <c r="H319" s="67">
        <v>1</v>
      </c>
      <c r="I319" s="68">
        <v>7.44</v>
      </c>
      <c r="J319" s="128">
        <f t="shared" si="34"/>
        <v>7.44</v>
      </c>
    </row>
    <row r="320" spans="1:11" ht="30" customHeight="1" thickBot="1">
      <c r="A320" s="61"/>
      <c r="B320" s="61"/>
      <c r="C320" s="61"/>
      <c r="D320" s="61"/>
      <c r="E320" s="61"/>
      <c r="F320" s="61"/>
      <c r="G320" s="61" t="s">
        <v>158</v>
      </c>
      <c r="H320" s="62">
        <f>JANDUÍ!F47</f>
        <v>20</v>
      </c>
      <c r="I320" s="61" t="s">
        <v>159</v>
      </c>
      <c r="J320" s="127">
        <f>JANDUÍ!I47</f>
        <v>3012.53</v>
      </c>
    </row>
    <row r="321" spans="1:11" ht="1.05" customHeight="1" thickTop="1">
      <c r="A321" s="63"/>
      <c r="B321" s="63"/>
      <c r="C321" s="63"/>
      <c r="D321" s="63"/>
      <c r="E321" s="63"/>
      <c r="F321" s="63"/>
      <c r="G321" s="63"/>
      <c r="H321" s="63"/>
      <c r="I321" s="63"/>
      <c r="J321" s="129"/>
    </row>
    <row r="322" spans="1:11" ht="18" customHeight="1">
      <c r="A322" s="48" t="s">
        <v>526</v>
      </c>
      <c r="B322" s="49" t="s">
        <v>9</v>
      </c>
      <c r="C322" s="48" t="s">
        <v>10</v>
      </c>
      <c r="D322" s="48" t="s">
        <v>11</v>
      </c>
      <c r="E322" s="159" t="s">
        <v>150</v>
      </c>
      <c r="F322" s="159"/>
      <c r="G322" s="50" t="s">
        <v>12</v>
      </c>
      <c r="H322" s="49" t="s">
        <v>13</v>
      </c>
      <c r="I322" s="49" t="s">
        <v>14</v>
      </c>
      <c r="J322" s="133" t="s">
        <v>16</v>
      </c>
    </row>
    <row r="323" spans="1:11" ht="39" customHeight="1">
      <c r="A323" s="51" t="s">
        <v>151</v>
      </c>
      <c r="B323" s="52" t="s">
        <v>507</v>
      </c>
      <c r="C323" s="51" t="s">
        <v>29</v>
      </c>
      <c r="D323" s="51" t="s">
        <v>508</v>
      </c>
      <c r="E323" s="160" t="s">
        <v>431</v>
      </c>
      <c r="F323" s="160"/>
      <c r="G323" s="53" t="s">
        <v>59</v>
      </c>
      <c r="H323" s="54">
        <v>1</v>
      </c>
      <c r="I323" s="55">
        <f>JANDUÍ!G48</f>
        <v>180.33</v>
      </c>
      <c r="J323" s="128">
        <f t="shared" ref="J323:J332" si="35">ROUND(H323*I323,2)</f>
        <v>180.33</v>
      </c>
    </row>
    <row r="324" spans="1:11" ht="25.95" customHeight="1">
      <c r="A324" s="56" t="s">
        <v>153</v>
      </c>
      <c r="B324" s="57" t="s">
        <v>609</v>
      </c>
      <c r="C324" s="56" t="s">
        <v>29</v>
      </c>
      <c r="D324" s="56" t="s">
        <v>610</v>
      </c>
      <c r="E324" s="161" t="s">
        <v>216</v>
      </c>
      <c r="F324" s="161"/>
      <c r="G324" s="58" t="s">
        <v>40</v>
      </c>
      <c r="H324" s="59">
        <v>2.2000000000000002</v>
      </c>
      <c r="I324" s="60">
        <v>6.22</v>
      </c>
      <c r="J324" s="128">
        <f t="shared" si="35"/>
        <v>13.68</v>
      </c>
      <c r="K324" s="143"/>
    </row>
    <row r="325" spans="1:11" ht="25.95" customHeight="1">
      <c r="A325" s="56" t="s">
        <v>153</v>
      </c>
      <c r="B325" s="57" t="s">
        <v>611</v>
      </c>
      <c r="C325" s="56" t="s">
        <v>29</v>
      </c>
      <c r="D325" s="56" t="s">
        <v>612</v>
      </c>
      <c r="E325" s="161" t="s">
        <v>216</v>
      </c>
      <c r="F325" s="161"/>
      <c r="G325" s="58" t="s">
        <v>59</v>
      </c>
      <c r="H325" s="59">
        <v>1</v>
      </c>
      <c r="I325" s="60">
        <v>3.99</v>
      </c>
      <c r="J325" s="128">
        <f t="shared" si="35"/>
        <v>3.99</v>
      </c>
    </row>
    <row r="326" spans="1:11" ht="39" customHeight="1">
      <c r="A326" s="56" t="s">
        <v>153</v>
      </c>
      <c r="B326" s="57" t="s">
        <v>613</v>
      </c>
      <c r="C326" s="56" t="s">
        <v>29</v>
      </c>
      <c r="D326" s="56" t="s">
        <v>614</v>
      </c>
      <c r="E326" s="161" t="s">
        <v>216</v>
      </c>
      <c r="F326" s="161"/>
      <c r="G326" s="58" t="s">
        <v>40</v>
      </c>
      <c r="H326" s="59">
        <v>2.2000000000000002</v>
      </c>
      <c r="I326" s="60">
        <v>12.67</v>
      </c>
      <c r="J326" s="128">
        <f t="shared" si="35"/>
        <v>27.87</v>
      </c>
    </row>
    <row r="327" spans="1:11" ht="39" customHeight="1">
      <c r="A327" s="56" t="s">
        <v>153</v>
      </c>
      <c r="B327" s="57" t="s">
        <v>615</v>
      </c>
      <c r="C327" s="56" t="s">
        <v>29</v>
      </c>
      <c r="D327" s="56" t="s">
        <v>616</v>
      </c>
      <c r="E327" s="161" t="s">
        <v>431</v>
      </c>
      <c r="F327" s="161"/>
      <c r="G327" s="58" t="s">
        <v>40</v>
      </c>
      <c r="H327" s="59">
        <v>2</v>
      </c>
      <c r="I327" s="60">
        <v>6.18</v>
      </c>
      <c r="J327" s="128">
        <f t="shared" si="35"/>
        <v>12.36</v>
      </c>
    </row>
    <row r="328" spans="1:11" ht="39" customHeight="1">
      <c r="A328" s="56" t="s">
        <v>153</v>
      </c>
      <c r="B328" s="57" t="s">
        <v>617</v>
      </c>
      <c r="C328" s="56" t="s">
        <v>29</v>
      </c>
      <c r="D328" s="56" t="s">
        <v>618</v>
      </c>
      <c r="E328" s="161" t="s">
        <v>431</v>
      </c>
      <c r="F328" s="161"/>
      <c r="G328" s="58" t="s">
        <v>40</v>
      </c>
      <c r="H328" s="59">
        <v>2.2000000000000002</v>
      </c>
      <c r="I328" s="60">
        <v>8.5299999999999994</v>
      </c>
      <c r="J328" s="128">
        <f t="shared" si="35"/>
        <v>18.77</v>
      </c>
    </row>
    <row r="329" spans="1:11" ht="39" customHeight="1">
      <c r="A329" s="56" t="s">
        <v>153</v>
      </c>
      <c r="B329" s="57" t="s">
        <v>509</v>
      </c>
      <c r="C329" s="56" t="s">
        <v>29</v>
      </c>
      <c r="D329" s="56" t="s">
        <v>510</v>
      </c>
      <c r="E329" s="161" t="s">
        <v>431</v>
      </c>
      <c r="F329" s="161"/>
      <c r="G329" s="58" t="s">
        <v>40</v>
      </c>
      <c r="H329" s="59">
        <v>12.6</v>
      </c>
      <c r="I329" s="60">
        <v>4.22</v>
      </c>
      <c r="J329" s="128">
        <f t="shared" si="35"/>
        <v>53.17</v>
      </c>
    </row>
    <row r="330" spans="1:11" ht="25.95" customHeight="1">
      <c r="A330" s="56" t="s">
        <v>153</v>
      </c>
      <c r="B330" s="57" t="s">
        <v>619</v>
      </c>
      <c r="C330" s="56" t="s">
        <v>29</v>
      </c>
      <c r="D330" s="56" t="s">
        <v>620</v>
      </c>
      <c r="E330" s="161" t="s">
        <v>431</v>
      </c>
      <c r="F330" s="161"/>
      <c r="G330" s="58" t="s">
        <v>59</v>
      </c>
      <c r="H330" s="59">
        <v>0.375</v>
      </c>
      <c r="I330" s="60">
        <v>12.63</v>
      </c>
      <c r="J330" s="128">
        <f t="shared" si="35"/>
        <v>4.74</v>
      </c>
    </row>
    <row r="331" spans="1:11" ht="39" customHeight="1">
      <c r="A331" s="56" t="s">
        <v>153</v>
      </c>
      <c r="B331" s="57" t="s">
        <v>621</v>
      </c>
      <c r="C331" s="56" t="s">
        <v>29</v>
      </c>
      <c r="D331" s="56" t="s">
        <v>622</v>
      </c>
      <c r="E331" s="161" t="s">
        <v>431</v>
      </c>
      <c r="F331" s="161"/>
      <c r="G331" s="58" t="s">
        <v>59</v>
      </c>
      <c r="H331" s="59">
        <v>1</v>
      </c>
      <c r="I331" s="60">
        <v>15.27</v>
      </c>
      <c r="J331" s="128">
        <f t="shared" si="35"/>
        <v>15.27</v>
      </c>
    </row>
    <row r="332" spans="1:11" ht="39" customHeight="1">
      <c r="A332" s="56" t="s">
        <v>153</v>
      </c>
      <c r="B332" s="57" t="s">
        <v>623</v>
      </c>
      <c r="C332" s="56" t="s">
        <v>29</v>
      </c>
      <c r="D332" s="56" t="s">
        <v>624</v>
      </c>
      <c r="E332" s="161" t="s">
        <v>431</v>
      </c>
      <c r="F332" s="161"/>
      <c r="G332" s="58" t="s">
        <v>59</v>
      </c>
      <c r="H332" s="59">
        <v>1</v>
      </c>
      <c r="I332" s="60">
        <v>30.5</v>
      </c>
      <c r="J332" s="128">
        <f t="shared" si="35"/>
        <v>30.5</v>
      </c>
    </row>
    <row r="333" spans="1:11" ht="30" customHeight="1" thickBot="1">
      <c r="A333" s="61"/>
      <c r="B333" s="61"/>
      <c r="C333" s="61"/>
      <c r="D333" s="61"/>
      <c r="E333" s="61"/>
      <c r="F333" s="61"/>
      <c r="G333" s="61" t="s">
        <v>158</v>
      </c>
      <c r="H333" s="62">
        <f>JANDUÍ!F48</f>
        <v>40</v>
      </c>
      <c r="I333" s="61" t="s">
        <v>159</v>
      </c>
      <c r="J333" s="127">
        <f>JANDUÍ!I48</f>
        <v>8863.58</v>
      </c>
    </row>
    <row r="334" spans="1:11" ht="1.05" customHeight="1" thickTop="1">
      <c r="A334" s="63"/>
      <c r="B334" s="63"/>
      <c r="C334" s="63"/>
      <c r="D334" s="63"/>
      <c r="E334" s="63"/>
      <c r="F334" s="63"/>
      <c r="G334" s="63"/>
      <c r="H334" s="63"/>
      <c r="I334" s="63"/>
      <c r="J334" s="129"/>
    </row>
    <row r="335" spans="1:11" ht="18" customHeight="1">
      <c r="A335" s="48" t="s">
        <v>527</v>
      </c>
      <c r="B335" s="49" t="s">
        <v>9</v>
      </c>
      <c r="C335" s="48" t="s">
        <v>10</v>
      </c>
      <c r="D335" s="48" t="s">
        <v>11</v>
      </c>
      <c r="E335" s="159" t="s">
        <v>150</v>
      </c>
      <c r="F335" s="159"/>
      <c r="G335" s="50" t="s">
        <v>12</v>
      </c>
      <c r="H335" s="49" t="s">
        <v>13</v>
      </c>
      <c r="I335" s="49" t="s">
        <v>14</v>
      </c>
      <c r="J335" s="133" t="s">
        <v>16</v>
      </c>
    </row>
    <row r="336" spans="1:11" ht="39" customHeight="1">
      <c r="A336" s="51" t="s">
        <v>151</v>
      </c>
      <c r="B336" s="52" t="s">
        <v>509</v>
      </c>
      <c r="C336" s="51" t="s">
        <v>29</v>
      </c>
      <c r="D336" s="51" t="s">
        <v>510</v>
      </c>
      <c r="E336" s="160" t="s">
        <v>431</v>
      </c>
      <c r="F336" s="160"/>
      <c r="G336" s="53" t="s">
        <v>40</v>
      </c>
      <c r="H336" s="54">
        <v>1</v>
      </c>
      <c r="I336" s="55">
        <f>JANDUÍ!G49</f>
        <v>4.22</v>
      </c>
      <c r="J336" s="128">
        <f t="shared" ref="J336:J340" si="36">ROUND(H336*I336,2)</f>
        <v>4.22</v>
      </c>
    </row>
    <row r="337" spans="1:11" ht="25.95" customHeight="1">
      <c r="A337" s="56" t="s">
        <v>153</v>
      </c>
      <c r="B337" s="57" t="s">
        <v>432</v>
      </c>
      <c r="C337" s="56" t="s">
        <v>29</v>
      </c>
      <c r="D337" s="56" t="s">
        <v>433</v>
      </c>
      <c r="E337" s="161" t="s">
        <v>152</v>
      </c>
      <c r="F337" s="161"/>
      <c r="G337" s="58" t="s">
        <v>24</v>
      </c>
      <c r="H337" s="59">
        <v>0.03</v>
      </c>
      <c r="I337" s="60">
        <v>20</v>
      </c>
      <c r="J337" s="128">
        <f t="shared" si="36"/>
        <v>0.6</v>
      </c>
      <c r="K337" s="143"/>
    </row>
    <row r="338" spans="1:11" ht="24" customHeight="1">
      <c r="A338" s="56" t="s">
        <v>153</v>
      </c>
      <c r="B338" s="57" t="s">
        <v>193</v>
      </c>
      <c r="C338" s="56" t="s">
        <v>29</v>
      </c>
      <c r="D338" s="56" t="s">
        <v>194</v>
      </c>
      <c r="E338" s="161" t="s">
        <v>152</v>
      </c>
      <c r="F338" s="161"/>
      <c r="G338" s="58" t="s">
        <v>24</v>
      </c>
      <c r="H338" s="59">
        <v>0.03</v>
      </c>
      <c r="I338" s="60">
        <v>25.69</v>
      </c>
      <c r="J338" s="128">
        <f t="shared" si="36"/>
        <v>0.77</v>
      </c>
    </row>
    <row r="339" spans="1:11" ht="39" customHeight="1">
      <c r="A339" s="64" t="s">
        <v>164</v>
      </c>
      <c r="B339" s="65" t="s">
        <v>625</v>
      </c>
      <c r="C339" s="64" t="s">
        <v>29</v>
      </c>
      <c r="D339" s="64" t="s">
        <v>626</v>
      </c>
      <c r="E339" s="157" t="s">
        <v>167</v>
      </c>
      <c r="F339" s="157"/>
      <c r="G339" s="66" t="s">
        <v>40</v>
      </c>
      <c r="H339" s="67">
        <v>1.19</v>
      </c>
      <c r="I339" s="68">
        <v>2.33</v>
      </c>
      <c r="J339" s="128">
        <f t="shared" si="36"/>
        <v>2.77</v>
      </c>
    </row>
    <row r="340" spans="1:11" ht="25.95" customHeight="1">
      <c r="A340" s="64" t="s">
        <v>164</v>
      </c>
      <c r="B340" s="65" t="s">
        <v>627</v>
      </c>
      <c r="C340" s="64" t="s">
        <v>29</v>
      </c>
      <c r="D340" s="64" t="s">
        <v>628</v>
      </c>
      <c r="E340" s="157" t="s">
        <v>167</v>
      </c>
      <c r="F340" s="157"/>
      <c r="G340" s="66" t="s">
        <v>59</v>
      </c>
      <c r="H340" s="67">
        <v>8.9999999999999993E-3</v>
      </c>
      <c r="I340" s="68">
        <v>9.06</v>
      </c>
      <c r="J340" s="128">
        <f t="shared" si="36"/>
        <v>0.08</v>
      </c>
    </row>
    <row r="341" spans="1:11" ht="30" customHeight="1" thickBot="1">
      <c r="A341" s="61"/>
      <c r="B341" s="61"/>
      <c r="C341" s="61"/>
      <c r="D341" s="61"/>
      <c r="E341" s="61"/>
      <c r="F341" s="61"/>
      <c r="G341" s="61" t="s">
        <v>158</v>
      </c>
      <c r="H341" s="62">
        <f>JANDUÍ!F49</f>
        <v>900</v>
      </c>
      <c r="I341" s="61" t="s">
        <v>159</v>
      </c>
      <c r="J341" s="127">
        <f>JANDUÍ!I49</f>
        <v>4666.9799999999996</v>
      </c>
    </row>
    <row r="342" spans="1:11" ht="1.05" customHeight="1" thickTop="1">
      <c r="A342" s="63"/>
      <c r="B342" s="63"/>
      <c r="C342" s="63"/>
      <c r="D342" s="63"/>
      <c r="E342" s="63"/>
      <c r="F342" s="63"/>
      <c r="G342" s="63"/>
      <c r="H342" s="63"/>
      <c r="I342" s="63"/>
      <c r="J342" s="129"/>
    </row>
    <row r="343" spans="1:11" ht="18" customHeight="1">
      <c r="A343" s="48" t="s">
        <v>528</v>
      </c>
      <c r="B343" s="49" t="s">
        <v>9</v>
      </c>
      <c r="C343" s="48" t="s">
        <v>10</v>
      </c>
      <c r="D343" s="48" t="s">
        <v>11</v>
      </c>
      <c r="E343" s="159" t="s">
        <v>150</v>
      </c>
      <c r="F343" s="159"/>
      <c r="G343" s="50" t="s">
        <v>12</v>
      </c>
      <c r="H343" s="49" t="s">
        <v>13</v>
      </c>
      <c r="I343" s="49" t="s">
        <v>14</v>
      </c>
      <c r="J343" s="133" t="s">
        <v>16</v>
      </c>
    </row>
    <row r="344" spans="1:11" ht="24" customHeight="1">
      <c r="A344" s="51" t="s">
        <v>151</v>
      </c>
      <c r="B344" s="52" t="s">
        <v>341</v>
      </c>
      <c r="C344" s="51" t="s">
        <v>22</v>
      </c>
      <c r="D344" s="51" t="s">
        <v>342</v>
      </c>
      <c r="E344" s="160" t="s">
        <v>205</v>
      </c>
      <c r="F344" s="160"/>
      <c r="G344" s="53" t="s">
        <v>46</v>
      </c>
      <c r="H344" s="54">
        <v>1</v>
      </c>
      <c r="I344" s="55">
        <f>JANDUÍ!G50</f>
        <v>191.22</v>
      </c>
      <c r="J344" s="128">
        <f t="shared" ref="J344:J350" si="37">ROUND(H344*I344,2)</f>
        <v>191.22</v>
      </c>
      <c r="K344" s="143"/>
    </row>
    <row r="345" spans="1:11" ht="24" customHeight="1">
      <c r="A345" s="56" t="s">
        <v>153</v>
      </c>
      <c r="B345" s="57" t="s">
        <v>193</v>
      </c>
      <c r="C345" s="56" t="s">
        <v>29</v>
      </c>
      <c r="D345" s="56" t="s">
        <v>194</v>
      </c>
      <c r="E345" s="161" t="s">
        <v>152</v>
      </c>
      <c r="F345" s="161"/>
      <c r="G345" s="58" t="s">
        <v>24</v>
      </c>
      <c r="H345" s="59">
        <v>3.14</v>
      </c>
      <c r="I345" s="60">
        <v>25.69</v>
      </c>
      <c r="J345" s="128">
        <f t="shared" si="37"/>
        <v>80.67</v>
      </c>
      <c r="K345" s="143"/>
    </row>
    <row r="346" spans="1:11" ht="24" customHeight="1">
      <c r="A346" s="56" t="s">
        <v>153</v>
      </c>
      <c r="B346" s="57" t="s">
        <v>156</v>
      </c>
      <c r="C346" s="56" t="s">
        <v>29</v>
      </c>
      <c r="D346" s="56" t="s">
        <v>157</v>
      </c>
      <c r="E346" s="161" t="s">
        <v>152</v>
      </c>
      <c r="F346" s="161"/>
      <c r="G346" s="58" t="s">
        <v>24</v>
      </c>
      <c r="H346" s="59">
        <v>2.94</v>
      </c>
      <c r="I346" s="60">
        <v>20.420000000000002</v>
      </c>
      <c r="J346" s="128">
        <f t="shared" si="37"/>
        <v>60.03</v>
      </c>
    </row>
    <row r="347" spans="1:11" ht="25.95" customHeight="1">
      <c r="A347" s="64" t="s">
        <v>164</v>
      </c>
      <c r="B347" s="65" t="s">
        <v>195</v>
      </c>
      <c r="C347" s="64" t="s">
        <v>29</v>
      </c>
      <c r="D347" s="64" t="s">
        <v>196</v>
      </c>
      <c r="E347" s="157" t="s">
        <v>167</v>
      </c>
      <c r="F347" s="157"/>
      <c r="G347" s="66" t="s">
        <v>126</v>
      </c>
      <c r="H347" s="67">
        <v>1.2E-2</v>
      </c>
      <c r="I347" s="68">
        <v>27</v>
      </c>
      <c r="J347" s="128">
        <f t="shared" si="37"/>
        <v>0.32</v>
      </c>
    </row>
    <row r="348" spans="1:11" ht="39" customHeight="1">
      <c r="A348" s="64" t="s">
        <v>164</v>
      </c>
      <c r="B348" s="65" t="s">
        <v>427</v>
      </c>
      <c r="C348" s="64" t="s">
        <v>29</v>
      </c>
      <c r="D348" s="64" t="s">
        <v>428</v>
      </c>
      <c r="E348" s="157" t="s">
        <v>167</v>
      </c>
      <c r="F348" s="157"/>
      <c r="G348" s="66" t="s">
        <v>40</v>
      </c>
      <c r="H348" s="67">
        <v>6.6</v>
      </c>
      <c r="I348" s="68">
        <v>5.52</v>
      </c>
      <c r="J348" s="128">
        <f t="shared" si="37"/>
        <v>36.43</v>
      </c>
    </row>
    <row r="349" spans="1:11" ht="25.95" customHeight="1">
      <c r="A349" s="64" t="s">
        <v>164</v>
      </c>
      <c r="B349" s="65" t="s">
        <v>199</v>
      </c>
      <c r="C349" s="64" t="s">
        <v>29</v>
      </c>
      <c r="D349" s="64" t="s">
        <v>200</v>
      </c>
      <c r="E349" s="157" t="s">
        <v>167</v>
      </c>
      <c r="F349" s="157"/>
      <c r="G349" s="66" t="s">
        <v>59</v>
      </c>
      <c r="H349" s="67">
        <v>0.09</v>
      </c>
      <c r="I349" s="68">
        <v>23.96</v>
      </c>
      <c r="J349" s="128">
        <f t="shared" si="37"/>
        <v>2.16</v>
      </c>
    </row>
    <row r="350" spans="1:11" ht="25.95" customHeight="1">
      <c r="A350" s="64" t="s">
        <v>164</v>
      </c>
      <c r="B350" s="65" t="s">
        <v>429</v>
      </c>
      <c r="C350" s="64" t="s">
        <v>29</v>
      </c>
      <c r="D350" s="64" t="s">
        <v>430</v>
      </c>
      <c r="E350" s="157" t="s">
        <v>167</v>
      </c>
      <c r="F350" s="157"/>
      <c r="G350" s="66" t="s">
        <v>40</v>
      </c>
      <c r="H350" s="67">
        <v>2.7</v>
      </c>
      <c r="I350" s="68">
        <v>4.3</v>
      </c>
      <c r="J350" s="128">
        <f t="shared" si="37"/>
        <v>11.61</v>
      </c>
    </row>
    <row r="351" spans="1:11" ht="30" customHeight="1" thickBot="1">
      <c r="A351" s="61"/>
      <c r="B351" s="61"/>
      <c r="C351" s="61"/>
      <c r="D351" s="61"/>
      <c r="E351" s="61"/>
      <c r="F351" s="61"/>
      <c r="G351" s="61" t="s">
        <v>158</v>
      </c>
      <c r="H351" s="62">
        <f>JANDUÍ!F50</f>
        <v>10</v>
      </c>
      <c r="I351" s="61" t="s">
        <v>159</v>
      </c>
      <c r="J351" s="127">
        <f>JANDUÍ!I50</f>
        <v>2349.71</v>
      </c>
    </row>
    <row r="352" spans="1:11" ht="1.05" customHeight="1" thickTop="1">
      <c r="A352" s="63"/>
      <c r="B352" s="63"/>
      <c r="C352" s="63"/>
      <c r="D352" s="63"/>
      <c r="E352" s="63"/>
      <c r="F352" s="63"/>
      <c r="G352" s="63"/>
      <c r="H352" s="63"/>
      <c r="I352" s="63"/>
      <c r="J352" s="129"/>
    </row>
    <row r="353" spans="1:11" ht="18" customHeight="1">
      <c r="A353" s="48" t="s">
        <v>529</v>
      </c>
      <c r="B353" s="49" t="s">
        <v>9</v>
      </c>
      <c r="C353" s="48" t="s">
        <v>10</v>
      </c>
      <c r="D353" s="48" t="s">
        <v>11</v>
      </c>
      <c r="E353" s="159" t="s">
        <v>150</v>
      </c>
      <c r="F353" s="159"/>
      <c r="G353" s="50" t="s">
        <v>12</v>
      </c>
      <c r="H353" s="49" t="s">
        <v>13</v>
      </c>
      <c r="I353" s="49" t="s">
        <v>14</v>
      </c>
      <c r="J353" s="133" t="s">
        <v>16</v>
      </c>
    </row>
    <row r="354" spans="1:11" ht="52.05" customHeight="1">
      <c r="A354" s="51" t="s">
        <v>151</v>
      </c>
      <c r="B354" s="52" t="s">
        <v>787</v>
      </c>
      <c r="C354" s="51" t="s">
        <v>29</v>
      </c>
      <c r="D354" s="51" t="s">
        <v>788</v>
      </c>
      <c r="E354" s="160" t="s">
        <v>431</v>
      </c>
      <c r="F354" s="160"/>
      <c r="G354" s="53" t="s">
        <v>59</v>
      </c>
      <c r="H354" s="54">
        <v>1</v>
      </c>
      <c r="I354" s="55">
        <f>JANDUÍ!G51</f>
        <v>146.78</v>
      </c>
      <c r="J354" s="128">
        <f t="shared" ref="J354:J363" si="38">ROUND(H354*I354,2)</f>
        <v>146.78</v>
      </c>
    </row>
    <row r="355" spans="1:11" ht="25.95" customHeight="1">
      <c r="A355" s="56" t="s">
        <v>153</v>
      </c>
      <c r="B355" s="57" t="s">
        <v>609</v>
      </c>
      <c r="C355" s="56" t="s">
        <v>29</v>
      </c>
      <c r="D355" s="56" t="s">
        <v>610</v>
      </c>
      <c r="E355" s="161" t="s">
        <v>216</v>
      </c>
      <c r="F355" s="161"/>
      <c r="G355" s="58" t="s">
        <v>40</v>
      </c>
      <c r="H355" s="59">
        <v>2.2000000000000002</v>
      </c>
      <c r="I355" s="60">
        <v>6.22</v>
      </c>
      <c r="J355" s="128">
        <f t="shared" si="38"/>
        <v>13.68</v>
      </c>
      <c r="K355" s="143"/>
    </row>
    <row r="356" spans="1:11" ht="25.95" customHeight="1">
      <c r="A356" s="56" t="s">
        <v>153</v>
      </c>
      <c r="B356" s="57" t="s">
        <v>611</v>
      </c>
      <c r="C356" s="56" t="s">
        <v>29</v>
      </c>
      <c r="D356" s="56" t="s">
        <v>612</v>
      </c>
      <c r="E356" s="161" t="s">
        <v>216</v>
      </c>
      <c r="F356" s="161"/>
      <c r="G356" s="58" t="s">
        <v>59</v>
      </c>
      <c r="H356" s="59">
        <v>1</v>
      </c>
      <c r="I356" s="60">
        <v>3.99</v>
      </c>
      <c r="J356" s="128">
        <f t="shared" si="38"/>
        <v>3.99</v>
      </c>
    </row>
    <row r="357" spans="1:11" ht="39" customHeight="1">
      <c r="A357" s="56" t="s">
        <v>153</v>
      </c>
      <c r="B357" s="57" t="s">
        <v>613</v>
      </c>
      <c r="C357" s="56" t="s">
        <v>29</v>
      </c>
      <c r="D357" s="56" t="s">
        <v>614</v>
      </c>
      <c r="E357" s="161" t="s">
        <v>216</v>
      </c>
      <c r="F357" s="161"/>
      <c r="G357" s="58" t="s">
        <v>40</v>
      </c>
      <c r="H357" s="59">
        <v>2.2000000000000002</v>
      </c>
      <c r="I357" s="60">
        <v>12.67</v>
      </c>
      <c r="J357" s="128">
        <f t="shared" si="38"/>
        <v>27.87</v>
      </c>
    </row>
    <row r="358" spans="1:11" ht="39" customHeight="1">
      <c r="A358" s="56" t="s">
        <v>153</v>
      </c>
      <c r="B358" s="57" t="s">
        <v>615</v>
      </c>
      <c r="C358" s="56" t="s">
        <v>29</v>
      </c>
      <c r="D358" s="56" t="s">
        <v>616</v>
      </c>
      <c r="E358" s="161" t="s">
        <v>431</v>
      </c>
      <c r="F358" s="161"/>
      <c r="G358" s="58" t="s">
        <v>40</v>
      </c>
      <c r="H358" s="59">
        <v>2</v>
      </c>
      <c r="I358" s="60">
        <v>6.18</v>
      </c>
      <c r="J358" s="128">
        <f t="shared" si="38"/>
        <v>12.36</v>
      </c>
    </row>
    <row r="359" spans="1:11" ht="39" customHeight="1">
      <c r="A359" s="56" t="s">
        <v>153</v>
      </c>
      <c r="B359" s="57" t="s">
        <v>617</v>
      </c>
      <c r="C359" s="56" t="s">
        <v>29</v>
      </c>
      <c r="D359" s="56" t="s">
        <v>618</v>
      </c>
      <c r="E359" s="161" t="s">
        <v>431</v>
      </c>
      <c r="F359" s="161"/>
      <c r="G359" s="58" t="s">
        <v>40</v>
      </c>
      <c r="H359" s="59">
        <v>2.2000000000000002</v>
      </c>
      <c r="I359" s="60">
        <v>8.5299999999999994</v>
      </c>
      <c r="J359" s="128">
        <f t="shared" si="38"/>
        <v>18.77</v>
      </c>
    </row>
    <row r="360" spans="1:11" ht="39" customHeight="1">
      <c r="A360" s="56" t="s">
        <v>153</v>
      </c>
      <c r="B360" s="57" t="s">
        <v>847</v>
      </c>
      <c r="C360" s="56" t="s">
        <v>29</v>
      </c>
      <c r="D360" s="56" t="s">
        <v>848</v>
      </c>
      <c r="E360" s="161" t="s">
        <v>431</v>
      </c>
      <c r="F360" s="161"/>
      <c r="G360" s="58" t="s">
        <v>40</v>
      </c>
      <c r="H360" s="59">
        <v>8.4</v>
      </c>
      <c r="I360" s="60">
        <v>2.91</v>
      </c>
      <c r="J360" s="128">
        <f t="shared" si="38"/>
        <v>24.44</v>
      </c>
    </row>
    <row r="361" spans="1:11" ht="25.95" customHeight="1">
      <c r="A361" s="56" t="s">
        <v>153</v>
      </c>
      <c r="B361" s="57" t="s">
        <v>619</v>
      </c>
      <c r="C361" s="56" t="s">
        <v>29</v>
      </c>
      <c r="D361" s="56" t="s">
        <v>620</v>
      </c>
      <c r="E361" s="161" t="s">
        <v>431</v>
      </c>
      <c r="F361" s="161"/>
      <c r="G361" s="58" t="s">
        <v>59</v>
      </c>
      <c r="H361" s="59">
        <v>0.375</v>
      </c>
      <c r="I361" s="60">
        <v>12.63</v>
      </c>
      <c r="J361" s="128">
        <f t="shared" si="38"/>
        <v>4.74</v>
      </c>
    </row>
    <row r="362" spans="1:11" ht="39" customHeight="1">
      <c r="A362" s="56" t="s">
        <v>153</v>
      </c>
      <c r="B362" s="57" t="s">
        <v>621</v>
      </c>
      <c r="C362" s="56" t="s">
        <v>29</v>
      </c>
      <c r="D362" s="56" t="s">
        <v>622</v>
      </c>
      <c r="E362" s="161" t="s">
        <v>431</v>
      </c>
      <c r="F362" s="161"/>
      <c r="G362" s="58" t="s">
        <v>59</v>
      </c>
      <c r="H362" s="59">
        <v>1</v>
      </c>
      <c r="I362" s="60">
        <v>15.27</v>
      </c>
      <c r="J362" s="128">
        <f t="shared" si="38"/>
        <v>15.27</v>
      </c>
    </row>
    <row r="363" spans="1:11" ht="39" customHeight="1">
      <c r="A363" s="56" t="s">
        <v>153</v>
      </c>
      <c r="B363" s="57" t="s">
        <v>849</v>
      </c>
      <c r="C363" s="56" t="s">
        <v>29</v>
      </c>
      <c r="D363" s="56" t="s">
        <v>850</v>
      </c>
      <c r="E363" s="161" t="s">
        <v>431</v>
      </c>
      <c r="F363" s="161"/>
      <c r="G363" s="58" t="s">
        <v>59</v>
      </c>
      <c r="H363" s="59">
        <v>1</v>
      </c>
      <c r="I363" s="60">
        <v>25.68</v>
      </c>
      <c r="J363" s="128">
        <f t="shared" si="38"/>
        <v>25.68</v>
      </c>
    </row>
    <row r="364" spans="1:11" ht="30" customHeight="1" thickBot="1">
      <c r="A364" s="61"/>
      <c r="B364" s="61"/>
      <c r="C364" s="61"/>
      <c r="D364" s="61"/>
      <c r="E364" s="61"/>
      <c r="F364" s="61"/>
      <c r="G364" s="61" t="s">
        <v>158</v>
      </c>
      <c r="H364" s="62">
        <f>JANDUÍ!F51</f>
        <v>52</v>
      </c>
      <c r="I364" s="61" t="s">
        <v>159</v>
      </c>
      <c r="J364" s="127">
        <f>JANDUÍ!I51</f>
        <v>9378.89</v>
      </c>
    </row>
    <row r="365" spans="1:11" ht="1.05" customHeight="1" thickTop="1">
      <c r="A365" s="63"/>
      <c r="B365" s="63"/>
      <c r="C365" s="63"/>
      <c r="D365" s="63"/>
      <c r="E365" s="63"/>
      <c r="F365" s="63"/>
      <c r="G365" s="63"/>
      <c r="H365" s="63"/>
      <c r="I365" s="63"/>
      <c r="J365" s="129"/>
    </row>
    <row r="366" spans="1:11" ht="18" customHeight="1">
      <c r="A366" s="48" t="s">
        <v>530</v>
      </c>
      <c r="B366" s="49" t="s">
        <v>9</v>
      </c>
      <c r="C366" s="48" t="s">
        <v>10</v>
      </c>
      <c r="D366" s="48" t="s">
        <v>11</v>
      </c>
      <c r="E366" s="159" t="s">
        <v>150</v>
      </c>
      <c r="F366" s="159"/>
      <c r="G366" s="50" t="s">
        <v>12</v>
      </c>
      <c r="H366" s="49" t="s">
        <v>13</v>
      </c>
      <c r="I366" s="49" t="s">
        <v>14</v>
      </c>
      <c r="J366" s="133" t="s">
        <v>16</v>
      </c>
    </row>
    <row r="367" spans="1:11" ht="39" customHeight="1">
      <c r="A367" s="51" t="s">
        <v>151</v>
      </c>
      <c r="B367" s="52" t="s">
        <v>789</v>
      </c>
      <c r="C367" s="51" t="s">
        <v>29</v>
      </c>
      <c r="D367" s="51" t="s">
        <v>790</v>
      </c>
      <c r="E367" s="160" t="s">
        <v>431</v>
      </c>
      <c r="F367" s="160"/>
      <c r="G367" s="53" t="s">
        <v>59</v>
      </c>
      <c r="H367" s="54">
        <v>1</v>
      </c>
      <c r="I367" s="55">
        <f>JANDUÍ!G52</f>
        <v>39.700000000000003</v>
      </c>
      <c r="J367" s="128">
        <f t="shared" ref="J367:J371" si="39">ROUND(H367*I367,2)</f>
        <v>39.700000000000003</v>
      </c>
    </row>
    <row r="368" spans="1:11" ht="25.95" customHeight="1">
      <c r="A368" s="56" t="s">
        <v>153</v>
      </c>
      <c r="B368" s="57" t="s">
        <v>432</v>
      </c>
      <c r="C368" s="56" t="s">
        <v>29</v>
      </c>
      <c r="D368" s="56" t="s">
        <v>433</v>
      </c>
      <c r="E368" s="161" t="s">
        <v>152</v>
      </c>
      <c r="F368" s="161"/>
      <c r="G368" s="58" t="s">
        <v>24</v>
      </c>
      <c r="H368" s="59">
        <v>0.22309999999999999</v>
      </c>
      <c r="I368" s="60">
        <v>20</v>
      </c>
      <c r="J368" s="128">
        <f t="shared" si="39"/>
        <v>4.46</v>
      </c>
      <c r="K368" s="143"/>
    </row>
    <row r="369" spans="1:11" ht="24" customHeight="1">
      <c r="A369" s="56" t="s">
        <v>153</v>
      </c>
      <c r="B369" s="57" t="s">
        <v>193</v>
      </c>
      <c r="C369" s="56" t="s">
        <v>29</v>
      </c>
      <c r="D369" s="56" t="s">
        <v>194</v>
      </c>
      <c r="E369" s="161" t="s">
        <v>152</v>
      </c>
      <c r="F369" s="161"/>
      <c r="G369" s="58" t="s">
        <v>24</v>
      </c>
      <c r="H369" s="59">
        <v>0.53549999999999998</v>
      </c>
      <c r="I369" s="60">
        <v>25.69</v>
      </c>
      <c r="J369" s="128">
        <f t="shared" si="39"/>
        <v>13.76</v>
      </c>
    </row>
    <row r="370" spans="1:11" ht="25.95" customHeight="1">
      <c r="A370" s="64" t="s">
        <v>164</v>
      </c>
      <c r="B370" s="65" t="s">
        <v>851</v>
      </c>
      <c r="C370" s="64" t="s">
        <v>29</v>
      </c>
      <c r="D370" s="64" t="s">
        <v>852</v>
      </c>
      <c r="E370" s="157" t="s">
        <v>167</v>
      </c>
      <c r="F370" s="157"/>
      <c r="G370" s="66" t="s">
        <v>59</v>
      </c>
      <c r="H370" s="67">
        <v>1</v>
      </c>
      <c r="I370" s="68">
        <v>16.07</v>
      </c>
      <c r="J370" s="128">
        <f t="shared" si="39"/>
        <v>16.07</v>
      </c>
    </row>
    <row r="371" spans="1:11" ht="39" customHeight="1">
      <c r="A371" s="64" t="s">
        <v>164</v>
      </c>
      <c r="B371" s="65" t="s">
        <v>853</v>
      </c>
      <c r="C371" s="64" t="s">
        <v>29</v>
      </c>
      <c r="D371" s="64" t="s">
        <v>854</v>
      </c>
      <c r="E371" s="157" t="s">
        <v>167</v>
      </c>
      <c r="F371" s="157"/>
      <c r="G371" s="66" t="s">
        <v>59</v>
      </c>
      <c r="H371" s="67">
        <v>1</v>
      </c>
      <c r="I371" s="68">
        <v>5.42</v>
      </c>
      <c r="J371" s="128">
        <f t="shared" si="39"/>
        <v>5.42</v>
      </c>
    </row>
    <row r="372" spans="1:11" ht="30" customHeight="1" thickBot="1">
      <c r="A372" s="61"/>
      <c r="B372" s="61"/>
      <c r="C372" s="61"/>
      <c r="D372" s="61"/>
      <c r="E372" s="61"/>
      <c r="F372" s="61"/>
      <c r="G372" s="61" t="s">
        <v>158</v>
      </c>
      <c r="H372" s="62">
        <f>JANDUÍ!F52</f>
        <v>52</v>
      </c>
      <c r="I372" s="61" t="s">
        <v>159</v>
      </c>
      <c r="J372" s="127">
        <f>JANDUÍ!I52</f>
        <v>2536.73</v>
      </c>
    </row>
    <row r="373" spans="1:11" ht="1.05" customHeight="1" thickTop="1">
      <c r="A373" s="63"/>
      <c r="B373" s="63"/>
      <c r="C373" s="63"/>
      <c r="D373" s="63"/>
      <c r="E373" s="63"/>
      <c r="F373" s="63"/>
      <c r="G373" s="63"/>
      <c r="H373" s="63"/>
      <c r="I373" s="63"/>
      <c r="J373" s="129"/>
    </row>
    <row r="374" spans="1:11" ht="18" customHeight="1">
      <c r="A374" s="48" t="s">
        <v>533</v>
      </c>
      <c r="B374" s="49" t="s">
        <v>9</v>
      </c>
      <c r="C374" s="48" t="s">
        <v>10</v>
      </c>
      <c r="D374" s="48" t="s">
        <v>11</v>
      </c>
      <c r="E374" s="159" t="s">
        <v>150</v>
      </c>
      <c r="F374" s="159"/>
      <c r="G374" s="50" t="s">
        <v>12</v>
      </c>
      <c r="H374" s="49" t="s">
        <v>13</v>
      </c>
      <c r="I374" s="49" t="s">
        <v>14</v>
      </c>
      <c r="J374" s="133" t="s">
        <v>16</v>
      </c>
    </row>
    <row r="375" spans="1:11" ht="25.95" customHeight="1">
      <c r="A375" s="51" t="s">
        <v>151</v>
      </c>
      <c r="B375" s="52" t="s">
        <v>343</v>
      </c>
      <c r="C375" s="51" t="s">
        <v>29</v>
      </c>
      <c r="D375" s="51" t="s">
        <v>344</v>
      </c>
      <c r="E375" s="160" t="s">
        <v>431</v>
      </c>
      <c r="F375" s="160"/>
      <c r="G375" s="53" t="s">
        <v>59</v>
      </c>
      <c r="H375" s="54">
        <v>1</v>
      </c>
      <c r="I375" s="55">
        <f>JANDUÍ!G53</f>
        <v>18.559999999999999</v>
      </c>
      <c r="J375" s="128">
        <f t="shared" ref="J375:J379" si="40">ROUND(H375*I375,2)</f>
        <v>18.559999999999999</v>
      </c>
      <c r="K375" s="143"/>
    </row>
    <row r="376" spans="1:11" ht="25.95" customHeight="1">
      <c r="A376" s="56" t="s">
        <v>153</v>
      </c>
      <c r="B376" s="57" t="s">
        <v>432</v>
      </c>
      <c r="C376" s="56" t="s">
        <v>29</v>
      </c>
      <c r="D376" s="56" t="s">
        <v>433</v>
      </c>
      <c r="E376" s="161" t="s">
        <v>152</v>
      </c>
      <c r="F376" s="161"/>
      <c r="G376" s="58" t="s">
        <v>24</v>
      </c>
      <c r="H376" s="59">
        <v>6.9000000000000006E-2</v>
      </c>
      <c r="I376" s="60">
        <v>20</v>
      </c>
      <c r="J376" s="128">
        <f t="shared" si="40"/>
        <v>1.38</v>
      </c>
    </row>
    <row r="377" spans="1:11" ht="24" customHeight="1">
      <c r="A377" s="56" t="s">
        <v>153</v>
      </c>
      <c r="B377" s="57" t="s">
        <v>193</v>
      </c>
      <c r="C377" s="56" t="s">
        <v>29</v>
      </c>
      <c r="D377" s="56" t="s">
        <v>194</v>
      </c>
      <c r="E377" s="161" t="s">
        <v>152</v>
      </c>
      <c r="F377" s="161"/>
      <c r="G377" s="58" t="s">
        <v>24</v>
      </c>
      <c r="H377" s="59">
        <v>0.16550000000000001</v>
      </c>
      <c r="I377" s="60">
        <v>25.69</v>
      </c>
      <c r="J377" s="128">
        <f t="shared" si="40"/>
        <v>4.25</v>
      </c>
    </row>
    <row r="378" spans="1:11" ht="24" customHeight="1">
      <c r="A378" s="64" t="s">
        <v>164</v>
      </c>
      <c r="B378" s="65" t="s">
        <v>434</v>
      </c>
      <c r="C378" s="64" t="s">
        <v>29</v>
      </c>
      <c r="D378" s="64" t="s">
        <v>435</v>
      </c>
      <c r="E378" s="157" t="s">
        <v>167</v>
      </c>
      <c r="F378" s="157"/>
      <c r="G378" s="66" t="s">
        <v>59</v>
      </c>
      <c r="H378" s="67">
        <v>1</v>
      </c>
      <c r="I378" s="68">
        <v>3.03</v>
      </c>
      <c r="J378" s="128">
        <f t="shared" si="40"/>
        <v>3.03</v>
      </c>
    </row>
    <row r="379" spans="1:11" ht="25.95" customHeight="1">
      <c r="A379" s="64" t="s">
        <v>164</v>
      </c>
      <c r="B379" s="65" t="s">
        <v>436</v>
      </c>
      <c r="C379" s="64" t="s">
        <v>29</v>
      </c>
      <c r="D379" s="64" t="s">
        <v>437</v>
      </c>
      <c r="E379" s="157" t="s">
        <v>167</v>
      </c>
      <c r="F379" s="157"/>
      <c r="G379" s="66" t="s">
        <v>59</v>
      </c>
      <c r="H379" s="67">
        <v>1</v>
      </c>
      <c r="I379" s="68">
        <v>9.9</v>
      </c>
      <c r="J379" s="128">
        <f t="shared" si="40"/>
        <v>9.9</v>
      </c>
    </row>
    <row r="380" spans="1:11" ht="30" customHeight="1" thickBot="1">
      <c r="A380" s="61"/>
      <c r="B380" s="61"/>
      <c r="C380" s="61"/>
      <c r="D380" s="61"/>
      <c r="E380" s="61"/>
      <c r="F380" s="61"/>
      <c r="G380" s="61" t="s">
        <v>158</v>
      </c>
      <c r="H380" s="62">
        <f>JANDUÍ!F53</f>
        <v>20</v>
      </c>
      <c r="I380" s="61" t="s">
        <v>159</v>
      </c>
      <c r="J380" s="127">
        <f>JANDUÍ!I53</f>
        <v>456.13</v>
      </c>
    </row>
    <row r="381" spans="1:11" ht="1.05" customHeight="1" thickTop="1">
      <c r="A381" s="63"/>
      <c r="B381" s="63"/>
      <c r="C381" s="63"/>
      <c r="D381" s="63"/>
      <c r="E381" s="63"/>
      <c r="F381" s="63"/>
      <c r="G381" s="63"/>
      <c r="H381" s="63"/>
      <c r="I381" s="63"/>
      <c r="J381" s="129"/>
    </row>
    <row r="382" spans="1:11" ht="24" customHeight="1">
      <c r="A382" s="45" t="s">
        <v>536</v>
      </c>
      <c r="B382" s="45"/>
      <c r="C382" s="45"/>
      <c r="D382" s="45" t="str">
        <f>JANDUÍ!D54</f>
        <v>INSTALAÇÕES HIDROSSANITARIAS</v>
      </c>
      <c r="E382" s="45"/>
      <c r="F382" s="158"/>
      <c r="G382" s="158"/>
      <c r="H382" s="46"/>
      <c r="I382" s="45"/>
      <c r="J382" s="130">
        <f>SUM(J387,J393,J401,J411,J419,J427,J436,J445,J455,J464)</f>
        <v>10207.58</v>
      </c>
    </row>
    <row r="383" spans="1:11" ht="18" customHeight="1">
      <c r="A383" s="48" t="s">
        <v>538</v>
      </c>
      <c r="B383" s="49" t="s">
        <v>9</v>
      </c>
      <c r="C383" s="48" t="s">
        <v>10</v>
      </c>
      <c r="D383" s="48" t="s">
        <v>11</v>
      </c>
      <c r="E383" s="159" t="s">
        <v>150</v>
      </c>
      <c r="F383" s="159"/>
      <c r="G383" s="50" t="s">
        <v>12</v>
      </c>
      <c r="H383" s="49" t="s">
        <v>13</v>
      </c>
      <c r="I383" s="49" t="s">
        <v>14</v>
      </c>
      <c r="J383" s="133" t="s">
        <v>16</v>
      </c>
    </row>
    <row r="384" spans="1:11" ht="52.05" customHeight="1">
      <c r="A384" s="51" t="s">
        <v>151</v>
      </c>
      <c r="B384" s="52" t="s">
        <v>518</v>
      </c>
      <c r="C384" s="51" t="s">
        <v>29</v>
      </c>
      <c r="D384" s="51" t="s">
        <v>519</v>
      </c>
      <c r="E384" s="160" t="s">
        <v>216</v>
      </c>
      <c r="F384" s="160"/>
      <c r="G384" s="53" t="s">
        <v>59</v>
      </c>
      <c r="H384" s="54">
        <v>1</v>
      </c>
      <c r="I384" s="55">
        <f>JANDUÍ!G55</f>
        <v>519.82000000000005</v>
      </c>
      <c r="J384" s="128">
        <f t="shared" ref="J384:J386" si="41">ROUND(H384*I384,2)</f>
        <v>519.82000000000005</v>
      </c>
    </row>
    <row r="385" spans="1:11" ht="25.95" customHeight="1">
      <c r="A385" s="56" t="s">
        <v>153</v>
      </c>
      <c r="B385" s="57" t="s">
        <v>641</v>
      </c>
      <c r="C385" s="56" t="s">
        <v>29</v>
      </c>
      <c r="D385" s="56" t="s">
        <v>642</v>
      </c>
      <c r="E385" s="161" t="s">
        <v>216</v>
      </c>
      <c r="F385" s="161"/>
      <c r="G385" s="58" t="s">
        <v>59</v>
      </c>
      <c r="H385" s="59">
        <v>1</v>
      </c>
      <c r="I385" s="60">
        <v>67.52</v>
      </c>
      <c r="J385" s="128">
        <f t="shared" si="41"/>
        <v>67.52</v>
      </c>
      <c r="K385" s="143"/>
    </row>
    <row r="386" spans="1:11" ht="25.95" customHeight="1">
      <c r="A386" s="56" t="s">
        <v>153</v>
      </c>
      <c r="B386" s="57" t="s">
        <v>643</v>
      </c>
      <c r="C386" s="56" t="s">
        <v>29</v>
      </c>
      <c r="D386" s="56" t="s">
        <v>644</v>
      </c>
      <c r="E386" s="161" t="s">
        <v>216</v>
      </c>
      <c r="F386" s="161"/>
      <c r="G386" s="58" t="s">
        <v>59</v>
      </c>
      <c r="H386" s="59">
        <v>1</v>
      </c>
      <c r="I386" s="60">
        <v>452.3</v>
      </c>
      <c r="J386" s="128">
        <f t="shared" si="41"/>
        <v>452.3</v>
      </c>
    </row>
    <row r="387" spans="1:11" ht="30" customHeight="1" thickBot="1">
      <c r="A387" s="61"/>
      <c r="B387" s="61"/>
      <c r="C387" s="61"/>
      <c r="D387" s="61"/>
      <c r="E387" s="61"/>
      <c r="F387" s="61"/>
      <c r="G387" s="61" t="s">
        <v>158</v>
      </c>
      <c r="H387" s="62">
        <f>JANDUÍ!F55</f>
        <v>2</v>
      </c>
      <c r="I387" s="61" t="s">
        <v>159</v>
      </c>
      <c r="J387" s="127">
        <f>JANDUÍ!I55</f>
        <v>1277.51</v>
      </c>
    </row>
    <row r="388" spans="1:11" ht="1.05" customHeight="1" thickTop="1">
      <c r="A388" s="63"/>
      <c r="B388" s="63"/>
      <c r="C388" s="63"/>
      <c r="D388" s="63"/>
      <c r="E388" s="63"/>
      <c r="F388" s="63"/>
      <c r="G388" s="63"/>
      <c r="H388" s="63"/>
      <c r="I388" s="63"/>
      <c r="J388" s="129"/>
    </row>
    <row r="389" spans="1:11" ht="18" customHeight="1">
      <c r="A389" s="48" t="s">
        <v>541</v>
      </c>
      <c r="B389" s="49" t="s">
        <v>9</v>
      </c>
      <c r="C389" s="48" t="s">
        <v>10</v>
      </c>
      <c r="D389" s="48" t="s">
        <v>11</v>
      </c>
      <c r="E389" s="159" t="s">
        <v>150</v>
      </c>
      <c r="F389" s="159"/>
      <c r="G389" s="50" t="s">
        <v>12</v>
      </c>
      <c r="H389" s="49" t="s">
        <v>13</v>
      </c>
      <c r="I389" s="49" t="s">
        <v>14</v>
      </c>
      <c r="J389" s="133" t="s">
        <v>16</v>
      </c>
    </row>
    <row r="390" spans="1:11" ht="52.05" customHeight="1">
      <c r="A390" s="51" t="s">
        <v>151</v>
      </c>
      <c r="B390" s="52" t="s">
        <v>791</v>
      </c>
      <c r="C390" s="51" t="s">
        <v>29</v>
      </c>
      <c r="D390" s="51" t="s">
        <v>792</v>
      </c>
      <c r="E390" s="160" t="s">
        <v>216</v>
      </c>
      <c r="F390" s="160"/>
      <c r="G390" s="53" t="s">
        <v>59</v>
      </c>
      <c r="H390" s="54">
        <v>1</v>
      </c>
      <c r="I390" s="55">
        <f>JANDUÍ!G56</f>
        <v>707.77</v>
      </c>
      <c r="J390" s="128">
        <f t="shared" ref="J390:J392" si="42">ROUND(H390*I390,2)</f>
        <v>707.77</v>
      </c>
    </row>
    <row r="391" spans="1:11" ht="39" customHeight="1">
      <c r="A391" s="56" t="s">
        <v>153</v>
      </c>
      <c r="B391" s="57" t="s">
        <v>855</v>
      </c>
      <c r="C391" s="56" t="s">
        <v>29</v>
      </c>
      <c r="D391" s="56" t="s">
        <v>856</v>
      </c>
      <c r="E391" s="161" t="s">
        <v>216</v>
      </c>
      <c r="F391" s="161"/>
      <c r="G391" s="58" t="s">
        <v>59</v>
      </c>
      <c r="H391" s="59">
        <v>1</v>
      </c>
      <c r="I391" s="60">
        <v>699.46</v>
      </c>
      <c r="J391" s="128">
        <f t="shared" si="42"/>
        <v>699.46</v>
      </c>
    </row>
    <row r="392" spans="1:11" ht="25.95" customHeight="1">
      <c r="A392" s="64" t="s">
        <v>164</v>
      </c>
      <c r="B392" s="65" t="s">
        <v>857</v>
      </c>
      <c r="C392" s="64" t="s">
        <v>29</v>
      </c>
      <c r="D392" s="64" t="s">
        <v>858</v>
      </c>
      <c r="E392" s="157" t="s">
        <v>167</v>
      </c>
      <c r="F392" s="157"/>
      <c r="G392" s="66" t="s">
        <v>59</v>
      </c>
      <c r="H392" s="67">
        <v>1</v>
      </c>
      <c r="I392" s="68">
        <v>8.31</v>
      </c>
      <c r="J392" s="128">
        <f t="shared" si="42"/>
        <v>8.31</v>
      </c>
    </row>
    <row r="393" spans="1:11" ht="30" customHeight="1" thickBot="1">
      <c r="A393" s="61"/>
      <c r="B393" s="61"/>
      <c r="C393" s="61"/>
      <c r="D393" s="61"/>
      <c r="E393" s="61"/>
      <c r="F393" s="61"/>
      <c r="G393" s="61" t="s">
        <v>158</v>
      </c>
      <c r="H393" s="62">
        <f>JANDUÍ!F56</f>
        <v>2</v>
      </c>
      <c r="I393" s="61" t="s">
        <v>159</v>
      </c>
      <c r="J393" s="127">
        <f>JANDUÍ!I56</f>
        <v>1739.42</v>
      </c>
    </row>
    <row r="394" spans="1:11" ht="1.05" customHeight="1" thickTop="1">
      <c r="A394" s="63"/>
      <c r="B394" s="63"/>
      <c r="C394" s="63"/>
      <c r="D394" s="63"/>
      <c r="E394" s="63"/>
      <c r="F394" s="63"/>
      <c r="G394" s="63"/>
      <c r="H394" s="63"/>
      <c r="I394" s="63"/>
      <c r="J394" s="129"/>
    </row>
    <row r="395" spans="1:11" ht="18" customHeight="1">
      <c r="A395" s="48" t="s">
        <v>544</v>
      </c>
      <c r="B395" s="49" t="s">
        <v>9</v>
      </c>
      <c r="C395" s="48" t="s">
        <v>10</v>
      </c>
      <c r="D395" s="48" t="s">
        <v>11</v>
      </c>
      <c r="E395" s="159" t="s">
        <v>150</v>
      </c>
      <c r="F395" s="159"/>
      <c r="G395" s="50" t="s">
        <v>12</v>
      </c>
      <c r="H395" s="49" t="s">
        <v>13</v>
      </c>
      <c r="I395" s="49" t="s">
        <v>14</v>
      </c>
      <c r="J395" s="133" t="s">
        <v>16</v>
      </c>
    </row>
    <row r="396" spans="1:11" ht="39" customHeight="1">
      <c r="A396" s="51" t="s">
        <v>151</v>
      </c>
      <c r="B396" s="52" t="s">
        <v>793</v>
      </c>
      <c r="C396" s="51" t="s">
        <v>29</v>
      </c>
      <c r="D396" s="51" t="s">
        <v>794</v>
      </c>
      <c r="E396" s="160" t="s">
        <v>216</v>
      </c>
      <c r="F396" s="160"/>
      <c r="G396" s="53" t="s">
        <v>59</v>
      </c>
      <c r="H396" s="54">
        <v>1</v>
      </c>
      <c r="I396" s="55">
        <f>JANDUÍ!G57</f>
        <v>117.11</v>
      </c>
      <c r="J396" s="128">
        <f t="shared" ref="J396:J400" si="43">ROUND(H396*I396,2)</f>
        <v>117.11</v>
      </c>
    </row>
    <row r="397" spans="1:11" ht="25.95" customHeight="1">
      <c r="A397" s="56" t="s">
        <v>153</v>
      </c>
      <c r="B397" s="57" t="s">
        <v>217</v>
      </c>
      <c r="C397" s="56" t="s">
        <v>29</v>
      </c>
      <c r="D397" s="56" t="s">
        <v>218</v>
      </c>
      <c r="E397" s="161" t="s">
        <v>152</v>
      </c>
      <c r="F397" s="161"/>
      <c r="G397" s="58" t="s">
        <v>24</v>
      </c>
      <c r="H397" s="59">
        <v>0.16669999999999999</v>
      </c>
      <c r="I397" s="60">
        <v>24.63</v>
      </c>
      <c r="J397" s="128">
        <f t="shared" si="43"/>
        <v>4.1100000000000003</v>
      </c>
    </row>
    <row r="398" spans="1:11" ht="24" customHeight="1">
      <c r="A398" s="56" t="s">
        <v>153</v>
      </c>
      <c r="B398" s="57" t="s">
        <v>156</v>
      </c>
      <c r="C398" s="56" t="s">
        <v>29</v>
      </c>
      <c r="D398" s="56" t="s">
        <v>157</v>
      </c>
      <c r="E398" s="161" t="s">
        <v>152</v>
      </c>
      <c r="F398" s="161"/>
      <c r="G398" s="58" t="s">
        <v>24</v>
      </c>
      <c r="H398" s="59">
        <v>5.2499999999999998E-2</v>
      </c>
      <c r="I398" s="60">
        <v>20.420000000000002</v>
      </c>
      <c r="J398" s="128">
        <f t="shared" si="43"/>
        <v>1.07</v>
      </c>
    </row>
    <row r="399" spans="1:11" ht="24" customHeight="1">
      <c r="A399" s="64" t="s">
        <v>164</v>
      </c>
      <c r="B399" s="65" t="s">
        <v>219</v>
      </c>
      <c r="C399" s="64" t="s">
        <v>29</v>
      </c>
      <c r="D399" s="64" t="s">
        <v>220</v>
      </c>
      <c r="E399" s="157" t="s">
        <v>167</v>
      </c>
      <c r="F399" s="157"/>
      <c r="G399" s="66" t="s">
        <v>59</v>
      </c>
      <c r="H399" s="67">
        <v>2.1000000000000001E-2</v>
      </c>
      <c r="I399" s="68">
        <v>3.1</v>
      </c>
      <c r="J399" s="128">
        <f t="shared" si="43"/>
        <v>7.0000000000000007E-2</v>
      </c>
    </row>
    <row r="400" spans="1:11" ht="39" customHeight="1">
      <c r="A400" s="64" t="s">
        <v>164</v>
      </c>
      <c r="B400" s="65" t="s">
        <v>859</v>
      </c>
      <c r="C400" s="64" t="s">
        <v>29</v>
      </c>
      <c r="D400" s="64" t="s">
        <v>860</v>
      </c>
      <c r="E400" s="157" t="s">
        <v>167</v>
      </c>
      <c r="F400" s="157"/>
      <c r="G400" s="66" t="s">
        <v>59</v>
      </c>
      <c r="H400" s="67">
        <v>1</v>
      </c>
      <c r="I400" s="68">
        <v>111.88</v>
      </c>
      <c r="J400" s="128">
        <f t="shared" si="43"/>
        <v>111.88</v>
      </c>
    </row>
    <row r="401" spans="1:11" ht="30" customHeight="1" thickBot="1">
      <c r="A401" s="61"/>
      <c r="B401" s="61"/>
      <c r="C401" s="61"/>
      <c r="D401" s="61"/>
      <c r="E401" s="61"/>
      <c r="F401" s="61"/>
      <c r="G401" s="61" t="s">
        <v>158</v>
      </c>
      <c r="H401" s="62">
        <f>JANDUÍ!F57</f>
        <v>7</v>
      </c>
      <c r="I401" s="61" t="s">
        <v>159</v>
      </c>
      <c r="J401" s="127">
        <f>JANDUÍ!I57</f>
        <v>1007.33</v>
      </c>
    </row>
    <row r="402" spans="1:11" ht="1.05" customHeight="1" thickTop="1">
      <c r="A402" s="63"/>
      <c r="B402" s="63"/>
      <c r="C402" s="63"/>
      <c r="D402" s="63"/>
      <c r="E402" s="63"/>
      <c r="F402" s="63"/>
      <c r="G402" s="63"/>
      <c r="H402" s="63"/>
      <c r="I402" s="63"/>
      <c r="J402" s="129"/>
    </row>
    <row r="403" spans="1:11" ht="18" customHeight="1">
      <c r="A403" s="48" t="s">
        <v>1067</v>
      </c>
      <c r="B403" s="49" t="s">
        <v>9</v>
      </c>
      <c r="C403" s="48" t="s">
        <v>10</v>
      </c>
      <c r="D403" s="48" t="s">
        <v>11</v>
      </c>
      <c r="E403" s="159" t="s">
        <v>150</v>
      </c>
      <c r="F403" s="159"/>
      <c r="G403" s="50" t="s">
        <v>12</v>
      </c>
      <c r="H403" s="49" t="s">
        <v>13</v>
      </c>
      <c r="I403" s="49" t="s">
        <v>14</v>
      </c>
      <c r="J403" s="133" t="s">
        <v>16</v>
      </c>
    </row>
    <row r="404" spans="1:11" ht="52.05" customHeight="1">
      <c r="A404" s="51" t="s">
        <v>151</v>
      </c>
      <c r="B404" s="52" t="s">
        <v>524</v>
      </c>
      <c r="C404" s="51" t="s">
        <v>29</v>
      </c>
      <c r="D404" s="51" t="s">
        <v>525</v>
      </c>
      <c r="E404" s="160" t="s">
        <v>216</v>
      </c>
      <c r="F404" s="160"/>
      <c r="G404" s="53" t="s">
        <v>59</v>
      </c>
      <c r="H404" s="54">
        <v>1</v>
      </c>
      <c r="I404" s="55">
        <f>JANDUÍ!G58</f>
        <v>137.41</v>
      </c>
      <c r="J404" s="128">
        <f t="shared" ref="J404:J410" si="44">ROUND(H404*I404,2)</f>
        <v>137.41</v>
      </c>
    </row>
    <row r="405" spans="1:11" ht="39" customHeight="1">
      <c r="A405" s="56" t="s">
        <v>153</v>
      </c>
      <c r="B405" s="57" t="s">
        <v>647</v>
      </c>
      <c r="C405" s="56" t="s">
        <v>29</v>
      </c>
      <c r="D405" s="56" t="s">
        <v>648</v>
      </c>
      <c r="E405" s="161" t="s">
        <v>216</v>
      </c>
      <c r="F405" s="161"/>
      <c r="G405" s="58" t="s">
        <v>40</v>
      </c>
      <c r="H405" s="59">
        <v>2.14</v>
      </c>
      <c r="I405" s="60">
        <v>21.96</v>
      </c>
      <c r="J405" s="128">
        <f t="shared" si="44"/>
        <v>46.99</v>
      </c>
      <c r="K405" s="143"/>
    </row>
    <row r="406" spans="1:11" ht="39" customHeight="1">
      <c r="A406" s="56" t="s">
        <v>153</v>
      </c>
      <c r="B406" s="57" t="s">
        <v>649</v>
      </c>
      <c r="C406" s="56" t="s">
        <v>29</v>
      </c>
      <c r="D406" s="56" t="s">
        <v>650</v>
      </c>
      <c r="E406" s="161" t="s">
        <v>216</v>
      </c>
      <c r="F406" s="161"/>
      <c r="G406" s="58" t="s">
        <v>59</v>
      </c>
      <c r="H406" s="59">
        <v>1.18</v>
      </c>
      <c r="I406" s="60">
        <v>8.5299999999999994</v>
      </c>
      <c r="J406" s="128">
        <f t="shared" si="44"/>
        <v>10.07</v>
      </c>
    </row>
    <row r="407" spans="1:11" ht="39" customHeight="1">
      <c r="A407" s="56" t="s">
        <v>153</v>
      </c>
      <c r="B407" s="57" t="s">
        <v>651</v>
      </c>
      <c r="C407" s="56" t="s">
        <v>29</v>
      </c>
      <c r="D407" s="56" t="s">
        <v>652</v>
      </c>
      <c r="E407" s="161" t="s">
        <v>216</v>
      </c>
      <c r="F407" s="161"/>
      <c r="G407" s="58" t="s">
        <v>59</v>
      </c>
      <c r="H407" s="59">
        <v>1</v>
      </c>
      <c r="I407" s="60">
        <v>16.14</v>
      </c>
      <c r="J407" s="128">
        <f t="shared" si="44"/>
        <v>16.14</v>
      </c>
    </row>
    <row r="408" spans="1:11" ht="39" customHeight="1">
      <c r="A408" s="56" t="s">
        <v>153</v>
      </c>
      <c r="B408" s="57" t="s">
        <v>653</v>
      </c>
      <c r="C408" s="56" t="s">
        <v>29</v>
      </c>
      <c r="D408" s="56" t="s">
        <v>654</v>
      </c>
      <c r="E408" s="161" t="s">
        <v>216</v>
      </c>
      <c r="F408" s="161"/>
      <c r="G408" s="58" t="s">
        <v>59</v>
      </c>
      <c r="H408" s="59">
        <v>0.89</v>
      </c>
      <c r="I408" s="60">
        <v>11.81</v>
      </c>
      <c r="J408" s="128">
        <f t="shared" si="44"/>
        <v>10.51</v>
      </c>
    </row>
    <row r="409" spans="1:11" ht="25.95" customHeight="1">
      <c r="A409" s="56" t="s">
        <v>153</v>
      </c>
      <c r="B409" s="57" t="s">
        <v>655</v>
      </c>
      <c r="C409" s="56" t="s">
        <v>29</v>
      </c>
      <c r="D409" s="56" t="s">
        <v>656</v>
      </c>
      <c r="E409" s="161" t="s">
        <v>216</v>
      </c>
      <c r="F409" s="161"/>
      <c r="G409" s="58" t="s">
        <v>40</v>
      </c>
      <c r="H409" s="59">
        <v>2.14</v>
      </c>
      <c r="I409" s="60">
        <v>12.43</v>
      </c>
      <c r="J409" s="128">
        <f t="shared" si="44"/>
        <v>26.6</v>
      </c>
    </row>
    <row r="410" spans="1:11" ht="39" customHeight="1">
      <c r="A410" s="56" t="s">
        <v>153</v>
      </c>
      <c r="B410" s="57" t="s">
        <v>613</v>
      </c>
      <c r="C410" s="56" t="s">
        <v>29</v>
      </c>
      <c r="D410" s="56" t="s">
        <v>614</v>
      </c>
      <c r="E410" s="161" t="s">
        <v>216</v>
      </c>
      <c r="F410" s="161"/>
      <c r="G410" s="58" t="s">
        <v>40</v>
      </c>
      <c r="H410" s="59">
        <v>2.14</v>
      </c>
      <c r="I410" s="60">
        <v>12.67</v>
      </c>
      <c r="J410" s="128">
        <f t="shared" si="44"/>
        <v>27.11</v>
      </c>
    </row>
    <row r="411" spans="1:11" ht="30" customHeight="1" thickBot="1">
      <c r="A411" s="61"/>
      <c r="B411" s="61"/>
      <c r="C411" s="61"/>
      <c r="D411" s="61"/>
      <c r="E411" s="61"/>
      <c r="F411" s="61"/>
      <c r="G411" s="61" t="s">
        <v>158</v>
      </c>
      <c r="H411" s="62">
        <f>JANDUÍ!F58</f>
        <v>15</v>
      </c>
      <c r="I411" s="61" t="s">
        <v>159</v>
      </c>
      <c r="J411" s="127">
        <f>JANDUÍ!I58</f>
        <v>2532.7399999999998</v>
      </c>
    </row>
    <row r="412" spans="1:11" ht="1.05" customHeight="1" thickTop="1">
      <c r="A412" s="63"/>
      <c r="B412" s="63"/>
      <c r="C412" s="63"/>
      <c r="D412" s="63"/>
      <c r="E412" s="63"/>
      <c r="F412" s="63"/>
      <c r="G412" s="63"/>
      <c r="H412" s="63"/>
      <c r="I412" s="63"/>
      <c r="J412" s="129"/>
    </row>
    <row r="413" spans="1:11" ht="18" customHeight="1">
      <c r="A413" s="48" t="s">
        <v>1068</v>
      </c>
      <c r="B413" s="49" t="s">
        <v>9</v>
      </c>
      <c r="C413" s="48" t="s">
        <v>10</v>
      </c>
      <c r="D413" s="48" t="s">
        <v>11</v>
      </c>
      <c r="E413" s="159" t="s">
        <v>150</v>
      </c>
      <c r="F413" s="159"/>
      <c r="G413" s="50" t="s">
        <v>12</v>
      </c>
      <c r="H413" s="49" t="s">
        <v>13</v>
      </c>
      <c r="I413" s="49" t="s">
        <v>14</v>
      </c>
      <c r="J413" s="133" t="s">
        <v>16</v>
      </c>
    </row>
    <row r="414" spans="1:11" ht="25.95" customHeight="1">
      <c r="A414" s="51" t="s">
        <v>151</v>
      </c>
      <c r="B414" s="52" t="s">
        <v>57</v>
      </c>
      <c r="C414" s="51" t="s">
        <v>29</v>
      </c>
      <c r="D414" s="51" t="s">
        <v>58</v>
      </c>
      <c r="E414" s="160" t="s">
        <v>216</v>
      </c>
      <c r="F414" s="160"/>
      <c r="G414" s="53" t="s">
        <v>59</v>
      </c>
      <c r="H414" s="54">
        <v>1</v>
      </c>
      <c r="I414" s="55">
        <f>JANDUÍ!G59</f>
        <v>12.12</v>
      </c>
      <c r="J414" s="128">
        <f t="shared" ref="J414:J417" si="45">ROUND(H414*I414,2)</f>
        <v>12.12</v>
      </c>
    </row>
    <row r="415" spans="1:11" ht="25.95" customHeight="1">
      <c r="A415" s="56" t="s">
        <v>153</v>
      </c>
      <c r="B415" s="57" t="s">
        <v>217</v>
      </c>
      <c r="C415" s="56" t="s">
        <v>29</v>
      </c>
      <c r="D415" s="56" t="s">
        <v>218</v>
      </c>
      <c r="E415" s="161" t="s">
        <v>152</v>
      </c>
      <c r="F415" s="161"/>
      <c r="G415" s="58" t="s">
        <v>24</v>
      </c>
      <c r="H415" s="59">
        <v>8.4500000000000006E-2</v>
      </c>
      <c r="I415" s="60">
        <v>24.63</v>
      </c>
      <c r="J415" s="128">
        <f t="shared" si="45"/>
        <v>2.08</v>
      </c>
    </row>
    <row r="416" spans="1:11" ht="24" customHeight="1">
      <c r="A416" s="56" t="s">
        <v>153</v>
      </c>
      <c r="B416" s="57" t="s">
        <v>156</v>
      </c>
      <c r="C416" s="56" t="s">
        <v>29</v>
      </c>
      <c r="D416" s="56" t="s">
        <v>157</v>
      </c>
      <c r="E416" s="161" t="s">
        <v>152</v>
      </c>
      <c r="F416" s="161"/>
      <c r="G416" s="58" t="s">
        <v>24</v>
      </c>
      <c r="H416" s="59">
        <v>2.6599999999999999E-2</v>
      </c>
      <c r="I416" s="60">
        <v>20.420000000000002</v>
      </c>
      <c r="J416" s="128">
        <f t="shared" si="45"/>
        <v>0.54</v>
      </c>
    </row>
    <row r="417" spans="1:11" ht="24" customHeight="1">
      <c r="A417" s="64" t="s">
        <v>164</v>
      </c>
      <c r="B417" s="65" t="s">
        <v>219</v>
      </c>
      <c r="C417" s="64" t="s">
        <v>29</v>
      </c>
      <c r="D417" s="64" t="s">
        <v>220</v>
      </c>
      <c r="E417" s="157" t="s">
        <v>167</v>
      </c>
      <c r="F417" s="157"/>
      <c r="G417" s="66" t="s">
        <v>59</v>
      </c>
      <c r="H417" s="67">
        <v>3.32E-2</v>
      </c>
      <c r="I417" s="68">
        <v>3.1</v>
      </c>
      <c r="J417" s="128">
        <f t="shared" si="45"/>
        <v>0.1</v>
      </c>
    </row>
    <row r="418" spans="1:11" ht="39" customHeight="1">
      <c r="A418" s="64" t="s">
        <v>164</v>
      </c>
      <c r="B418" s="65" t="s">
        <v>221</v>
      </c>
      <c r="C418" s="64" t="s">
        <v>29</v>
      </c>
      <c r="D418" s="64" t="s">
        <v>222</v>
      </c>
      <c r="E418" s="157" t="s">
        <v>167</v>
      </c>
      <c r="F418" s="157"/>
      <c r="G418" s="66" t="s">
        <v>59</v>
      </c>
      <c r="H418" s="67">
        <v>1</v>
      </c>
      <c r="I418" s="68">
        <v>9.4</v>
      </c>
      <c r="J418" s="128">
        <f>ROUND(H418*I418,2)</f>
        <v>9.4</v>
      </c>
    </row>
    <row r="419" spans="1:11" ht="30" customHeight="1" thickBot="1">
      <c r="A419" s="61"/>
      <c r="B419" s="61"/>
      <c r="C419" s="61"/>
      <c r="D419" s="61"/>
      <c r="E419" s="61"/>
      <c r="F419" s="61"/>
      <c r="G419" s="61" t="s">
        <v>158</v>
      </c>
      <c r="H419" s="62">
        <f>JANDUÍ!F59</f>
        <v>10</v>
      </c>
      <c r="I419" s="61" t="s">
        <v>159</v>
      </c>
      <c r="J419" s="127">
        <f>JANDUÍ!I59</f>
        <v>148.93</v>
      </c>
    </row>
    <row r="420" spans="1:11" ht="1.05" customHeight="1" thickTop="1">
      <c r="A420" s="63"/>
      <c r="B420" s="63"/>
      <c r="C420" s="63"/>
      <c r="D420" s="63"/>
      <c r="E420" s="63"/>
      <c r="F420" s="63"/>
      <c r="G420" s="63"/>
      <c r="H420" s="63"/>
      <c r="I420" s="63"/>
      <c r="J420" s="129"/>
    </row>
    <row r="421" spans="1:11" ht="18" customHeight="1">
      <c r="A421" s="48" t="s">
        <v>1069</v>
      </c>
      <c r="B421" s="49" t="s">
        <v>9</v>
      </c>
      <c r="C421" s="48" t="s">
        <v>10</v>
      </c>
      <c r="D421" s="48" t="s">
        <v>11</v>
      </c>
      <c r="E421" s="159" t="s">
        <v>150</v>
      </c>
      <c r="F421" s="159"/>
      <c r="G421" s="50" t="s">
        <v>12</v>
      </c>
      <c r="H421" s="49" t="s">
        <v>13</v>
      </c>
      <c r="I421" s="49" t="s">
        <v>14</v>
      </c>
      <c r="J421" s="133" t="s">
        <v>16</v>
      </c>
    </row>
    <row r="422" spans="1:11" ht="25.95" customHeight="1">
      <c r="A422" s="51" t="s">
        <v>151</v>
      </c>
      <c r="B422" s="52" t="s">
        <v>61</v>
      </c>
      <c r="C422" s="51" t="s">
        <v>29</v>
      </c>
      <c r="D422" s="51" t="s">
        <v>62</v>
      </c>
      <c r="E422" s="160" t="s">
        <v>216</v>
      </c>
      <c r="F422" s="160"/>
      <c r="G422" s="53" t="s">
        <v>59</v>
      </c>
      <c r="H422" s="54">
        <v>1</v>
      </c>
      <c r="I422" s="55">
        <f>JANDUÍ!G60</f>
        <v>10.47</v>
      </c>
      <c r="J422" s="128">
        <f>ROUND(H422*I422,2)</f>
        <v>10.47</v>
      </c>
    </row>
    <row r="423" spans="1:11" ht="25.95" customHeight="1">
      <c r="A423" s="56" t="s">
        <v>153</v>
      </c>
      <c r="B423" s="57" t="s">
        <v>217</v>
      </c>
      <c r="C423" s="56" t="s">
        <v>29</v>
      </c>
      <c r="D423" s="56" t="s">
        <v>218</v>
      </c>
      <c r="E423" s="161" t="s">
        <v>152</v>
      </c>
      <c r="F423" s="161"/>
      <c r="G423" s="58" t="s">
        <v>24</v>
      </c>
      <c r="H423" s="59">
        <v>0.1525</v>
      </c>
      <c r="I423" s="60">
        <v>24.63</v>
      </c>
      <c r="J423" s="128">
        <f t="shared" ref="J423:J426" si="46">ROUND(H423*I423,2)</f>
        <v>3.76</v>
      </c>
    </row>
    <row r="424" spans="1:11" ht="24" customHeight="1">
      <c r="A424" s="56" t="s">
        <v>153</v>
      </c>
      <c r="B424" s="57" t="s">
        <v>156</v>
      </c>
      <c r="C424" s="56" t="s">
        <v>29</v>
      </c>
      <c r="D424" s="56" t="s">
        <v>157</v>
      </c>
      <c r="E424" s="161" t="s">
        <v>152</v>
      </c>
      <c r="F424" s="161"/>
      <c r="G424" s="58" t="s">
        <v>24</v>
      </c>
      <c r="H424" s="59">
        <v>4.8099999999999997E-2</v>
      </c>
      <c r="I424" s="60">
        <v>20.420000000000002</v>
      </c>
      <c r="J424" s="128">
        <f t="shared" si="46"/>
        <v>0.98</v>
      </c>
    </row>
    <row r="425" spans="1:11" ht="24" customHeight="1">
      <c r="A425" s="64" t="s">
        <v>164</v>
      </c>
      <c r="B425" s="65" t="s">
        <v>219</v>
      </c>
      <c r="C425" s="64" t="s">
        <v>29</v>
      </c>
      <c r="D425" s="64" t="s">
        <v>220</v>
      </c>
      <c r="E425" s="157" t="s">
        <v>167</v>
      </c>
      <c r="F425" s="157"/>
      <c r="G425" s="66" t="s">
        <v>59</v>
      </c>
      <c r="H425" s="67">
        <v>2.1000000000000001E-2</v>
      </c>
      <c r="I425" s="68">
        <v>3.1</v>
      </c>
      <c r="J425" s="128">
        <f t="shared" si="46"/>
        <v>7.0000000000000007E-2</v>
      </c>
    </row>
    <row r="426" spans="1:11" ht="25.95" customHeight="1">
      <c r="A426" s="64" t="s">
        <v>164</v>
      </c>
      <c r="B426" s="65" t="s">
        <v>206</v>
      </c>
      <c r="C426" s="64" t="s">
        <v>29</v>
      </c>
      <c r="D426" s="64" t="s">
        <v>207</v>
      </c>
      <c r="E426" s="157" t="s">
        <v>167</v>
      </c>
      <c r="F426" s="157"/>
      <c r="G426" s="66" t="s">
        <v>59</v>
      </c>
      <c r="H426" s="67">
        <v>1</v>
      </c>
      <c r="I426" s="68">
        <v>5.68</v>
      </c>
      <c r="J426" s="128">
        <f t="shared" si="46"/>
        <v>5.68</v>
      </c>
    </row>
    <row r="427" spans="1:11" ht="30" customHeight="1" thickBot="1">
      <c r="A427" s="61"/>
      <c r="B427" s="61"/>
      <c r="C427" s="61"/>
      <c r="D427" s="61"/>
      <c r="E427" s="61"/>
      <c r="F427" s="61"/>
      <c r="G427" s="61" t="s">
        <v>158</v>
      </c>
      <c r="H427" s="62">
        <f>JANDUÍ!F60</f>
        <v>15</v>
      </c>
      <c r="I427" s="61" t="s">
        <v>159</v>
      </c>
      <c r="J427" s="127">
        <f>JANDUÍ!I60</f>
        <v>192.98</v>
      </c>
    </row>
    <row r="428" spans="1:11" ht="1.05" customHeight="1" thickTop="1">
      <c r="A428" s="63"/>
      <c r="B428" s="63"/>
      <c r="C428" s="63"/>
      <c r="D428" s="63"/>
      <c r="E428" s="63"/>
      <c r="F428" s="63"/>
      <c r="G428" s="63"/>
      <c r="H428" s="63"/>
      <c r="I428" s="63"/>
      <c r="J428" s="129"/>
    </row>
    <row r="429" spans="1:11" ht="18" customHeight="1">
      <c r="A429" s="48" t="s">
        <v>1070</v>
      </c>
      <c r="B429" s="49" t="s">
        <v>9</v>
      </c>
      <c r="C429" s="48" t="s">
        <v>10</v>
      </c>
      <c r="D429" s="48" t="s">
        <v>11</v>
      </c>
      <c r="E429" s="159" t="s">
        <v>150</v>
      </c>
      <c r="F429" s="159"/>
      <c r="G429" s="50" t="s">
        <v>12</v>
      </c>
      <c r="H429" s="49" t="s">
        <v>13</v>
      </c>
      <c r="I429" s="49" t="s">
        <v>14</v>
      </c>
      <c r="J429" s="133" t="s">
        <v>16</v>
      </c>
    </row>
    <row r="430" spans="1:11" ht="24" customHeight="1">
      <c r="A430" s="51" t="s">
        <v>151</v>
      </c>
      <c r="B430" s="52" t="s">
        <v>796</v>
      </c>
      <c r="C430" s="51" t="s">
        <v>22</v>
      </c>
      <c r="D430" s="51" t="s">
        <v>797</v>
      </c>
      <c r="E430" s="160" t="s">
        <v>205</v>
      </c>
      <c r="F430" s="160"/>
      <c r="G430" s="53" t="s">
        <v>55</v>
      </c>
      <c r="H430" s="54">
        <v>1</v>
      </c>
      <c r="I430" s="55">
        <f>JANDUÍ!G61</f>
        <v>149.53</v>
      </c>
      <c r="J430" s="128">
        <f t="shared" ref="J430:J435" si="47">ROUND(H430*I430,2)</f>
        <v>149.53</v>
      </c>
    </row>
    <row r="431" spans="1:11" ht="25.95" customHeight="1">
      <c r="A431" s="56" t="s">
        <v>153</v>
      </c>
      <c r="B431" s="57" t="s">
        <v>217</v>
      </c>
      <c r="C431" s="56" t="s">
        <v>29</v>
      </c>
      <c r="D431" s="56" t="s">
        <v>218</v>
      </c>
      <c r="E431" s="161" t="s">
        <v>152</v>
      </c>
      <c r="F431" s="161"/>
      <c r="G431" s="58" t="s">
        <v>24</v>
      </c>
      <c r="H431" s="59">
        <v>2.0699999999999998</v>
      </c>
      <c r="I431" s="60">
        <v>24.63</v>
      </c>
      <c r="J431" s="128">
        <f t="shared" si="47"/>
        <v>50.98</v>
      </c>
      <c r="K431" s="143"/>
    </row>
    <row r="432" spans="1:11" ht="24" customHeight="1">
      <c r="A432" s="56" t="s">
        <v>153</v>
      </c>
      <c r="B432" s="57" t="s">
        <v>156</v>
      </c>
      <c r="C432" s="56" t="s">
        <v>29</v>
      </c>
      <c r="D432" s="56" t="s">
        <v>157</v>
      </c>
      <c r="E432" s="161" t="s">
        <v>152</v>
      </c>
      <c r="F432" s="161"/>
      <c r="G432" s="58" t="s">
        <v>24</v>
      </c>
      <c r="H432" s="59">
        <v>1.89</v>
      </c>
      <c r="I432" s="60">
        <v>20.420000000000002</v>
      </c>
      <c r="J432" s="128">
        <f t="shared" si="47"/>
        <v>38.590000000000003</v>
      </c>
    </row>
    <row r="433" spans="1:11" ht="24" customHeight="1">
      <c r="A433" s="64" t="s">
        <v>164</v>
      </c>
      <c r="B433" s="65" t="s">
        <v>861</v>
      </c>
      <c r="C433" s="64" t="s">
        <v>209</v>
      </c>
      <c r="D433" s="64" t="s">
        <v>862</v>
      </c>
      <c r="E433" s="157" t="s">
        <v>167</v>
      </c>
      <c r="F433" s="157"/>
      <c r="G433" s="66" t="s">
        <v>863</v>
      </c>
      <c r="H433" s="67">
        <v>0.15</v>
      </c>
      <c r="I433" s="68">
        <v>72.41</v>
      </c>
      <c r="J433" s="128">
        <f t="shared" si="47"/>
        <v>10.86</v>
      </c>
    </row>
    <row r="434" spans="1:11" ht="25.95" customHeight="1">
      <c r="A434" s="64" t="s">
        <v>164</v>
      </c>
      <c r="B434" s="65" t="s">
        <v>864</v>
      </c>
      <c r="C434" s="64" t="s">
        <v>209</v>
      </c>
      <c r="D434" s="64" t="s">
        <v>865</v>
      </c>
      <c r="E434" s="157" t="s">
        <v>167</v>
      </c>
      <c r="F434" s="157"/>
      <c r="G434" s="66" t="s">
        <v>211</v>
      </c>
      <c r="H434" s="67">
        <v>0.6</v>
      </c>
      <c r="I434" s="68">
        <v>32.299999999999997</v>
      </c>
      <c r="J434" s="128">
        <f t="shared" si="47"/>
        <v>19.38</v>
      </c>
    </row>
    <row r="435" spans="1:11" ht="25.95" customHeight="1">
      <c r="A435" s="64" t="s">
        <v>164</v>
      </c>
      <c r="B435" s="65" t="s">
        <v>866</v>
      </c>
      <c r="C435" s="64" t="s">
        <v>209</v>
      </c>
      <c r="D435" s="64" t="s">
        <v>867</v>
      </c>
      <c r="E435" s="157" t="s">
        <v>167</v>
      </c>
      <c r="F435" s="157"/>
      <c r="G435" s="66" t="s">
        <v>450</v>
      </c>
      <c r="H435" s="67">
        <v>1.8</v>
      </c>
      <c r="I435" s="68">
        <v>16.510000000000002</v>
      </c>
      <c r="J435" s="128">
        <f t="shared" si="47"/>
        <v>29.72</v>
      </c>
    </row>
    <row r="436" spans="1:11" ht="30" customHeight="1" thickBot="1">
      <c r="A436" s="61"/>
      <c r="B436" s="61"/>
      <c r="C436" s="61"/>
      <c r="D436" s="61"/>
      <c r="E436" s="61"/>
      <c r="F436" s="61"/>
      <c r="G436" s="61" t="s">
        <v>158</v>
      </c>
      <c r="H436" s="62">
        <f>JANDUÍ!F61</f>
        <v>5</v>
      </c>
      <c r="I436" s="61" t="s">
        <v>159</v>
      </c>
      <c r="J436" s="127">
        <f>JANDUÍ!I61</f>
        <v>918.71</v>
      </c>
    </row>
    <row r="437" spans="1:11" ht="1.05" customHeight="1" thickTop="1">
      <c r="A437" s="63"/>
      <c r="B437" s="63"/>
      <c r="C437" s="63"/>
      <c r="D437" s="63"/>
      <c r="E437" s="63"/>
      <c r="F437" s="63"/>
      <c r="G437" s="63"/>
      <c r="H437" s="63"/>
      <c r="I437" s="63"/>
      <c r="J437" s="129"/>
    </row>
    <row r="438" spans="1:11" ht="18" customHeight="1">
      <c r="A438" s="48" t="s">
        <v>795</v>
      </c>
      <c r="B438" s="49" t="s">
        <v>9</v>
      </c>
      <c r="C438" s="48" t="s">
        <v>10</v>
      </c>
      <c r="D438" s="48" t="s">
        <v>11</v>
      </c>
      <c r="E438" s="159" t="s">
        <v>150</v>
      </c>
      <c r="F438" s="159"/>
      <c r="G438" s="50" t="s">
        <v>12</v>
      </c>
      <c r="H438" s="49" t="s">
        <v>13</v>
      </c>
      <c r="I438" s="49" t="s">
        <v>14</v>
      </c>
      <c r="J438" s="133" t="s">
        <v>16</v>
      </c>
    </row>
    <row r="439" spans="1:11" ht="24" customHeight="1">
      <c r="A439" s="51" t="s">
        <v>151</v>
      </c>
      <c r="B439" s="52" t="s">
        <v>799</v>
      </c>
      <c r="C439" s="51" t="s">
        <v>22</v>
      </c>
      <c r="D439" s="51" t="s">
        <v>800</v>
      </c>
      <c r="E439" s="160" t="s">
        <v>205</v>
      </c>
      <c r="F439" s="160"/>
      <c r="G439" s="53" t="s">
        <v>55</v>
      </c>
      <c r="H439" s="54">
        <v>1</v>
      </c>
      <c r="I439" s="55">
        <f>JANDUÍ!G62</f>
        <v>83.23</v>
      </c>
      <c r="J439" s="128">
        <f t="shared" ref="J439:J444" si="48">ROUND(H439*I439,2)</f>
        <v>83.23</v>
      </c>
      <c r="K439" s="143"/>
    </row>
    <row r="440" spans="1:11" ht="25.95" customHeight="1">
      <c r="A440" s="56" t="s">
        <v>153</v>
      </c>
      <c r="B440" s="57" t="s">
        <v>217</v>
      </c>
      <c r="C440" s="56" t="s">
        <v>29</v>
      </c>
      <c r="D440" s="56" t="s">
        <v>218</v>
      </c>
      <c r="E440" s="161" t="s">
        <v>152</v>
      </c>
      <c r="F440" s="161"/>
      <c r="G440" s="58" t="s">
        <v>24</v>
      </c>
      <c r="H440" s="59">
        <v>1.5</v>
      </c>
      <c r="I440" s="60">
        <v>24.63</v>
      </c>
      <c r="J440" s="128">
        <f t="shared" si="48"/>
        <v>36.950000000000003</v>
      </c>
      <c r="K440" s="143"/>
    </row>
    <row r="441" spans="1:11" ht="24" customHeight="1">
      <c r="A441" s="56" t="s">
        <v>153</v>
      </c>
      <c r="B441" s="57" t="s">
        <v>156</v>
      </c>
      <c r="C441" s="56" t="s">
        <v>29</v>
      </c>
      <c r="D441" s="56" t="s">
        <v>157</v>
      </c>
      <c r="E441" s="161" t="s">
        <v>152</v>
      </c>
      <c r="F441" s="161"/>
      <c r="G441" s="58" t="s">
        <v>24</v>
      </c>
      <c r="H441" s="59">
        <v>1</v>
      </c>
      <c r="I441" s="60">
        <v>20.420000000000002</v>
      </c>
      <c r="J441" s="128">
        <f t="shared" si="48"/>
        <v>20.420000000000002</v>
      </c>
    </row>
    <row r="442" spans="1:11" ht="24" customHeight="1">
      <c r="A442" s="64" t="s">
        <v>164</v>
      </c>
      <c r="B442" s="65" t="s">
        <v>861</v>
      </c>
      <c r="C442" s="64" t="s">
        <v>209</v>
      </c>
      <c r="D442" s="64" t="s">
        <v>862</v>
      </c>
      <c r="E442" s="157" t="s">
        <v>167</v>
      </c>
      <c r="F442" s="157"/>
      <c r="G442" s="66" t="s">
        <v>863</v>
      </c>
      <c r="H442" s="67">
        <v>0.15</v>
      </c>
      <c r="I442" s="68">
        <v>72.41</v>
      </c>
      <c r="J442" s="128">
        <f t="shared" si="48"/>
        <v>10.86</v>
      </c>
    </row>
    <row r="443" spans="1:11" ht="25.95" customHeight="1">
      <c r="A443" s="64" t="s">
        <v>164</v>
      </c>
      <c r="B443" s="65" t="s">
        <v>868</v>
      </c>
      <c r="C443" s="64" t="s">
        <v>209</v>
      </c>
      <c r="D443" s="64" t="s">
        <v>869</v>
      </c>
      <c r="E443" s="157" t="s">
        <v>167</v>
      </c>
      <c r="F443" s="157"/>
      <c r="G443" s="66" t="s">
        <v>211</v>
      </c>
      <c r="H443" s="67">
        <v>0.6</v>
      </c>
      <c r="I443" s="68">
        <v>5.57</v>
      </c>
      <c r="J443" s="128">
        <f t="shared" si="48"/>
        <v>3.34</v>
      </c>
    </row>
    <row r="444" spans="1:11" ht="25.95" customHeight="1">
      <c r="A444" s="64" t="s">
        <v>164</v>
      </c>
      <c r="B444" s="65" t="s">
        <v>870</v>
      </c>
      <c r="C444" s="64" t="s">
        <v>29</v>
      </c>
      <c r="D444" s="64" t="s">
        <v>871</v>
      </c>
      <c r="E444" s="157" t="s">
        <v>167</v>
      </c>
      <c r="F444" s="157"/>
      <c r="G444" s="66" t="s">
        <v>40</v>
      </c>
      <c r="H444" s="67">
        <v>1.8</v>
      </c>
      <c r="I444" s="68">
        <v>6.48</v>
      </c>
      <c r="J444" s="128">
        <f t="shared" si="48"/>
        <v>11.66</v>
      </c>
    </row>
    <row r="445" spans="1:11" ht="30" customHeight="1" thickBot="1">
      <c r="A445" s="61"/>
      <c r="B445" s="61"/>
      <c r="C445" s="61"/>
      <c r="D445" s="61"/>
      <c r="E445" s="61"/>
      <c r="F445" s="61"/>
      <c r="G445" s="61" t="s">
        <v>158</v>
      </c>
      <c r="H445" s="62">
        <f>JANDUÍ!F62</f>
        <v>5</v>
      </c>
      <c r="I445" s="61" t="s">
        <v>159</v>
      </c>
      <c r="J445" s="127">
        <f>JANDUÍ!I62</f>
        <v>511.37</v>
      </c>
    </row>
    <row r="446" spans="1:11" ht="1.05" customHeight="1" thickTop="1">
      <c r="A446" s="63"/>
      <c r="B446" s="63"/>
      <c r="C446" s="63"/>
      <c r="D446" s="63"/>
      <c r="E446" s="63"/>
      <c r="F446" s="63"/>
      <c r="G446" s="63"/>
      <c r="H446" s="63"/>
      <c r="I446" s="63"/>
      <c r="J446" s="129"/>
    </row>
    <row r="447" spans="1:11" ht="18" customHeight="1">
      <c r="A447" s="48" t="s">
        <v>798</v>
      </c>
      <c r="B447" s="49" t="s">
        <v>9</v>
      </c>
      <c r="C447" s="48" t="s">
        <v>10</v>
      </c>
      <c r="D447" s="48" t="s">
        <v>11</v>
      </c>
      <c r="E447" s="159" t="s">
        <v>150</v>
      </c>
      <c r="F447" s="159"/>
      <c r="G447" s="50" t="s">
        <v>12</v>
      </c>
      <c r="H447" s="49" t="s">
        <v>13</v>
      </c>
      <c r="I447" s="49" t="s">
        <v>14</v>
      </c>
      <c r="J447" s="133" t="s">
        <v>16</v>
      </c>
    </row>
    <row r="448" spans="1:11" ht="25.95" customHeight="1">
      <c r="A448" s="51" t="s">
        <v>151</v>
      </c>
      <c r="B448" s="52" t="s">
        <v>514</v>
      </c>
      <c r="C448" s="51" t="s">
        <v>29</v>
      </c>
      <c r="D448" s="51" t="s">
        <v>515</v>
      </c>
      <c r="E448" s="160" t="s">
        <v>216</v>
      </c>
      <c r="F448" s="160"/>
      <c r="G448" s="53" t="s">
        <v>59</v>
      </c>
      <c r="H448" s="54">
        <v>1</v>
      </c>
      <c r="I448" s="55">
        <f>JANDUÍ!G63</f>
        <v>507.45</v>
      </c>
      <c r="J448" s="128">
        <f t="shared" ref="J448:J454" si="49">ROUND(H448*I448,2)</f>
        <v>507.45</v>
      </c>
    </row>
    <row r="449" spans="1:11" ht="25.95" customHeight="1">
      <c r="A449" s="56" t="s">
        <v>153</v>
      </c>
      <c r="B449" s="57" t="s">
        <v>217</v>
      </c>
      <c r="C449" s="56" t="s">
        <v>29</v>
      </c>
      <c r="D449" s="56" t="s">
        <v>218</v>
      </c>
      <c r="E449" s="161" t="s">
        <v>152</v>
      </c>
      <c r="F449" s="161"/>
      <c r="G449" s="58" t="s">
        <v>24</v>
      </c>
      <c r="H449" s="59">
        <v>0.49680000000000002</v>
      </c>
      <c r="I449" s="60">
        <v>24.63</v>
      </c>
      <c r="J449" s="128">
        <f t="shared" si="49"/>
        <v>12.24</v>
      </c>
    </row>
    <row r="450" spans="1:11" ht="24" customHeight="1">
      <c r="A450" s="56" t="s">
        <v>153</v>
      </c>
      <c r="B450" s="57" t="s">
        <v>156</v>
      </c>
      <c r="C450" s="56" t="s">
        <v>29</v>
      </c>
      <c r="D450" s="56" t="s">
        <v>157</v>
      </c>
      <c r="E450" s="161" t="s">
        <v>152</v>
      </c>
      <c r="F450" s="161"/>
      <c r="G450" s="58" t="s">
        <v>24</v>
      </c>
      <c r="H450" s="59">
        <v>0.34949999999999998</v>
      </c>
      <c r="I450" s="60">
        <v>20.420000000000002</v>
      </c>
      <c r="J450" s="128">
        <f t="shared" si="49"/>
        <v>7.14</v>
      </c>
    </row>
    <row r="451" spans="1:11" ht="39" customHeight="1">
      <c r="A451" s="64" t="s">
        <v>164</v>
      </c>
      <c r="B451" s="65" t="s">
        <v>629</v>
      </c>
      <c r="C451" s="64" t="s">
        <v>29</v>
      </c>
      <c r="D451" s="64" t="s">
        <v>630</v>
      </c>
      <c r="E451" s="157" t="s">
        <v>167</v>
      </c>
      <c r="F451" s="157"/>
      <c r="G451" s="66" t="s">
        <v>59</v>
      </c>
      <c r="H451" s="67">
        <v>2</v>
      </c>
      <c r="I451" s="68">
        <v>29.51</v>
      </c>
      <c r="J451" s="128">
        <f t="shared" si="49"/>
        <v>59.02</v>
      </c>
    </row>
    <row r="452" spans="1:11" ht="25.95" customHeight="1">
      <c r="A452" s="64" t="s">
        <v>164</v>
      </c>
      <c r="B452" s="65" t="s">
        <v>631</v>
      </c>
      <c r="C452" s="64" t="s">
        <v>29</v>
      </c>
      <c r="D452" s="64" t="s">
        <v>632</v>
      </c>
      <c r="E452" s="157" t="s">
        <v>167</v>
      </c>
      <c r="F452" s="157"/>
      <c r="G452" s="66" t="s">
        <v>59</v>
      </c>
      <c r="H452" s="67">
        <v>1</v>
      </c>
      <c r="I452" s="68">
        <v>10.029999999999999</v>
      </c>
      <c r="J452" s="128">
        <f t="shared" si="49"/>
        <v>10.029999999999999</v>
      </c>
    </row>
    <row r="453" spans="1:11" ht="25.95" customHeight="1">
      <c r="A453" s="64" t="s">
        <v>164</v>
      </c>
      <c r="B453" s="65" t="s">
        <v>633</v>
      </c>
      <c r="C453" s="64" t="s">
        <v>29</v>
      </c>
      <c r="D453" s="64" t="s">
        <v>634</v>
      </c>
      <c r="E453" s="157" t="s">
        <v>167</v>
      </c>
      <c r="F453" s="157"/>
      <c r="G453" s="66" t="s">
        <v>59</v>
      </c>
      <c r="H453" s="67">
        <v>1</v>
      </c>
      <c r="I453" s="68">
        <v>408.69</v>
      </c>
      <c r="J453" s="128">
        <f t="shared" si="49"/>
        <v>408.69</v>
      </c>
    </row>
    <row r="454" spans="1:11" ht="24" customHeight="1">
      <c r="A454" s="64" t="s">
        <v>164</v>
      </c>
      <c r="B454" s="65" t="s">
        <v>635</v>
      </c>
      <c r="C454" s="64" t="s">
        <v>29</v>
      </c>
      <c r="D454" s="64" t="s">
        <v>636</v>
      </c>
      <c r="E454" s="157" t="s">
        <v>167</v>
      </c>
      <c r="F454" s="157"/>
      <c r="G454" s="66" t="s">
        <v>126</v>
      </c>
      <c r="H454" s="67">
        <v>8.8099999999999998E-2</v>
      </c>
      <c r="I454" s="68">
        <v>117.49</v>
      </c>
      <c r="J454" s="128">
        <f t="shared" si="49"/>
        <v>10.35</v>
      </c>
    </row>
    <row r="455" spans="1:11" ht="30" customHeight="1" thickBot="1">
      <c r="A455" s="61"/>
      <c r="B455" s="61"/>
      <c r="C455" s="61"/>
      <c r="D455" s="61"/>
      <c r="E455" s="61"/>
      <c r="F455" s="61"/>
      <c r="G455" s="61" t="s">
        <v>158</v>
      </c>
      <c r="H455" s="62">
        <f>JANDUÍ!F63</f>
        <v>2</v>
      </c>
      <c r="I455" s="61" t="s">
        <v>159</v>
      </c>
      <c r="J455" s="127">
        <f>JANDUÍ!I63</f>
        <v>1247.1099999999999</v>
      </c>
    </row>
    <row r="456" spans="1:11" ht="1.05" customHeight="1" thickTop="1">
      <c r="A456" s="63"/>
      <c r="B456" s="63"/>
      <c r="C456" s="63"/>
      <c r="D456" s="63"/>
      <c r="E456" s="63"/>
      <c r="F456" s="63"/>
      <c r="G456" s="63"/>
      <c r="H456" s="63"/>
      <c r="I456" s="63"/>
      <c r="J456" s="129"/>
    </row>
    <row r="457" spans="1:11" ht="18" customHeight="1">
      <c r="A457" s="48" t="s">
        <v>1073</v>
      </c>
      <c r="B457" s="49" t="s">
        <v>9</v>
      </c>
      <c r="C457" s="48" t="s">
        <v>10</v>
      </c>
      <c r="D457" s="48" t="s">
        <v>11</v>
      </c>
      <c r="E457" s="159" t="s">
        <v>150</v>
      </c>
      <c r="F457" s="159"/>
      <c r="G457" s="50" t="s">
        <v>12</v>
      </c>
      <c r="H457" s="49" t="s">
        <v>13</v>
      </c>
      <c r="I457" s="49" t="s">
        <v>14</v>
      </c>
      <c r="J457" s="133" t="s">
        <v>16</v>
      </c>
    </row>
    <row r="458" spans="1:11" ht="24" customHeight="1">
      <c r="A458" s="51" t="s">
        <v>151</v>
      </c>
      <c r="B458" s="52" t="s">
        <v>801</v>
      </c>
      <c r="C458" s="51" t="s">
        <v>22</v>
      </c>
      <c r="D458" s="51" t="s">
        <v>802</v>
      </c>
      <c r="E458" s="160" t="s">
        <v>205</v>
      </c>
      <c r="F458" s="160"/>
      <c r="G458" s="53" t="s">
        <v>55</v>
      </c>
      <c r="H458" s="54">
        <v>1</v>
      </c>
      <c r="I458" s="55">
        <f>JANDUÍ!G64</f>
        <v>102.78</v>
      </c>
      <c r="J458" s="128">
        <f t="shared" ref="J458:J463" si="50">ROUND(H458*I458,2)</f>
        <v>102.78</v>
      </c>
      <c r="K458" s="143"/>
    </row>
    <row r="459" spans="1:11" ht="25.95" customHeight="1">
      <c r="A459" s="56" t="s">
        <v>153</v>
      </c>
      <c r="B459" s="57" t="s">
        <v>217</v>
      </c>
      <c r="C459" s="56" t="s">
        <v>29</v>
      </c>
      <c r="D459" s="56" t="s">
        <v>218</v>
      </c>
      <c r="E459" s="161" t="s">
        <v>152</v>
      </c>
      <c r="F459" s="161"/>
      <c r="G459" s="58" t="s">
        <v>24</v>
      </c>
      <c r="H459" s="59">
        <v>1</v>
      </c>
      <c r="I459" s="60">
        <v>24.63</v>
      </c>
      <c r="J459" s="128">
        <f t="shared" si="50"/>
        <v>24.63</v>
      </c>
      <c r="K459" s="143"/>
    </row>
    <row r="460" spans="1:11" ht="24" customHeight="1">
      <c r="A460" s="56" t="s">
        <v>153</v>
      </c>
      <c r="B460" s="57" t="s">
        <v>156</v>
      </c>
      <c r="C460" s="56" t="s">
        <v>29</v>
      </c>
      <c r="D460" s="56" t="s">
        <v>157</v>
      </c>
      <c r="E460" s="161" t="s">
        <v>152</v>
      </c>
      <c r="F460" s="161"/>
      <c r="G460" s="58" t="s">
        <v>24</v>
      </c>
      <c r="H460" s="59">
        <v>1</v>
      </c>
      <c r="I460" s="60">
        <v>20.420000000000002</v>
      </c>
      <c r="J460" s="128">
        <f t="shared" si="50"/>
        <v>20.420000000000002</v>
      </c>
    </row>
    <row r="461" spans="1:11" ht="24" customHeight="1">
      <c r="A461" s="64" t="s">
        <v>164</v>
      </c>
      <c r="B461" s="65" t="s">
        <v>861</v>
      </c>
      <c r="C461" s="64" t="s">
        <v>209</v>
      </c>
      <c r="D461" s="64" t="s">
        <v>862</v>
      </c>
      <c r="E461" s="157" t="s">
        <v>167</v>
      </c>
      <c r="F461" s="157"/>
      <c r="G461" s="66" t="s">
        <v>863</v>
      </c>
      <c r="H461" s="67">
        <v>0.34899999999999998</v>
      </c>
      <c r="I461" s="68">
        <v>72.41</v>
      </c>
      <c r="J461" s="128">
        <f t="shared" si="50"/>
        <v>25.27</v>
      </c>
    </row>
    <row r="462" spans="1:11" ht="25.95" customHeight="1">
      <c r="A462" s="64" t="s">
        <v>164</v>
      </c>
      <c r="B462" s="65" t="s">
        <v>872</v>
      </c>
      <c r="C462" s="64" t="s">
        <v>29</v>
      </c>
      <c r="D462" s="64" t="s">
        <v>873</v>
      </c>
      <c r="E462" s="157" t="s">
        <v>167</v>
      </c>
      <c r="F462" s="157"/>
      <c r="G462" s="66" t="s">
        <v>59</v>
      </c>
      <c r="H462" s="67">
        <v>0.1</v>
      </c>
      <c r="I462" s="68">
        <v>4.6399999999999997</v>
      </c>
      <c r="J462" s="128">
        <f t="shared" si="50"/>
        <v>0.46</v>
      </c>
    </row>
    <row r="463" spans="1:11" ht="25.95" customHeight="1">
      <c r="A463" s="64" t="s">
        <v>164</v>
      </c>
      <c r="B463" s="65" t="s">
        <v>874</v>
      </c>
      <c r="C463" s="64" t="s">
        <v>29</v>
      </c>
      <c r="D463" s="64" t="s">
        <v>875</v>
      </c>
      <c r="E463" s="157" t="s">
        <v>167</v>
      </c>
      <c r="F463" s="157"/>
      <c r="G463" s="66" t="s">
        <v>40</v>
      </c>
      <c r="H463" s="67">
        <v>3.19</v>
      </c>
      <c r="I463" s="68">
        <v>10.029999999999999</v>
      </c>
      <c r="J463" s="128">
        <f t="shared" si="50"/>
        <v>32</v>
      </c>
    </row>
    <row r="464" spans="1:11" ht="30" customHeight="1" thickBot="1">
      <c r="A464" s="61"/>
      <c r="B464" s="61"/>
      <c r="C464" s="61"/>
      <c r="D464" s="61"/>
      <c r="E464" s="61"/>
      <c r="F464" s="61"/>
      <c r="G464" s="61" t="s">
        <v>158</v>
      </c>
      <c r="H464" s="62">
        <f>JANDUÍ!F64</f>
        <v>5</v>
      </c>
      <c r="I464" s="61" t="s">
        <v>159</v>
      </c>
      <c r="J464" s="127">
        <f>JANDUÍ!I64</f>
        <v>631.48</v>
      </c>
    </row>
    <row r="465" spans="1:10" ht="1.05" customHeight="1" thickTop="1">
      <c r="A465" s="63"/>
      <c r="B465" s="63"/>
      <c r="C465" s="63"/>
      <c r="D465" s="63"/>
      <c r="E465" s="63"/>
      <c r="F465" s="63"/>
      <c r="G465" s="63"/>
      <c r="H465" s="63"/>
      <c r="I465" s="63"/>
      <c r="J465" s="129"/>
    </row>
    <row r="466" spans="1:10" ht="24" customHeight="1">
      <c r="A466" s="45" t="s">
        <v>550</v>
      </c>
      <c r="B466" s="45"/>
      <c r="C466" s="45"/>
      <c r="D466" s="45" t="s">
        <v>82</v>
      </c>
      <c r="E466" s="45"/>
      <c r="F466" s="158"/>
      <c r="G466" s="158"/>
      <c r="H466" s="46"/>
      <c r="I466" s="45"/>
      <c r="J466" s="130">
        <f>SUM(J479,J488,J497,J507,J517,J527)</f>
        <v>175746.71000000002</v>
      </c>
    </row>
    <row r="467" spans="1:10" ht="18" customHeight="1">
      <c r="A467" s="48" t="s">
        <v>551</v>
      </c>
      <c r="B467" s="49" t="s">
        <v>9</v>
      </c>
      <c r="C467" s="48" t="s">
        <v>10</v>
      </c>
      <c r="D467" s="48" t="s">
        <v>11</v>
      </c>
      <c r="E467" s="159" t="s">
        <v>150</v>
      </c>
      <c r="F467" s="159"/>
      <c r="G467" s="50" t="s">
        <v>12</v>
      </c>
      <c r="H467" s="49" t="s">
        <v>13</v>
      </c>
      <c r="I467" s="49" t="s">
        <v>14</v>
      </c>
      <c r="J467" s="133" t="s">
        <v>16</v>
      </c>
    </row>
    <row r="468" spans="1:10" ht="52.05" customHeight="1">
      <c r="A468" s="51" t="s">
        <v>151</v>
      </c>
      <c r="B468" s="52" t="s">
        <v>345</v>
      </c>
      <c r="C468" s="51" t="s">
        <v>29</v>
      </c>
      <c r="D468" s="51" t="s">
        <v>346</v>
      </c>
      <c r="E468" s="160" t="s">
        <v>273</v>
      </c>
      <c r="F468" s="160"/>
      <c r="G468" s="53" t="s">
        <v>31</v>
      </c>
      <c r="H468" s="54">
        <v>1</v>
      </c>
      <c r="I468" s="55">
        <f>JANDUÍ!G66</f>
        <v>92.53</v>
      </c>
      <c r="J468" s="128">
        <f t="shared" ref="J468:J478" si="51">ROUND(H468*I468,2)</f>
        <v>92.53</v>
      </c>
    </row>
    <row r="469" spans="1:10" ht="25.95" customHeight="1">
      <c r="A469" s="56" t="s">
        <v>153</v>
      </c>
      <c r="B469" s="57" t="s">
        <v>370</v>
      </c>
      <c r="C469" s="56" t="s">
        <v>29</v>
      </c>
      <c r="D469" s="56" t="s">
        <v>371</v>
      </c>
      <c r="E469" s="161" t="s">
        <v>152</v>
      </c>
      <c r="F469" s="161"/>
      <c r="G469" s="58" t="s">
        <v>24</v>
      </c>
      <c r="H469" s="59">
        <v>0.40200000000000002</v>
      </c>
      <c r="I469" s="60">
        <v>20.27</v>
      </c>
      <c r="J469" s="128">
        <f t="shared" si="51"/>
        <v>8.15</v>
      </c>
    </row>
    <row r="470" spans="1:10" ht="24" customHeight="1">
      <c r="A470" s="56" t="s">
        <v>153</v>
      </c>
      <c r="B470" s="57" t="s">
        <v>168</v>
      </c>
      <c r="C470" s="56" t="s">
        <v>29</v>
      </c>
      <c r="D470" s="56" t="s">
        <v>169</v>
      </c>
      <c r="E470" s="161" t="s">
        <v>152</v>
      </c>
      <c r="F470" s="161"/>
      <c r="G470" s="58" t="s">
        <v>24</v>
      </c>
      <c r="H470" s="59">
        <v>0.4</v>
      </c>
      <c r="I470" s="60">
        <v>25</v>
      </c>
      <c r="J470" s="128">
        <f t="shared" si="51"/>
        <v>10</v>
      </c>
    </row>
    <row r="471" spans="1:10" ht="39" customHeight="1">
      <c r="A471" s="56" t="s">
        <v>153</v>
      </c>
      <c r="B471" s="57" t="s">
        <v>276</v>
      </c>
      <c r="C471" s="56" t="s">
        <v>29</v>
      </c>
      <c r="D471" s="56" t="s">
        <v>277</v>
      </c>
      <c r="E471" s="161" t="s">
        <v>278</v>
      </c>
      <c r="F471" s="161"/>
      <c r="G471" s="58" t="s">
        <v>279</v>
      </c>
      <c r="H471" s="59">
        <v>4.1200000000000001E-2</v>
      </c>
      <c r="I471" s="60">
        <v>31.23</v>
      </c>
      <c r="J471" s="128">
        <f t="shared" si="51"/>
        <v>1.29</v>
      </c>
    </row>
    <row r="472" spans="1:10" ht="39" customHeight="1">
      <c r="A472" s="56" t="s">
        <v>153</v>
      </c>
      <c r="B472" s="57" t="s">
        <v>280</v>
      </c>
      <c r="C472" s="56" t="s">
        <v>29</v>
      </c>
      <c r="D472" s="56" t="s">
        <v>281</v>
      </c>
      <c r="E472" s="161" t="s">
        <v>278</v>
      </c>
      <c r="F472" s="161"/>
      <c r="G472" s="58" t="s">
        <v>282</v>
      </c>
      <c r="H472" s="59">
        <v>5.7099999999999998E-2</v>
      </c>
      <c r="I472" s="60">
        <v>30.17</v>
      </c>
      <c r="J472" s="128">
        <f t="shared" si="51"/>
        <v>1.72</v>
      </c>
    </row>
    <row r="473" spans="1:10" ht="25.95" customHeight="1">
      <c r="A473" s="64" t="s">
        <v>164</v>
      </c>
      <c r="B473" s="65" t="s">
        <v>438</v>
      </c>
      <c r="C473" s="64" t="s">
        <v>29</v>
      </c>
      <c r="D473" s="64" t="s">
        <v>439</v>
      </c>
      <c r="E473" s="157" t="s">
        <v>167</v>
      </c>
      <c r="F473" s="157"/>
      <c r="G473" s="66" t="s">
        <v>40</v>
      </c>
      <c r="H473" s="67">
        <v>2.573</v>
      </c>
      <c r="I473" s="68">
        <v>2.95</v>
      </c>
      <c r="J473" s="128">
        <f t="shared" si="51"/>
        <v>7.59</v>
      </c>
    </row>
    <row r="474" spans="1:10" ht="25.95" customHeight="1">
      <c r="A474" s="64" t="s">
        <v>164</v>
      </c>
      <c r="B474" s="65" t="s">
        <v>440</v>
      </c>
      <c r="C474" s="64" t="s">
        <v>29</v>
      </c>
      <c r="D474" s="64" t="s">
        <v>441</v>
      </c>
      <c r="E474" s="157" t="s">
        <v>167</v>
      </c>
      <c r="F474" s="157"/>
      <c r="G474" s="66" t="s">
        <v>40</v>
      </c>
      <c r="H474" s="67">
        <v>0.73499999999999999</v>
      </c>
      <c r="I474" s="68">
        <v>32.78</v>
      </c>
      <c r="J474" s="128">
        <f t="shared" si="51"/>
        <v>24.09</v>
      </c>
    </row>
    <row r="475" spans="1:10" ht="25.95" customHeight="1">
      <c r="A475" s="64" t="s">
        <v>164</v>
      </c>
      <c r="B475" s="65" t="s">
        <v>442</v>
      </c>
      <c r="C475" s="64" t="s">
        <v>29</v>
      </c>
      <c r="D475" s="64" t="s">
        <v>443</v>
      </c>
      <c r="E475" s="157" t="s">
        <v>167</v>
      </c>
      <c r="F475" s="157"/>
      <c r="G475" s="66" t="s">
        <v>40</v>
      </c>
      <c r="H475" s="67">
        <v>2.3359999999999999</v>
      </c>
      <c r="I475" s="68">
        <v>15.5</v>
      </c>
      <c r="J475" s="128">
        <f t="shared" si="51"/>
        <v>36.21</v>
      </c>
    </row>
    <row r="476" spans="1:10" ht="25.95" customHeight="1">
      <c r="A476" s="64" t="s">
        <v>164</v>
      </c>
      <c r="B476" s="65" t="s">
        <v>384</v>
      </c>
      <c r="C476" s="64" t="s">
        <v>29</v>
      </c>
      <c r="D476" s="64" t="s">
        <v>385</v>
      </c>
      <c r="E476" s="157" t="s">
        <v>167</v>
      </c>
      <c r="F476" s="157"/>
      <c r="G476" s="66" t="s">
        <v>126</v>
      </c>
      <c r="H476" s="67">
        <v>7.0000000000000007E-2</v>
      </c>
      <c r="I476" s="68">
        <v>24.78</v>
      </c>
      <c r="J476" s="128">
        <f t="shared" si="51"/>
        <v>1.73</v>
      </c>
    </row>
    <row r="477" spans="1:10" ht="25.95" customHeight="1">
      <c r="A477" s="64" t="s">
        <v>164</v>
      </c>
      <c r="B477" s="65" t="s">
        <v>444</v>
      </c>
      <c r="C477" s="64" t="s">
        <v>29</v>
      </c>
      <c r="D477" s="64" t="s">
        <v>445</v>
      </c>
      <c r="E477" s="157" t="s">
        <v>167</v>
      </c>
      <c r="F477" s="157"/>
      <c r="G477" s="66" t="s">
        <v>126</v>
      </c>
      <c r="H477" s="67">
        <v>0.05</v>
      </c>
      <c r="I477" s="68">
        <v>22.36</v>
      </c>
      <c r="J477" s="128">
        <f t="shared" si="51"/>
        <v>1.1200000000000001</v>
      </c>
    </row>
    <row r="478" spans="1:10" ht="25.95" customHeight="1">
      <c r="A478" s="64" t="s">
        <v>164</v>
      </c>
      <c r="B478" s="65" t="s">
        <v>446</v>
      </c>
      <c r="C478" s="64" t="s">
        <v>29</v>
      </c>
      <c r="D478" s="64" t="s">
        <v>447</v>
      </c>
      <c r="E478" s="157" t="s">
        <v>167</v>
      </c>
      <c r="F478" s="157"/>
      <c r="G478" s="66" t="s">
        <v>126</v>
      </c>
      <c r="H478" s="67">
        <v>0.03</v>
      </c>
      <c r="I478" s="68">
        <v>22.55</v>
      </c>
      <c r="J478" s="128">
        <f t="shared" si="51"/>
        <v>0.68</v>
      </c>
    </row>
    <row r="479" spans="1:10" ht="30" customHeight="1" thickBot="1">
      <c r="A479" s="61"/>
      <c r="B479" s="61"/>
      <c r="C479" s="61"/>
      <c r="D479" s="61"/>
      <c r="E479" s="61"/>
      <c r="F479" s="61"/>
      <c r="G479" s="61" t="s">
        <v>158</v>
      </c>
      <c r="H479" s="62">
        <f>JANDUÍ!F66</f>
        <v>735</v>
      </c>
      <c r="I479" s="61" t="s">
        <v>159</v>
      </c>
      <c r="J479" s="127">
        <f>JANDUÍ!I66</f>
        <v>83570.14</v>
      </c>
    </row>
    <row r="480" spans="1:10" ht="1.05" customHeight="1" thickTop="1">
      <c r="A480" s="63"/>
      <c r="B480" s="63"/>
      <c r="C480" s="63"/>
      <c r="D480" s="63"/>
      <c r="E480" s="63"/>
      <c r="F480" s="63"/>
      <c r="G480" s="63"/>
      <c r="H480" s="63"/>
      <c r="I480" s="63"/>
      <c r="J480" s="129"/>
    </row>
    <row r="481" spans="1:10" ht="18" customHeight="1">
      <c r="A481" s="48" t="s">
        <v>554</v>
      </c>
      <c r="B481" s="49" t="s">
        <v>9</v>
      </c>
      <c r="C481" s="48" t="s">
        <v>10</v>
      </c>
      <c r="D481" s="48" t="s">
        <v>11</v>
      </c>
      <c r="E481" s="159" t="s">
        <v>150</v>
      </c>
      <c r="F481" s="159"/>
      <c r="G481" s="50" t="s">
        <v>12</v>
      </c>
      <c r="H481" s="49" t="s">
        <v>13</v>
      </c>
      <c r="I481" s="49" t="s">
        <v>14</v>
      </c>
      <c r="J481" s="133" t="s">
        <v>16</v>
      </c>
    </row>
    <row r="482" spans="1:10" ht="39" customHeight="1">
      <c r="A482" s="51" t="s">
        <v>151</v>
      </c>
      <c r="B482" s="52" t="s">
        <v>347</v>
      </c>
      <c r="C482" s="51" t="s">
        <v>29</v>
      </c>
      <c r="D482" s="51" t="s">
        <v>348</v>
      </c>
      <c r="E482" s="160" t="s">
        <v>273</v>
      </c>
      <c r="F482" s="160"/>
      <c r="G482" s="53" t="s">
        <v>31</v>
      </c>
      <c r="H482" s="54">
        <v>1</v>
      </c>
      <c r="I482" s="55">
        <f>JANDUÍ!G67</f>
        <v>51.4</v>
      </c>
      <c r="J482" s="128">
        <f t="shared" ref="J482:J487" si="52">ROUND(H482*I482,2)</f>
        <v>51.4</v>
      </c>
    </row>
    <row r="483" spans="1:10" ht="24" customHeight="1">
      <c r="A483" s="56" t="s">
        <v>153</v>
      </c>
      <c r="B483" s="57" t="s">
        <v>156</v>
      </c>
      <c r="C483" s="56" t="s">
        <v>29</v>
      </c>
      <c r="D483" s="56" t="s">
        <v>157</v>
      </c>
      <c r="E483" s="161" t="s">
        <v>152</v>
      </c>
      <c r="F483" s="161"/>
      <c r="G483" s="58" t="s">
        <v>24</v>
      </c>
      <c r="H483" s="59">
        <v>0.39900000000000002</v>
      </c>
      <c r="I483" s="60">
        <v>20.420000000000002</v>
      </c>
      <c r="J483" s="128">
        <f t="shared" si="52"/>
        <v>8.15</v>
      </c>
    </row>
    <row r="484" spans="1:10" ht="24" customHeight="1">
      <c r="A484" s="56" t="s">
        <v>153</v>
      </c>
      <c r="B484" s="57" t="s">
        <v>274</v>
      </c>
      <c r="C484" s="56" t="s">
        <v>29</v>
      </c>
      <c r="D484" s="56" t="s">
        <v>275</v>
      </c>
      <c r="E484" s="161" t="s">
        <v>152</v>
      </c>
      <c r="F484" s="161"/>
      <c r="G484" s="58" t="s">
        <v>24</v>
      </c>
      <c r="H484" s="59">
        <v>0.13300000000000001</v>
      </c>
      <c r="I484" s="60">
        <v>24.76</v>
      </c>
      <c r="J484" s="128">
        <f t="shared" si="52"/>
        <v>3.29</v>
      </c>
    </row>
    <row r="485" spans="1:10" ht="39" customHeight="1">
      <c r="A485" s="56" t="s">
        <v>153</v>
      </c>
      <c r="B485" s="57" t="s">
        <v>276</v>
      </c>
      <c r="C485" s="56" t="s">
        <v>29</v>
      </c>
      <c r="D485" s="56" t="s">
        <v>277</v>
      </c>
      <c r="E485" s="161" t="s">
        <v>278</v>
      </c>
      <c r="F485" s="161"/>
      <c r="G485" s="58" t="s">
        <v>279</v>
      </c>
      <c r="H485" s="59">
        <v>3.7199999999999997E-2</v>
      </c>
      <c r="I485" s="60">
        <v>31.23</v>
      </c>
      <c r="J485" s="128">
        <f t="shared" si="52"/>
        <v>1.1599999999999999</v>
      </c>
    </row>
    <row r="486" spans="1:10" ht="39" customHeight="1">
      <c r="A486" s="56" t="s">
        <v>153</v>
      </c>
      <c r="B486" s="57" t="s">
        <v>280</v>
      </c>
      <c r="C486" s="56" t="s">
        <v>29</v>
      </c>
      <c r="D486" s="56" t="s">
        <v>281</v>
      </c>
      <c r="E486" s="161" t="s">
        <v>278</v>
      </c>
      <c r="F486" s="161"/>
      <c r="G486" s="58" t="s">
        <v>282</v>
      </c>
      <c r="H486" s="59">
        <v>5.16E-2</v>
      </c>
      <c r="I486" s="60">
        <v>30.17</v>
      </c>
      <c r="J486" s="128">
        <f t="shared" si="52"/>
        <v>1.56</v>
      </c>
    </row>
    <row r="487" spans="1:10" ht="52.05" customHeight="1">
      <c r="A487" s="64" t="s">
        <v>164</v>
      </c>
      <c r="B487" s="65" t="s">
        <v>283</v>
      </c>
      <c r="C487" s="64" t="s">
        <v>29</v>
      </c>
      <c r="D487" s="64" t="s">
        <v>284</v>
      </c>
      <c r="E487" s="157" t="s">
        <v>167</v>
      </c>
      <c r="F487" s="157"/>
      <c r="G487" s="66" t="s">
        <v>285</v>
      </c>
      <c r="H487" s="67">
        <v>2.75E-2</v>
      </c>
      <c r="I487" s="68">
        <v>1355</v>
      </c>
      <c r="J487" s="128">
        <f t="shared" si="52"/>
        <v>37.26</v>
      </c>
    </row>
    <row r="488" spans="1:10" ht="30" customHeight="1" thickBot="1">
      <c r="A488" s="61"/>
      <c r="B488" s="61"/>
      <c r="C488" s="61"/>
      <c r="D488" s="61"/>
      <c r="E488" s="61"/>
      <c r="F488" s="61"/>
      <c r="G488" s="61" t="s">
        <v>158</v>
      </c>
      <c r="H488" s="62">
        <f>JANDUÍ!F67</f>
        <v>735</v>
      </c>
      <c r="I488" s="61" t="s">
        <v>159</v>
      </c>
      <c r="J488" s="127">
        <f>JANDUÍ!I67</f>
        <v>46422.84</v>
      </c>
    </row>
    <row r="489" spans="1:10" ht="1.05" customHeight="1" thickTop="1">
      <c r="A489" s="63"/>
      <c r="B489" s="63"/>
      <c r="C489" s="63"/>
      <c r="D489" s="63"/>
      <c r="E489" s="63"/>
      <c r="F489" s="63"/>
      <c r="G489" s="63"/>
      <c r="H489" s="63"/>
      <c r="I489" s="63"/>
      <c r="J489" s="129"/>
    </row>
    <row r="490" spans="1:10" ht="18" customHeight="1">
      <c r="A490" s="48" t="s">
        <v>555</v>
      </c>
      <c r="B490" s="49" t="s">
        <v>9</v>
      </c>
      <c r="C490" s="48" t="s">
        <v>10</v>
      </c>
      <c r="D490" s="48" t="s">
        <v>11</v>
      </c>
      <c r="E490" s="159" t="s">
        <v>150</v>
      </c>
      <c r="F490" s="159"/>
      <c r="G490" s="50" t="s">
        <v>12</v>
      </c>
      <c r="H490" s="49" t="s">
        <v>13</v>
      </c>
      <c r="I490" s="49" t="s">
        <v>14</v>
      </c>
      <c r="J490" s="133" t="s">
        <v>16</v>
      </c>
    </row>
    <row r="491" spans="1:10" ht="39" customHeight="1">
      <c r="A491" s="51" t="s">
        <v>151</v>
      </c>
      <c r="B491" s="52" t="s">
        <v>84</v>
      </c>
      <c r="C491" s="51" t="s">
        <v>29</v>
      </c>
      <c r="D491" s="51" t="s">
        <v>85</v>
      </c>
      <c r="E491" s="160" t="s">
        <v>273</v>
      </c>
      <c r="F491" s="160"/>
      <c r="G491" s="53" t="s">
        <v>31</v>
      </c>
      <c r="H491" s="54">
        <v>1</v>
      </c>
      <c r="I491" s="55">
        <f>JANDUÍ!G68</f>
        <v>18.329999999999998</v>
      </c>
      <c r="J491" s="128">
        <f t="shared" ref="J491:J496" si="53">ROUND(H491*I491,2)</f>
        <v>18.329999999999998</v>
      </c>
    </row>
    <row r="492" spans="1:10" ht="24" customHeight="1">
      <c r="A492" s="56" t="s">
        <v>153</v>
      </c>
      <c r="B492" s="57" t="s">
        <v>156</v>
      </c>
      <c r="C492" s="56" t="s">
        <v>29</v>
      </c>
      <c r="D492" s="56" t="s">
        <v>157</v>
      </c>
      <c r="E492" s="161" t="s">
        <v>152</v>
      </c>
      <c r="F492" s="161"/>
      <c r="G492" s="58" t="s">
        <v>24</v>
      </c>
      <c r="H492" s="59">
        <v>0.28499999999999998</v>
      </c>
      <c r="I492" s="60">
        <v>20.420000000000002</v>
      </c>
      <c r="J492" s="128">
        <f t="shared" si="53"/>
        <v>5.82</v>
      </c>
    </row>
    <row r="493" spans="1:10" ht="24" customHeight="1">
      <c r="A493" s="56" t="s">
        <v>153</v>
      </c>
      <c r="B493" s="57" t="s">
        <v>274</v>
      </c>
      <c r="C493" s="56" t="s">
        <v>29</v>
      </c>
      <c r="D493" s="56" t="s">
        <v>275</v>
      </c>
      <c r="E493" s="161" t="s">
        <v>152</v>
      </c>
      <c r="F493" s="161"/>
      <c r="G493" s="58" t="s">
        <v>24</v>
      </c>
      <c r="H493" s="59">
        <v>0.183</v>
      </c>
      <c r="I493" s="60">
        <v>24.76</v>
      </c>
      <c r="J493" s="128">
        <f t="shared" si="53"/>
        <v>4.53</v>
      </c>
    </row>
    <row r="494" spans="1:10" ht="39" customHeight="1">
      <c r="A494" s="56" t="s">
        <v>153</v>
      </c>
      <c r="B494" s="57" t="s">
        <v>276</v>
      </c>
      <c r="C494" s="56" t="s">
        <v>29</v>
      </c>
      <c r="D494" s="56" t="s">
        <v>277</v>
      </c>
      <c r="E494" s="161" t="s">
        <v>278</v>
      </c>
      <c r="F494" s="161"/>
      <c r="G494" s="58" t="s">
        <v>279</v>
      </c>
      <c r="H494" s="59">
        <v>7.4000000000000003E-3</v>
      </c>
      <c r="I494" s="60">
        <v>31.23</v>
      </c>
      <c r="J494" s="128">
        <f t="shared" si="53"/>
        <v>0.23</v>
      </c>
    </row>
    <row r="495" spans="1:10" ht="39" customHeight="1">
      <c r="A495" s="56" t="s">
        <v>153</v>
      </c>
      <c r="B495" s="57" t="s">
        <v>280</v>
      </c>
      <c r="C495" s="56" t="s">
        <v>29</v>
      </c>
      <c r="D495" s="56" t="s">
        <v>281</v>
      </c>
      <c r="E495" s="161" t="s">
        <v>278</v>
      </c>
      <c r="F495" s="161"/>
      <c r="G495" s="58" t="s">
        <v>282</v>
      </c>
      <c r="H495" s="59">
        <v>1.03E-2</v>
      </c>
      <c r="I495" s="60">
        <v>30.17</v>
      </c>
      <c r="J495" s="128">
        <f t="shared" si="53"/>
        <v>0.31</v>
      </c>
    </row>
    <row r="496" spans="1:10" ht="52.05" customHeight="1">
      <c r="A496" s="64" t="s">
        <v>164</v>
      </c>
      <c r="B496" s="65" t="s">
        <v>283</v>
      </c>
      <c r="C496" s="64" t="s">
        <v>29</v>
      </c>
      <c r="D496" s="64" t="s">
        <v>284</v>
      </c>
      <c r="E496" s="157" t="s">
        <v>167</v>
      </c>
      <c r="F496" s="157"/>
      <c r="G496" s="66" t="s">
        <v>285</v>
      </c>
      <c r="H496" s="67">
        <v>5.4999999999999997E-3</v>
      </c>
      <c r="I496" s="68">
        <v>1355</v>
      </c>
      <c r="J496" s="128">
        <f t="shared" si="53"/>
        <v>7.45</v>
      </c>
    </row>
    <row r="497" spans="1:10" ht="30" customHeight="1" thickBot="1">
      <c r="A497" s="61"/>
      <c r="B497" s="61"/>
      <c r="C497" s="61"/>
      <c r="D497" s="61"/>
      <c r="E497" s="61"/>
      <c r="F497" s="61"/>
      <c r="G497" s="61" t="s">
        <v>158</v>
      </c>
      <c r="H497" s="62">
        <f>JANDUÍ!F68</f>
        <v>1670</v>
      </c>
      <c r="I497" s="61" t="s">
        <v>159</v>
      </c>
      <c r="J497" s="127">
        <f>JANDUÍ!I68</f>
        <v>37614.92</v>
      </c>
    </row>
    <row r="498" spans="1:10" ht="1.05" customHeight="1" thickTop="1">
      <c r="A498" s="63"/>
      <c r="B498" s="63"/>
      <c r="C498" s="63"/>
      <c r="D498" s="63"/>
      <c r="E498" s="63"/>
      <c r="F498" s="63"/>
      <c r="G498" s="63"/>
      <c r="H498" s="63"/>
      <c r="I498" s="63"/>
      <c r="J498" s="129"/>
    </row>
    <row r="499" spans="1:10" ht="18" customHeight="1">
      <c r="A499" s="48" t="s">
        <v>558</v>
      </c>
      <c r="B499" s="49" t="s">
        <v>9</v>
      </c>
      <c r="C499" s="48" t="s">
        <v>10</v>
      </c>
      <c r="D499" s="48" t="s">
        <v>11</v>
      </c>
      <c r="E499" s="159" t="s">
        <v>150</v>
      </c>
      <c r="F499" s="159"/>
      <c r="G499" s="50" t="s">
        <v>12</v>
      </c>
      <c r="H499" s="49" t="s">
        <v>13</v>
      </c>
      <c r="I499" s="49" t="s">
        <v>14</v>
      </c>
      <c r="J499" s="133" t="s">
        <v>16</v>
      </c>
    </row>
    <row r="500" spans="1:10" ht="52.05" customHeight="1">
      <c r="A500" s="51" t="s">
        <v>151</v>
      </c>
      <c r="B500" s="52" t="s">
        <v>87</v>
      </c>
      <c r="C500" s="51" t="s">
        <v>29</v>
      </c>
      <c r="D500" s="51" t="s">
        <v>88</v>
      </c>
      <c r="E500" s="160" t="s">
        <v>273</v>
      </c>
      <c r="F500" s="160"/>
      <c r="G500" s="53" t="s">
        <v>40</v>
      </c>
      <c r="H500" s="54">
        <v>1</v>
      </c>
      <c r="I500" s="55">
        <f>JANDUÍ!G69</f>
        <v>33.090000000000003</v>
      </c>
      <c r="J500" s="128">
        <f t="shared" ref="J500:J506" si="54">ROUND(H500*I500,2)</f>
        <v>33.090000000000003</v>
      </c>
    </row>
    <row r="501" spans="1:10" ht="64.95" customHeight="1">
      <c r="A501" s="56" t="s">
        <v>153</v>
      </c>
      <c r="B501" s="57" t="s">
        <v>286</v>
      </c>
      <c r="C501" s="56" t="s">
        <v>29</v>
      </c>
      <c r="D501" s="56" t="s">
        <v>287</v>
      </c>
      <c r="E501" s="161" t="s">
        <v>152</v>
      </c>
      <c r="F501" s="161"/>
      <c r="G501" s="58" t="s">
        <v>163</v>
      </c>
      <c r="H501" s="59">
        <v>1.17E-2</v>
      </c>
      <c r="I501" s="60">
        <v>634.25</v>
      </c>
      <c r="J501" s="128">
        <f t="shared" si="54"/>
        <v>7.42</v>
      </c>
    </row>
    <row r="502" spans="1:10" ht="24" customHeight="1">
      <c r="A502" s="56" t="s">
        <v>153</v>
      </c>
      <c r="B502" s="57" t="s">
        <v>156</v>
      </c>
      <c r="C502" s="56" t="s">
        <v>29</v>
      </c>
      <c r="D502" s="56" t="s">
        <v>157</v>
      </c>
      <c r="E502" s="161" t="s">
        <v>152</v>
      </c>
      <c r="F502" s="161"/>
      <c r="G502" s="58" t="s">
        <v>24</v>
      </c>
      <c r="H502" s="59">
        <v>0.35</v>
      </c>
      <c r="I502" s="60">
        <v>20.420000000000002</v>
      </c>
      <c r="J502" s="128">
        <f t="shared" si="54"/>
        <v>7.15</v>
      </c>
    </row>
    <row r="503" spans="1:10" ht="24" customHeight="1">
      <c r="A503" s="56" t="s">
        <v>153</v>
      </c>
      <c r="B503" s="57" t="s">
        <v>274</v>
      </c>
      <c r="C503" s="56" t="s">
        <v>29</v>
      </c>
      <c r="D503" s="56" t="s">
        <v>275</v>
      </c>
      <c r="E503" s="161" t="s">
        <v>152</v>
      </c>
      <c r="F503" s="161"/>
      <c r="G503" s="58" t="s">
        <v>24</v>
      </c>
      <c r="H503" s="59">
        <v>0.30499999999999999</v>
      </c>
      <c r="I503" s="60">
        <v>24.76</v>
      </c>
      <c r="J503" s="128">
        <f t="shared" si="54"/>
        <v>7.55</v>
      </c>
    </row>
    <row r="504" spans="1:10" ht="39" customHeight="1">
      <c r="A504" s="56" t="s">
        <v>153</v>
      </c>
      <c r="B504" s="57" t="s">
        <v>276</v>
      </c>
      <c r="C504" s="56" t="s">
        <v>29</v>
      </c>
      <c r="D504" s="56" t="s">
        <v>277</v>
      </c>
      <c r="E504" s="161" t="s">
        <v>278</v>
      </c>
      <c r="F504" s="161"/>
      <c r="G504" s="58" t="s">
        <v>279</v>
      </c>
      <c r="H504" s="59">
        <v>6.3E-3</v>
      </c>
      <c r="I504" s="60">
        <v>31.23</v>
      </c>
      <c r="J504" s="128">
        <f t="shared" si="54"/>
        <v>0.2</v>
      </c>
    </row>
    <row r="505" spans="1:10" ht="39" customHeight="1">
      <c r="A505" s="56" t="s">
        <v>153</v>
      </c>
      <c r="B505" s="57" t="s">
        <v>280</v>
      </c>
      <c r="C505" s="56" t="s">
        <v>29</v>
      </c>
      <c r="D505" s="56" t="s">
        <v>281</v>
      </c>
      <c r="E505" s="161" t="s">
        <v>278</v>
      </c>
      <c r="F505" s="161"/>
      <c r="G505" s="58" t="s">
        <v>282</v>
      </c>
      <c r="H505" s="59">
        <v>8.6999999999999994E-3</v>
      </c>
      <c r="I505" s="60">
        <v>30.17</v>
      </c>
      <c r="J505" s="128">
        <f t="shared" si="54"/>
        <v>0.26</v>
      </c>
    </row>
    <row r="506" spans="1:10" ht="25.95" customHeight="1">
      <c r="A506" s="64" t="s">
        <v>164</v>
      </c>
      <c r="B506" s="65" t="s">
        <v>288</v>
      </c>
      <c r="C506" s="64" t="s">
        <v>29</v>
      </c>
      <c r="D506" s="64" t="s">
        <v>289</v>
      </c>
      <c r="E506" s="157" t="s">
        <v>167</v>
      </c>
      <c r="F506" s="157"/>
      <c r="G506" s="66" t="s">
        <v>59</v>
      </c>
      <c r="H506" s="67">
        <v>3</v>
      </c>
      <c r="I506" s="68">
        <v>3.51</v>
      </c>
      <c r="J506" s="128">
        <f t="shared" si="54"/>
        <v>10.53</v>
      </c>
    </row>
    <row r="507" spans="1:10" ht="30" customHeight="1" thickBot="1">
      <c r="A507" s="61"/>
      <c r="B507" s="61"/>
      <c r="C507" s="61"/>
      <c r="D507" s="61"/>
      <c r="E507" s="61"/>
      <c r="F507" s="61"/>
      <c r="G507" s="61" t="s">
        <v>158</v>
      </c>
      <c r="H507" s="62">
        <f>JANDUÍ!F69</f>
        <v>82</v>
      </c>
      <c r="I507" s="61" t="s">
        <v>159</v>
      </c>
      <c r="J507" s="127">
        <f>JANDUÍ!I69</f>
        <v>3334.2</v>
      </c>
    </row>
    <row r="508" spans="1:10" ht="1.05" customHeight="1" thickTop="1">
      <c r="A508" s="63"/>
      <c r="B508" s="63"/>
      <c r="C508" s="63"/>
      <c r="D508" s="63"/>
      <c r="E508" s="63"/>
      <c r="F508" s="63"/>
      <c r="G508" s="63"/>
      <c r="H508" s="63"/>
      <c r="I508" s="63"/>
      <c r="J508" s="129"/>
    </row>
    <row r="509" spans="1:10" ht="18" customHeight="1">
      <c r="A509" s="48" t="s">
        <v>561</v>
      </c>
      <c r="B509" s="49" t="s">
        <v>9</v>
      </c>
      <c r="C509" s="48" t="s">
        <v>10</v>
      </c>
      <c r="D509" s="48" t="s">
        <v>11</v>
      </c>
      <c r="E509" s="159" t="s">
        <v>150</v>
      </c>
      <c r="F509" s="159"/>
      <c r="G509" s="50" t="s">
        <v>12</v>
      </c>
      <c r="H509" s="49" t="s">
        <v>13</v>
      </c>
      <c r="I509" s="49" t="s">
        <v>14</v>
      </c>
      <c r="J509" s="133" t="s">
        <v>16</v>
      </c>
    </row>
    <row r="510" spans="1:10" ht="39" customHeight="1">
      <c r="A510" s="51" t="s">
        <v>151</v>
      </c>
      <c r="B510" s="52" t="s">
        <v>531</v>
      </c>
      <c r="C510" s="51" t="s">
        <v>29</v>
      </c>
      <c r="D510" s="51" t="s">
        <v>532</v>
      </c>
      <c r="E510" s="160" t="s">
        <v>273</v>
      </c>
      <c r="F510" s="160"/>
      <c r="G510" s="53" t="s">
        <v>31</v>
      </c>
      <c r="H510" s="54">
        <v>1</v>
      </c>
      <c r="I510" s="55">
        <f>JANDUÍ!G70</f>
        <v>20.16</v>
      </c>
      <c r="J510" s="128">
        <f t="shared" ref="J510:J516" si="55">ROUND(H510*I510,2)</f>
        <v>20.16</v>
      </c>
    </row>
    <row r="511" spans="1:10" ht="25.95" customHeight="1">
      <c r="A511" s="56" t="s">
        <v>153</v>
      </c>
      <c r="B511" s="57" t="s">
        <v>370</v>
      </c>
      <c r="C511" s="56" t="s">
        <v>29</v>
      </c>
      <c r="D511" s="56" t="s">
        <v>371</v>
      </c>
      <c r="E511" s="161" t="s">
        <v>152</v>
      </c>
      <c r="F511" s="161"/>
      <c r="G511" s="58" t="s">
        <v>24</v>
      </c>
      <c r="H511" s="59">
        <v>0.23</v>
      </c>
      <c r="I511" s="60">
        <v>20.27</v>
      </c>
      <c r="J511" s="128">
        <f t="shared" si="55"/>
        <v>4.66</v>
      </c>
    </row>
    <row r="512" spans="1:10" ht="24" customHeight="1">
      <c r="A512" s="56" t="s">
        <v>153</v>
      </c>
      <c r="B512" s="57" t="s">
        <v>168</v>
      </c>
      <c r="C512" s="56" t="s">
        <v>29</v>
      </c>
      <c r="D512" s="56" t="s">
        <v>169</v>
      </c>
      <c r="E512" s="161" t="s">
        <v>152</v>
      </c>
      <c r="F512" s="161"/>
      <c r="G512" s="58" t="s">
        <v>24</v>
      </c>
      <c r="H512" s="59">
        <v>0.27700000000000002</v>
      </c>
      <c r="I512" s="60">
        <v>25</v>
      </c>
      <c r="J512" s="128">
        <f t="shared" si="55"/>
        <v>6.93</v>
      </c>
    </row>
    <row r="513" spans="1:10" ht="39" customHeight="1">
      <c r="A513" s="56" t="s">
        <v>153</v>
      </c>
      <c r="B513" s="57" t="s">
        <v>276</v>
      </c>
      <c r="C513" s="56" t="s">
        <v>29</v>
      </c>
      <c r="D513" s="56" t="s">
        <v>277</v>
      </c>
      <c r="E513" s="161" t="s">
        <v>278</v>
      </c>
      <c r="F513" s="161"/>
      <c r="G513" s="58" t="s">
        <v>279</v>
      </c>
      <c r="H513" s="59">
        <v>3.3999999999999998E-3</v>
      </c>
      <c r="I513" s="60">
        <v>31.23</v>
      </c>
      <c r="J513" s="128">
        <f t="shared" si="55"/>
        <v>0.11</v>
      </c>
    </row>
    <row r="514" spans="1:10" ht="39" customHeight="1">
      <c r="A514" s="56" t="s">
        <v>153</v>
      </c>
      <c r="B514" s="57" t="s">
        <v>280</v>
      </c>
      <c r="C514" s="56" t="s">
        <v>29</v>
      </c>
      <c r="D514" s="56" t="s">
        <v>281</v>
      </c>
      <c r="E514" s="161" t="s">
        <v>278</v>
      </c>
      <c r="F514" s="161"/>
      <c r="G514" s="58" t="s">
        <v>282</v>
      </c>
      <c r="H514" s="59">
        <v>4.7000000000000002E-3</v>
      </c>
      <c r="I514" s="60">
        <v>30.17</v>
      </c>
      <c r="J514" s="128">
        <f t="shared" si="55"/>
        <v>0.14000000000000001</v>
      </c>
    </row>
    <row r="515" spans="1:10" ht="25.95" customHeight="1">
      <c r="A515" s="64" t="s">
        <v>164</v>
      </c>
      <c r="B515" s="65" t="s">
        <v>442</v>
      </c>
      <c r="C515" s="64" t="s">
        <v>29</v>
      </c>
      <c r="D515" s="64" t="s">
        <v>443</v>
      </c>
      <c r="E515" s="157" t="s">
        <v>167</v>
      </c>
      <c r="F515" s="157"/>
      <c r="G515" s="66" t="s">
        <v>40</v>
      </c>
      <c r="H515" s="67">
        <v>0.46700000000000003</v>
      </c>
      <c r="I515" s="68">
        <v>15.5</v>
      </c>
      <c r="J515" s="128">
        <f t="shared" si="55"/>
        <v>7.24</v>
      </c>
    </row>
    <row r="516" spans="1:10" ht="25.95" customHeight="1">
      <c r="A516" s="64" t="s">
        <v>164</v>
      </c>
      <c r="B516" s="65" t="s">
        <v>444</v>
      </c>
      <c r="C516" s="64" t="s">
        <v>29</v>
      </c>
      <c r="D516" s="64" t="s">
        <v>445</v>
      </c>
      <c r="E516" s="157" t="s">
        <v>167</v>
      </c>
      <c r="F516" s="157"/>
      <c r="G516" s="66" t="s">
        <v>126</v>
      </c>
      <c r="H516" s="67">
        <v>0.05</v>
      </c>
      <c r="I516" s="68">
        <v>22.36</v>
      </c>
      <c r="J516" s="128">
        <f t="shared" si="55"/>
        <v>1.1200000000000001</v>
      </c>
    </row>
    <row r="517" spans="1:10" ht="30" customHeight="1" thickBot="1">
      <c r="A517" s="61"/>
      <c r="B517" s="61"/>
      <c r="C517" s="61"/>
      <c r="D517" s="61"/>
      <c r="E517" s="61"/>
      <c r="F517" s="61"/>
      <c r="G517" s="61" t="s">
        <v>158</v>
      </c>
      <c r="H517" s="62">
        <f>JANDUÍ!F70</f>
        <v>100</v>
      </c>
      <c r="I517" s="61" t="s">
        <v>159</v>
      </c>
      <c r="J517" s="127">
        <f>JANDUÍ!I70</f>
        <v>2477.2600000000002</v>
      </c>
    </row>
    <row r="518" spans="1:10" ht="1.05" customHeight="1" thickTop="1">
      <c r="A518" s="63"/>
      <c r="B518" s="63"/>
      <c r="C518" s="63"/>
      <c r="D518" s="63"/>
      <c r="E518" s="63"/>
      <c r="F518" s="63"/>
      <c r="G518" s="63"/>
      <c r="H518" s="63"/>
      <c r="I518" s="63"/>
      <c r="J518" s="129"/>
    </row>
    <row r="519" spans="1:10" ht="18" customHeight="1">
      <c r="A519" s="48" t="s">
        <v>803</v>
      </c>
      <c r="B519" s="49" t="s">
        <v>9</v>
      </c>
      <c r="C519" s="48" t="s">
        <v>10</v>
      </c>
      <c r="D519" s="48" t="s">
        <v>11</v>
      </c>
      <c r="E519" s="159" t="s">
        <v>150</v>
      </c>
      <c r="F519" s="159"/>
      <c r="G519" s="50" t="s">
        <v>12</v>
      </c>
      <c r="H519" s="49" t="s">
        <v>13</v>
      </c>
      <c r="I519" s="49" t="s">
        <v>14</v>
      </c>
      <c r="J519" s="133" t="s">
        <v>16</v>
      </c>
    </row>
    <row r="520" spans="1:10" ht="39" customHeight="1">
      <c r="A520" s="51" t="s">
        <v>151</v>
      </c>
      <c r="B520" s="52" t="s">
        <v>534</v>
      </c>
      <c r="C520" s="51" t="s">
        <v>29</v>
      </c>
      <c r="D520" s="51" t="s">
        <v>535</v>
      </c>
      <c r="E520" s="160" t="s">
        <v>273</v>
      </c>
      <c r="F520" s="160"/>
      <c r="G520" s="53" t="s">
        <v>31</v>
      </c>
      <c r="H520" s="54">
        <v>1</v>
      </c>
      <c r="I520" s="55">
        <f>JANDUÍ!G71</f>
        <v>18.940000000000001</v>
      </c>
      <c r="J520" s="128">
        <f t="shared" ref="J520:J526" si="56">ROUND(H520*I520,2)</f>
        <v>18.940000000000001</v>
      </c>
    </row>
    <row r="521" spans="1:10" ht="25.95" customHeight="1">
      <c r="A521" s="56" t="s">
        <v>153</v>
      </c>
      <c r="B521" s="57" t="s">
        <v>370</v>
      </c>
      <c r="C521" s="56" t="s">
        <v>29</v>
      </c>
      <c r="D521" s="56" t="s">
        <v>371</v>
      </c>
      <c r="E521" s="161" t="s">
        <v>152</v>
      </c>
      <c r="F521" s="161"/>
      <c r="G521" s="58" t="s">
        <v>24</v>
      </c>
      <c r="H521" s="59">
        <v>0.23200000000000001</v>
      </c>
      <c r="I521" s="60">
        <v>20.27</v>
      </c>
      <c r="J521" s="128">
        <f t="shared" si="56"/>
        <v>4.7</v>
      </c>
    </row>
    <row r="522" spans="1:10" ht="24" customHeight="1">
      <c r="A522" s="56" t="s">
        <v>153</v>
      </c>
      <c r="B522" s="57" t="s">
        <v>168</v>
      </c>
      <c r="C522" s="56" t="s">
        <v>29</v>
      </c>
      <c r="D522" s="56" t="s">
        <v>169</v>
      </c>
      <c r="E522" s="161" t="s">
        <v>152</v>
      </c>
      <c r="F522" s="161"/>
      <c r="G522" s="58" t="s">
        <v>24</v>
      </c>
      <c r="H522" s="59">
        <v>0.18</v>
      </c>
      <c r="I522" s="60">
        <v>25</v>
      </c>
      <c r="J522" s="128">
        <f t="shared" si="56"/>
        <v>4.5</v>
      </c>
    </row>
    <row r="523" spans="1:10" ht="39" customHeight="1">
      <c r="A523" s="56" t="s">
        <v>153</v>
      </c>
      <c r="B523" s="57" t="s">
        <v>276</v>
      </c>
      <c r="C523" s="56" t="s">
        <v>29</v>
      </c>
      <c r="D523" s="56" t="s">
        <v>277</v>
      </c>
      <c r="E523" s="161" t="s">
        <v>278</v>
      </c>
      <c r="F523" s="161"/>
      <c r="G523" s="58" t="s">
        <v>279</v>
      </c>
      <c r="H523" s="59">
        <v>1.89E-2</v>
      </c>
      <c r="I523" s="60">
        <v>31.23</v>
      </c>
      <c r="J523" s="128">
        <f t="shared" si="56"/>
        <v>0.59</v>
      </c>
    </row>
    <row r="524" spans="1:10" ht="39" customHeight="1">
      <c r="A524" s="56" t="s">
        <v>153</v>
      </c>
      <c r="B524" s="57" t="s">
        <v>280</v>
      </c>
      <c r="C524" s="56" t="s">
        <v>29</v>
      </c>
      <c r="D524" s="56" t="s">
        <v>281</v>
      </c>
      <c r="E524" s="161" t="s">
        <v>278</v>
      </c>
      <c r="F524" s="161"/>
      <c r="G524" s="58" t="s">
        <v>282</v>
      </c>
      <c r="H524" s="59">
        <v>2.6100000000000002E-2</v>
      </c>
      <c r="I524" s="60">
        <v>30.17</v>
      </c>
      <c r="J524" s="128">
        <f t="shared" si="56"/>
        <v>0.79</v>
      </c>
    </row>
    <row r="525" spans="1:10" ht="25.95" customHeight="1">
      <c r="A525" s="64" t="s">
        <v>164</v>
      </c>
      <c r="B525" s="65" t="s">
        <v>438</v>
      </c>
      <c r="C525" s="64" t="s">
        <v>29</v>
      </c>
      <c r="D525" s="64" t="s">
        <v>439</v>
      </c>
      <c r="E525" s="157" t="s">
        <v>167</v>
      </c>
      <c r="F525" s="157"/>
      <c r="G525" s="66" t="s">
        <v>40</v>
      </c>
      <c r="H525" s="67">
        <v>2.5880000000000001</v>
      </c>
      <c r="I525" s="68">
        <v>2.95</v>
      </c>
      <c r="J525" s="128">
        <f t="shared" si="56"/>
        <v>7.63</v>
      </c>
    </row>
    <row r="526" spans="1:10" ht="25.95" customHeight="1">
      <c r="A526" s="64" t="s">
        <v>164</v>
      </c>
      <c r="B526" s="65" t="s">
        <v>384</v>
      </c>
      <c r="C526" s="64" t="s">
        <v>29</v>
      </c>
      <c r="D526" s="64" t="s">
        <v>385</v>
      </c>
      <c r="E526" s="157" t="s">
        <v>167</v>
      </c>
      <c r="F526" s="157"/>
      <c r="G526" s="66" t="s">
        <v>126</v>
      </c>
      <c r="H526" s="67">
        <v>0.03</v>
      </c>
      <c r="I526" s="68">
        <v>24.78</v>
      </c>
      <c r="J526" s="128">
        <f t="shared" si="56"/>
        <v>0.74</v>
      </c>
    </row>
    <row r="527" spans="1:10" ht="30" customHeight="1" thickBot="1">
      <c r="A527" s="61"/>
      <c r="B527" s="61"/>
      <c r="C527" s="61"/>
      <c r="D527" s="61"/>
      <c r="E527" s="61"/>
      <c r="F527" s="61"/>
      <c r="G527" s="61" t="s">
        <v>158</v>
      </c>
      <c r="H527" s="62">
        <f>JANDUÍ!F71</f>
        <v>100</v>
      </c>
      <c r="I527" s="61" t="s">
        <v>159</v>
      </c>
      <c r="J527" s="127">
        <f>JANDUÍ!I71</f>
        <v>2327.35</v>
      </c>
    </row>
    <row r="528" spans="1:10" ht="1.05" customHeight="1" thickTop="1">
      <c r="A528" s="63"/>
      <c r="B528" s="63"/>
      <c r="C528" s="63"/>
      <c r="D528" s="63"/>
      <c r="E528" s="63"/>
      <c r="F528" s="63"/>
      <c r="G528" s="63"/>
      <c r="H528" s="63"/>
      <c r="I528" s="63"/>
      <c r="J528" s="129"/>
    </row>
    <row r="529" spans="1:11" ht="24" customHeight="1">
      <c r="A529" s="45" t="s">
        <v>564</v>
      </c>
      <c r="B529" s="45"/>
      <c r="C529" s="45"/>
      <c r="D529" s="45" t="s">
        <v>537</v>
      </c>
      <c r="E529" s="45"/>
      <c r="F529" s="158"/>
      <c r="G529" s="158"/>
      <c r="H529" s="46"/>
      <c r="I529" s="45"/>
      <c r="J529" s="130">
        <f>SUM(J536,J544,J552,J560,J567,J577)</f>
        <v>99582.88</v>
      </c>
    </row>
    <row r="530" spans="1:11" ht="18" customHeight="1">
      <c r="A530" s="48" t="s">
        <v>565</v>
      </c>
      <c r="B530" s="49" t="s">
        <v>9</v>
      </c>
      <c r="C530" s="48" t="s">
        <v>10</v>
      </c>
      <c r="D530" s="48" t="s">
        <v>11</v>
      </c>
      <c r="E530" s="159" t="s">
        <v>150</v>
      </c>
      <c r="F530" s="159"/>
      <c r="G530" s="50" t="s">
        <v>12</v>
      </c>
      <c r="H530" s="49" t="s">
        <v>13</v>
      </c>
      <c r="I530" s="49" t="s">
        <v>14</v>
      </c>
      <c r="J530" s="133" t="s">
        <v>16</v>
      </c>
    </row>
    <row r="531" spans="1:11" ht="64.95" customHeight="1">
      <c r="A531" s="51" t="s">
        <v>151</v>
      </c>
      <c r="B531" s="52" t="s">
        <v>804</v>
      </c>
      <c r="C531" s="51" t="s">
        <v>29</v>
      </c>
      <c r="D531" s="51" t="s">
        <v>805</v>
      </c>
      <c r="E531" s="160" t="s">
        <v>657</v>
      </c>
      <c r="F531" s="160"/>
      <c r="G531" s="53" t="s">
        <v>59</v>
      </c>
      <c r="H531" s="54">
        <v>1</v>
      </c>
      <c r="I531" s="55">
        <f>JANDUÍ!G73</f>
        <v>1054.43</v>
      </c>
      <c r="J531" s="128">
        <f t="shared" ref="J531:J535" si="57">ROUND(H531*I531,2)</f>
        <v>1054.43</v>
      </c>
    </row>
    <row r="532" spans="1:11" ht="39" customHeight="1">
      <c r="A532" s="56" t="s">
        <v>153</v>
      </c>
      <c r="B532" s="57" t="s">
        <v>658</v>
      </c>
      <c r="C532" s="56" t="s">
        <v>29</v>
      </c>
      <c r="D532" s="56" t="s">
        <v>659</v>
      </c>
      <c r="E532" s="161" t="s">
        <v>657</v>
      </c>
      <c r="F532" s="161"/>
      <c r="G532" s="58" t="s">
        <v>40</v>
      </c>
      <c r="H532" s="59">
        <v>10.199999999999999</v>
      </c>
      <c r="I532" s="60">
        <v>11.14</v>
      </c>
      <c r="J532" s="128">
        <f t="shared" si="57"/>
        <v>113.63</v>
      </c>
    </row>
    <row r="533" spans="1:11" ht="39" customHeight="1">
      <c r="A533" s="56" t="s">
        <v>153</v>
      </c>
      <c r="B533" s="57" t="s">
        <v>660</v>
      </c>
      <c r="C533" s="56" t="s">
        <v>29</v>
      </c>
      <c r="D533" s="56" t="s">
        <v>661</v>
      </c>
      <c r="E533" s="161" t="s">
        <v>657</v>
      </c>
      <c r="F533" s="161"/>
      <c r="G533" s="58" t="s">
        <v>59</v>
      </c>
      <c r="H533" s="59">
        <v>1</v>
      </c>
      <c r="I533" s="60">
        <v>388.26</v>
      </c>
      <c r="J533" s="128">
        <f t="shared" si="57"/>
        <v>388.26</v>
      </c>
    </row>
    <row r="534" spans="1:11" ht="39" customHeight="1">
      <c r="A534" s="56" t="s">
        <v>153</v>
      </c>
      <c r="B534" s="57" t="s">
        <v>876</v>
      </c>
      <c r="C534" s="56" t="s">
        <v>29</v>
      </c>
      <c r="D534" s="56" t="s">
        <v>877</v>
      </c>
      <c r="E534" s="161" t="s">
        <v>657</v>
      </c>
      <c r="F534" s="161"/>
      <c r="G534" s="58" t="s">
        <v>59</v>
      </c>
      <c r="H534" s="59">
        <v>1</v>
      </c>
      <c r="I534" s="60">
        <v>369.25</v>
      </c>
      <c r="J534" s="128">
        <f t="shared" si="57"/>
        <v>369.25</v>
      </c>
    </row>
    <row r="535" spans="1:11" ht="39" customHeight="1">
      <c r="A535" s="56" t="s">
        <v>153</v>
      </c>
      <c r="B535" s="57" t="s">
        <v>545</v>
      </c>
      <c r="C535" s="56" t="s">
        <v>29</v>
      </c>
      <c r="D535" s="56" t="s">
        <v>546</v>
      </c>
      <c r="E535" s="161" t="s">
        <v>657</v>
      </c>
      <c r="F535" s="161"/>
      <c r="G535" s="58" t="s">
        <v>59</v>
      </c>
      <c r="H535" s="59">
        <v>1</v>
      </c>
      <c r="I535" s="60">
        <v>183.3</v>
      </c>
      <c r="J535" s="128">
        <f t="shared" si="57"/>
        <v>183.3</v>
      </c>
    </row>
    <row r="536" spans="1:11" ht="30" customHeight="1" thickBot="1">
      <c r="A536" s="61"/>
      <c r="B536" s="61"/>
      <c r="C536" s="61"/>
      <c r="D536" s="61"/>
      <c r="E536" s="61"/>
      <c r="F536" s="61"/>
      <c r="G536" s="61" t="s">
        <v>158</v>
      </c>
      <c r="H536" s="62">
        <f>JANDUÍ!F73</f>
        <v>12</v>
      </c>
      <c r="I536" s="61" t="s">
        <v>159</v>
      </c>
      <c r="J536" s="127">
        <f>JANDUÍ!I73</f>
        <v>15548.2</v>
      </c>
    </row>
    <row r="537" spans="1:11" ht="1.05" customHeight="1" thickTop="1">
      <c r="A537" s="63"/>
      <c r="B537" s="63"/>
      <c r="C537" s="63"/>
      <c r="D537" s="63"/>
      <c r="E537" s="63"/>
      <c r="F537" s="63"/>
      <c r="G537" s="63"/>
      <c r="H537" s="63"/>
      <c r="I537" s="63"/>
      <c r="J537" s="129"/>
    </row>
    <row r="538" spans="1:11" ht="18" customHeight="1">
      <c r="A538" s="48" t="s">
        <v>806</v>
      </c>
      <c r="B538" s="49" t="s">
        <v>9</v>
      </c>
      <c r="C538" s="48" t="s">
        <v>10</v>
      </c>
      <c r="D538" s="48" t="s">
        <v>11</v>
      </c>
      <c r="E538" s="159" t="s">
        <v>150</v>
      </c>
      <c r="F538" s="159"/>
      <c r="G538" s="50" t="s">
        <v>12</v>
      </c>
      <c r="H538" s="49" t="s">
        <v>13</v>
      </c>
      <c r="I538" s="49" t="s">
        <v>14</v>
      </c>
      <c r="J538" s="133" t="s">
        <v>16</v>
      </c>
    </row>
    <row r="539" spans="1:11" ht="64.95" customHeight="1">
      <c r="A539" s="51" t="s">
        <v>151</v>
      </c>
      <c r="B539" s="52" t="s">
        <v>807</v>
      </c>
      <c r="C539" s="51" t="s">
        <v>29</v>
      </c>
      <c r="D539" s="51" t="s">
        <v>808</v>
      </c>
      <c r="E539" s="160" t="s">
        <v>657</v>
      </c>
      <c r="F539" s="160"/>
      <c r="G539" s="53" t="s">
        <v>59</v>
      </c>
      <c r="H539" s="54">
        <v>1</v>
      </c>
      <c r="I539" s="55">
        <f>JANDUÍ!G74</f>
        <v>960.55</v>
      </c>
      <c r="J539" s="128">
        <f t="shared" ref="J539:J543" si="58">ROUND(H539*I539,2)</f>
        <v>960.55</v>
      </c>
    </row>
    <row r="540" spans="1:11" ht="39" customHeight="1">
      <c r="A540" s="56" t="s">
        <v>153</v>
      </c>
      <c r="B540" s="57" t="s">
        <v>658</v>
      </c>
      <c r="C540" s="56" t="s">
        <v>29</v>
      </c>
      <c r="D540" s="56" t="s">
        <v>659</v>
      </c>
      <c r="E540" s="161" t="s">
        <v>657</v>
      </c>
      <c r="F540" s="161"/>
      <c r="G540" s="58" t="s">
        <v>40</v>
      </c>
      <c r="H540" s="59">
        <v>9.6</v>
      </c>
      <c r="I540" s="60">
        <v>11.14</v>
      </c>
      <c r="J540" s="128">
        <f t="shared" si="58"/>
        <v>106.94</v>
      </c>
      <c r="K540" s="143"/>
    </row>
    <row r="541" spans="1:11" ht="39" customHeight="1">
      <c r="A541" s="56" t="s">
        <v>153</v>
      </c>
      <c r="B541" s="57" t="s">
        <v>660</v>
      </c>
      <c r="C541" s="56" t="s">
        <v>29</v>
      </c>
      <c r="D541" s="56" t="s">
        <v>661</v>
      </c>
      <c r="E541" s="161" t="s">
        <v>657</v>
      </c>
      <c r="F541" s="161"/>
      <c r="G541" s="58" t="s">
        <v>59</v>
      </c>
      <c r="H541" s="59">
        <v>1</v>
      </c>
      <c r="I541" s="60">
        <v>388.26</v>
      </c>
      <c r="J541" s="128">
        <f t="shared" si="58"/>
        <v>388.26</v>
      </c>
    </row>
    <row r="542" spans="1:11" ht="39" customHeight="1">
      <c r="A542" s="56" t="s">
        <v>153</v>
      </c>
      <c r="B542" s="57" t="s">
        <v>878</v>
      </c>
      <c r="C542" s="56" t="s">
        <v>29</v>
      </c>
      <c r="D542" s="56" t="s">
        <v>879</v>
      </c>
      <c r="E542" s="161" t="s">
        <v>657</v>
      </c>
      <c r="F542" s="161"/>
      <c r="G542" s="58" t="s">
        <v>59</v>
      </c>
      <c r="H542" s="59">
        <v>1</v>
      </c>
      <c r="I542" s="60">
        <v>161.27000000000001</v>
      </c>
      <c r="J542" s="128">
        <f t="shared" si="58"/>
        <v>161.27000000000001</v>
      </c>
    </row>
    <row r="543" spans="1:11" ht="39" customHeight="1">
      <c r="A543" s="56" t="s">
        <v>153</v>
      </c>
      <c r="B543" s="57" t="s">
        <v>880</v>
      </c>
      <c r="C543" s="56" t="s">
        <v>29</v>
      </c>
      <c r="D543" s="56" t="s">
        <v>881</v>
      </c>
      <c r="E543" s="161" t="s">
        <v>657</v>
      </c>
      <c r="F543" s="161"/>
      <c r="G543" s="58" t="s">
        <v>59</v>
      </c>
      <c r="H543" s="59">
        <v>1</v>
      </c>
      <c r="I543" s="60">
        <v>304.08</v>
      </c>
      <c r="J543" s="128">
        <f t="shared" si="58"/>
        <v>304.08</v>
      </c>
    </row>
    <row r="544" spans="1:11" ht="30" customHeight="1" thickBot="1">
      <c r="A544" s="61"/>
      <c r="B544" s="61"/>
      <c r="C544" s="61"/>
      <c r="D544" s="61"/>
      <c r="E544" s="61"/>
      <c r="F544" s="61"/>
      <c r="G544" s="61" t="s">
        <v>158</v>
      </c>
      <c r="H544" s="62">
        <f>JANDUÍ!F74</f>
        <v>5</v>
      </c>
      <c r="I544" s="61" t="s">
        <v>159</v>
      </c>
      <c r="J544" s="127">
        <f>JANDUÍ!I74</f>
        <v>5901.62</v>
      </c>
    </row>
    <row r="545" spans="1:11" ht="1.05" customHeight="1" thickTop="1">
      <c r="A545" s="63"/>
      <c r="B545" s="63"/>
      <c r="C545" s="63"/>
      <c r="D545" s="63"/>
      <c r="E545" s="63"/>
      <c r="F545" s="63"/>
      <c r="G545" s="63"/>
      <c r="H545" s="63"/>
      <c r="I545" s="63"/>
      <c r="J545" s="129"/>
    </row>
    <row r="546" spans="1:11" ht="18" customHeight="1">
      <c r="A546" s="48" t="s">
        <v>809</v>
      </c>
      <c r="B546" s="49" t="s">
        <v>9</v>
      </c>
      <c r="C546" s="48" t="s">
        <v>10</v>
      </c>
      <c r="D546" s="48" t="s">
        <v>11</v>
      </c>
      <c r="E546" s="159" t="s">
        <v>150</v>
      </c>
      <c r="F546" s="159"/>
      <c r="G546" s="50" t="s">
        <v>12</v>
      </c>
      <c r="H546" s="49" t="s">
        <v>13</v>
      </c>
      <c r="I546" s="49" t="s">
        <v>14</v>
      </c>
      <c r="J546" s="133" t="s">
        <v>16</v>
      </c>
    </row>
    <row r="547" spans="1:11" ht="64.95" customHeight="1">
      <c r="A547" s="51" t="s">
        <v>151</v>
      </c>
      <c r="B547" s="52" t="s">
        <v>810</v>
      </c>
      <c r="C547" s="51" t="s">
        <v>29</v>
      </c>
      <c r="D547" s="51" t="s">
        <v>811</v>
      </c>
      <c r="E547" s="160" t="s">
        <v>657</v>
      </c>
      <c r="F547" s="160"/>
      <c r="G547" s="53" t="s">
        <v>59</v>
      </c>
      <c r="H547" s="54">
        <v>1</v>
      </c>
      <c r="I547" s="55">
        <f>JANDUÍ!G75</f>
        <v>980.98</v>
      </c>
      <c r="J547" s="128">
        <f t="shared" ref="J547:J551" si="59">ROUND(H547*I547,2)</f>
        <v>980.98</v>
      </c>
    </row>
    <row r="548" spans="1:11" ht="39" customHeight="1">
      <c r="A548" s="56" t="s">
        <v>153</v>
      </c>
      <c r="B548" s="57" t="s">
        <v>658</v>
      </c>
      <c r="C548" s="56" t="s">
        <v>29</v>
      </c>
      <c r="D548" s="56" t="s">
        <v>659</v>
      </c>
      <c r="E548" s="161" t="s">
        <v>657</v>
      </c>
      <c r="F548" s="161"/>
      <c r="G548" s="58" t="s">
        <v>40</v>
      </c>
      <c r="H548" s="59">
        <v>9.8000000000000007</v>
      </c>
      <c r="I548" s="60">
        <v>11.14</v>
      </c>
      <c r="J548" s="128">
        <f t="shared" si="59"/>
        <v>109.17</v>
      </c>
      <c r="K548" s="143"/>
    </row>
    <row r="549" spans="1:11" ht="39" customHeight="1">
      <c r="A549" s="56" t="s">
        <v>153</v>
      </c>
      <c r="B549" s="57" t="s">
        <v>660</v>
      </c>
      <c r="C549" s="56" t="s">
        <v>29</v>
      </c>
      <c r="D549" s="56" t="s">
        <v>661</v>
      </c>
      <c r="E549" s="161" t="s">
        <v>657</v>
      </c>
      <c r="F549" s="161"/>
      <c r="G549" s="58" t="s">
        <v>59</v>
      </c>
      <c r="H549" s="59">
        <v>1</v>
      </c>
      <c r="I549" s="60">
        <v>388.26</v>
      </c>
      <c r="J549" s="128">
        <f t="shared" si="59"/>
        <v>388.26</v>
      </c>
    </row>
    <row r="550" spans="1:11" ht="39" customHeight="1">
      <c r="A550" s="56" t="s">
        <v>153</v>
      </c>
      <c r="B550" s="57" t="s">
        <v>882</v>
      </c>
      <c r="C550" s="56" t="s">
        <v>29</v>
      </c>
      <c r="D550" s="56" t="s">
        <v>883</v>
      </c>
      <c r="E550" s="161" t="s">
        <v>657</v>
      </c>
      <c r="F550" s="161"/>
      <c r="G550" s="58" t="s">
        <v>59</v>
      </c>
      <c r="H550" s="59">
        <v>1</v>
      </c>
      <c r="I550" s="60">
        <v>322.27999999999997</v>
      </c>
      <c r="J550" s="128">
        <f t="shared" si="59"/>
        <v>322.27999999999997</v>
      </c>
    </row>
    <row r="551" spans="1:11" ht="39" customHeight="1">
      <c r="A551" s="56" t="s">
        <v>153</v>
      </c>
      <c r="B551" s="57" t="s">
        <v>666</v>
      </c>
      <c r="C551" s="56" t="s">
        <v>29</v>
      </c>
      <c r="D551" s="56" t="s">
        <v>667</v>
      </c>
      <c r="E551" s="161" t="s">
        <v>657</v>
      </c>
      <c r="F551" s="161"/>
      <c r="G551" s="58" t="s">
        <v>59</v>
      </c>
      <c r="H551" s="59">
        <v>1</v>
      </c>
      <c r="I551" s="60">
        <v>161.27000000000001</v>
      </c>
      <c r="J551" s="128">
        <f t="shared" si="59"/>
        <v>161.27000000000001</v>
      </c>
    </row>
    <row r="552" spans="1:11" ht="30" customHeight="1" thickBot="1">
      <c r="A552" s="61"/>
      <c r="B552" s="61"/>
      <c r="C552" s="61"/>
      <c r="D552" s="61"/>
      <c r="E552" s="61"/>
      <c r="F552" s="61"/>
      <c r="G552" s="61" t="s">
        <v>158</v>
      </c>
      <c r="H552" s="62">
        <f>JANDUÍ!F75</f>
        <v>5</v>
      </c>
      <c r="I552" s="61" t="s">
        <v>159</v>
      </c>
      <c r="J552" s="127">
        <f>JANDUÍ!I75</f>
        <v>6027.14</v>
      </c>
    </row>
    <row r="553" spans="1:11" ht="1.05" customHeight="1" thickTop="1">
      <c r="A553" s="63"/>
      <c r="B553" s="63"/>
      <c r="C553" s="63"/>
      <c r="D553" s="63"/>
      <c r="E553" s="63"/>
      <c r="F553" s="63"/>
      <c r="G553" s="63"/>
      <c r="H553" s="63"/>
      <c r="I553" s="63"/>
      <c r="J553" s="129"/>
    </row>
    <row r="554" spans="1:11" ht="18" customHeight="1">
      <c r="A554" s="48" t="s">
        <v>812</v>
      </c>
      <c r="B554" s="49" t="s">
        <v>9</v>
      </c>
      <c r="C554" s="48" t="s">
        <v>10</v>
      </c>
      <c r="D554" s="48" t="s">
        <v>11</v>
      </c>
      <c r="E554" s="159" t="s">
        <v>150</v>
      </c>
      <c r="F554" s="159"/>
      <c r="G554" s="50" t="s">
        <v>12</v>
      </c>
      <c r="H554" s="49" t="s">
        <v>13</v>
      </c>
      <c r="I554" s="49" t="s">
        <v>14</v>
      </c>
      <c r="J554" s="133" t="s">
        <v>16</v>
      </c>
    </row>
    <row r="555" spans="1:11" ht="64.95" customHeight="1">
      <c r="A555" s="51" t="s">
        <v>151</v>
      </c>
      <c r="B555" s="52" t="s">
        <v>813</v>
      </c>
      <c r="C555" s="51" t="s">
        <v>29</v>
      </c>
      <c r="D555" s="51" t="s">
        <v>814</v>
      </c>
      <c r="E555" s="160" t="s">
        <v>657</v>
      </c>
      <c r="F555" s="160"/>
      <c r="G555" s="53" t="s">
        <v>59</v>
      </c>
      <c r="H555" s="54">
        <v>1</v>
      </c>
      <c r="I555" s="55">
        <f>JANDUÍ!G76</f>
        <v>1031.8699999999999</v>
      </c>
      <c r="J555" s="128">
        <f t="shared" ref="J555:J559" si="60">ROUND(H555*I555,2)</f>
        <v>1031.8699999999999</v>
      </c>
    </row>
    <row r="556" spans="1:11" ht="39" customHeight="1">
      <c r="A556" s="56" t="s">
        <v>153</v>
      </c>
      <c r="B556" s="57" t="s">
        <v>658</v>
      </c>
      <c r="C556" s="56" t="s">
        <v>29</v>
      </c>
      <c r="D556" s="56" t="s">
        <v>659</v>
      </c>
      <c r="E556" s="161" t="s">
        <v>657</v>
      </c>
      <c r="F556" s="161"/>
      <c r="G556" s="58" t="s">
        <v>40</v>
      </c>
      <c r="H556" s="59">
        <v>10</v>
      </c>
      <c r="I556" s="60">
        <v>11.14</v>
      </c>
      <c r="J556" s="128">
        <f t="shared" si="60"/>
        <v>111.4</v>
      </c>
    </row>
    <row r="557" spans="1:11" ht="39" customHeight="1">
      <c r="A557" s="56" t="s">
        <v>153</v>
      </c>
      <c r="B557" s="57" t="s">
        <v>660</v>
      </c>
      <c r="C557" s="56" t="s">
        <v>29</v>
      </c>
      <c r="D557" s="56" t="s">
        <v>661</v>
      </c>
      <c r="E557" s="161" t="s">
        <v>657</v>
      </c>
      <c r="F557" s="161"/>
      <c r="G557" s="58" t="s">
        <v>59</v>
      </c>
      <c r="H557" s="59">
        <v>1</v>
      </c>
      <c r="I557" s="60">
        <v>388.26</v>
      </c>
      <c r="J557" s="128">
        <f t="shared" si="60"/>
        <v>388.26</v>
      </c>
    </row>
    <row r="558" spans="1:11" ht="39" customHeight="1">
      <c r="A558" s="56" t="s">
        <v>153</v>
      </c>
      <c r="B558" s="57" t="s">
        <v>545</v>
      </c>
      <c r="C558" s="56" t="s">
        <v>29</v>
      </c>
      <c r="D558" s="56" t="s">
        <v>546</v>
      </c>
      <c r="E558" s="161" t="s">
        <v>657</v>
      </c>
      <c r="F558" s="161"/>
      <c r="G558" s="58" t="s">
        <v>59</v>
      </c>
      <c r="H558" s="59">
        <v>1</v>
      </c>
      <c r="I558" s="60">
        <v>183.3</v>
      </c>
      <c r="J558" s="128">
        <f t="shared" si="60"/>
        <v>183.3</v>
      </c>
    </row>
    <row r="559" spans="1:11" ht="39" customHeight="1">
      <c r="A559" s="56" t="s">
        <v>153</v>
      </c>
      <c r="B559" s="57" t="s">
        <v>884</v>
      </c>
      <c r="C559" s="56" t="s">
        <v>29</v>
      </c>
      <c r="D559" s="56" t="s">
        <v>885</v>
      </c>
      <c r="E559" s="161" t="s">
        <v>657</v>
      </c>
      <c r="F559" s="161"/>
      <c r="G559" s="58" t="s">
        <v>59</v>
      </c>
      <c r="H559" s="59">
        <v>1</v>
      </c>
      <c r="I559" s="60">
        <v>348.91</v>
      </c>
      <c r="J559" s="128">
        <f t="shared" si="60"/>
        <v>348.91</v>
      </c>
    </row>
    <row r="560" spans="1:11" ht="30" customHeight="1" thickBot="1">
      <c r="A560" s="61"/>
      <c r="B560" s="61"/>
      <c r="C560" s="61"/>
      <c r="D560" s="61"/>
      <c r="E560" s="61"/>
      <c r="F560" s="61"/>
      <c r="G560" s="61" t="s">
        <v>158</v>
      </c>
      <c r="H560" s="62">
        <f>JANDUÍ!F76</f>
        <v>5</v>
      </c>
      <c r="I560" s="61" t="s">
        <v>159</v>
      </c>
      <c r="J560" s="127">
        <f>JANDUÍ!I76</f>
        <v>6339.81</v>
      </c>
    </row>
    <row r="561" spans="1:11" ht="1.05" customHeight="1" thickTop="1">
      <c r="A561" s="63"/>
      <c r="B561" s="63"/>
      <c r="C561" s="63"/>
      <c r="D561" s="63"/>
      <c r="E561" s="63"/>
      <c r="F561" s="63"/>
      <c r="G561" s="63"/>
      <c r="H561" s="63"/>
      <c r="I561" s="63"/>
      <c r="J561" s="129"/>
    </row>
    <row r="562" spans="1:11" ht="18" customHeight="1">
      <c r="A562" s="48" t="s">
        <v>815</v>
      </c>
      <c r="B562" s="49" t="s">
        <v>9</v>
      </c>
      <c r="C562" s="48" t="s">
        <v>10</v>
      </c>
      <c r="D562" s="48" t="s">
        <v>11</v>
      </c>
      <c r="E562" s="159" t="s">
        <v>150</v>
      </c>
      <c r="F562" s="159"/>
      <c r="G562" s="50" t="s">
        <v>12</v>
      </c>
      <c r="H562" s="49" t="s">
        <v>13</v>
      </c>
      <c r="I562" s="49" t="s">
        <v>14</v>
      </c>
      <c r="J562" s="133" t="s">
        <v>16</v>
      </c>
    </row>
    <row r="563" spans="1:11" ht="39" customHeight="1">
      <c r="A563" s="51" t="s">
        <v>151</v>
      </c>
      <c r="B563" s="52" t="s">
        <v>545</v>
      </c>
      <c r="C563" s="51" t="s">
        <v>29</v>
      </c>
      <c r="D563" s="51" t="s">
        <v>546</v>
      </c>
      <c r="E563" s="160" t="s">
        <v>657</v>
      </c>
      <c r="F563" s="160"/>
      <c r="G563" s="53" t="s">
        <v>59</v>
      </c>
      <c r="H563" s="54">
        <v>1</v>
      </c>
      <c r="I563" s="55">
        <f>JANDUÍ!G77</f>
        <v>183.3</v>
      </c>
      <c r="J563" s="128">
        <f t="shared" ref="J563:J566" si="61">ROUND(H563*I563,2)</f>
        <v>183.3</v>
      </c>
    </row>
    <row r="564" spans="1:11" ht="25.95" customHeight="1">
      <c r="A564" s="56" t="s">
        <v>153</v>
      </c>
      <c r="B564" s="57" t="s">
        <v>668</v>
      </c>
      <c r="C564" s="56" t="s">
        <v>29</v>
      </c>
      <c r="D564" s="56" t="s">
        <v>669</v>
      </c>
      <c r="E564" s="161" t="s">
        <v>152</v>
      </c>
      <c r="F564" s="161"/>
      <c r="G564" s="58" t="s">
        <v>24</v>
      </c>
      <c r="H564" s="59">
        <v>1.002</v>
      </c>
      <c r="I564" s="60">
        <v>24.15</v>
      </c>
      <c r="J564" s="128">
        <f t="shared" si="61"/>
        <v>24.2</v>
      </c>
    </row>
    <row r="565" spans="1:11" ht="24" customHeight="1">
      <c r="A565" s="56" t="s">
        <v>153</v>
      </c>
      <c r="B565" s="57" t="s">
        <v>156</v>
      </c>
      <c r="C565" s="56" t="s">
        <v>29</v>
      </c>
      <c r="D565" s="56" t="s">
        <v>157</v>
      </c>
      <c r="E565" s="161" t="s">
        <v>152</v>
      </c>
      <c r="F565" s="161"/>
      <c r="G565" s="58" t="s">
        <v>24</v>
      </c>
      <c r="H565" s="59">
        <v>0.501</v>
      </c>
      <c r="I565" s="60">
        <v>20.420000000000002</v>
      </c>
      <c r="J565" s="128">
        <f t="shared" si="61"/>
        <v>10.23</v>
      </c>
    </row>
    <row r="566" spans="1:11" ht="52.05" customHeight="1">
      <c r="A566" s="64" t="s">
        <v>164</v>
      </c>
      <c r="B566" s="65" t="s">
        <v>670</v>
      </c>
      <c r="C566" s="64" t="s">
        <v>29</v>
      </c>
      <c r="D566" s="64" t="s">
        <v>671</v>
      </c>
      <c r="E566" s="157" t="s">
        <v>167</v>
      </c>
      <c r="F566" s="157"/>
      <c r="G566" s="66" t="s">
        <v>672</v>
      </c>
      <c r="H566" s="67">
        <v>1</v>
      </c>
      <c r="I566" s="68">
        <v>148.88</v>
      </c>
      <c r="J566" s="128">
        <f t="shared" si="61"/>
        <v>148.88</v>
      </c>
    </row>
    <row r="567" spans="1:11" ht="30" customHeight="1" thickBot="1">
      <c r="A567" s="61"/>
      <c r="B567" s="61"/>
      <c r="C567" s="61"/>
      <c r="D567" s="61"/>
      <c r="E567" s="61"/>
      <c r="F567" s="61"/>
      <c r="G567" s="61" t="s">
        <v>158</v>
      </c>
      <c r="H567" s="62">
        <f>JANDUÍ!F77</f>
        <v>10</v>
      </c>
      <c r="I567" s="61" t="s">
        <v>159</v>
      </c>
      <c r="J567" s="127">
        <f>JANDUÍ!I77</f>
        <v>2252.39</v>
      </c>
    </row>
    <row r="568" spans="1:11" ht="1.05" customHeight="1" thickTop="1">
      <c r="A568" s="63"/>
      <c r="B568" s="63"/>
      <c r="C568" s="63"/>
      <c r="D568" s="63"/>
      <c r="E568" s="63"/>
      <c r="F568" s="63"/>
      <c r="G568" s="63"/>
      <c r="H568" s="63"/>
      <c r="I568" s="63"/>
      <c r="J568" s="129"/>
    </row>
    <row r="569" spans="1:11" ht="18" customHeight="1">
      <c r="A569" s="48" t="s">
        <v>816</v>
      </c>
      <c r="B569" s="49" t="s">
        <v>9</v>
      </c>
      <c r="C569" s="48" t="s">
        <v>10</v>
      </c>
      <c r="D569" s="48" t="s">
        <v>11</v>
      </c>
      <c r="E569" s="159" t="s">
        <v>150</v>
      </c>
      <c r="F569" s="159"/>
      <c r="G569" s="50" t="s">
        <v>12</v>
      </c>
      <c r="H569" s="49" t="s">
        <v>13</v>
      </c>
      <c r="I569" s="49" t="s">
        <v>14</v>
      </c>
      <c r="J569" s="133" t="s">
        <v>16</v>
      </c>
    </row>
    <row r="570" spans="1:11" ht="52.05" customHeight="1">
      <c r="A570" s="51" t="s">
        <v>151</v>
      </c>
      <c r="B570" s="52" t="s">
        <v>817</v>
      </c>
      <c r="C570" s="51" t="s">
        <v>22</v>
      </c>
      <c r="D570" s="51" t="s">
        <v>818</v>
      </c>
      <c r="E570" s="160" t="s">
        <v>205</v>
      </c>
      <c r="F570" s="160"/>
      <c r="G570" s="53" t="s">
        <v>71</v>
      </c>
      <c r="H570" s="54">
        <v>1</v>
      </c>
      <c r="I570" s="55">
        <f>JANDUÍ!G78</f>
        <v>1292.19</v>
      </c>
      <c r="J570" s="128">
        <f t="shared" ref="J570:J576" si="62">ROUND(H570*I570,2)</f>
        <v>1292.19</v>
      </c>
      <c r="K570" s="143"/>
    </row>
    <row r="571" spans="1:11" ht="25.95" customHeight="1">
      <c r="A571" s="56" t="s">
        <v>153</v>
      </c>
      <c r="B571" s="57" t="s">
        <v>668</v>
      </c>
      <c r="C571" s="56" t="s">
        <v>29</v>
      </c>
      <c r="D571" s="56" t="s">
        <v>669</v>
      </c>
      <c r="E571" s="161" t="s">
        <v>152</v>
      </c>
      <c r="F571" s="161"/>
      <c r="G571" s="58" t="s">
        <v>24</v>
      </c>
      <c r="H571" s="59">
        <v>1.7330000000000001</v>
      </c>
      <c r="I571" s="60">
        <v>24.15</v>
      </c>
      <c r="J571" s="128">
        <f t="shared" si="62"/>
        <v>41.85</v>
      </c>
      <c r="K571" s="143"/>
    </row>
    <row r="572" spans="1:11" ht="24" customHeight="1">
      <c r="A572" s="56" t="s">
        <v>153</v>
      </c>
      <c r="B572" s="57" t="s">
        <v>156</v>
      </c>
      <c r="C572" s="56" t="s">
        <v>29</v>
      </c>
      <c r="D572" s="56" t="s">
        <v>157</v>
      </c>
      <c r="E572" s="161" t="s">
        <v>152</v>
      </c>
      <c r="F572" s="161"/>
      <c r="G572" s="58" t="s">
        <v>24</v>
      </c>
      <c r="H572" s="59">
        <v>0.86650000000000005</v>
      </c>
      <c r="I572" s="60">
        <v>20.420000000000002</v>
      </c>
      <c r="J572" s="128">
        <f t="shared" si="62"/>
        <v>17.690000000000001</v>
      </c>
    </row>
    <row r="573" spans="1:11" ht="25.95" customHeight="1">
      <c r="A573" s="64" t="s">
        <v>164</v>
      </c>
      <c r="B573" s="65" t="s">
        <v>886</v>
      </c>
      <c r="C573" s="64" t="s">
        <v>29</v>
      </c>
      <c r="D573" s="64" t="s">
        <v>887</v>
      </c>
      <c r="E573" s="157" t="s">
        <v>167</v>
      </c>
      <c r="F573" s="157"/>
      <c r="G573" s="66" t="s">
        <v>888</v>
      </c>
      <c r="H573" s="67">
        <v>0.83509999999999995</v>
      </c>
      <c r="I573" s="68">
        <v>37.450000000000003</v>
      </c>
      <c r="J573" s="128">
        <f t="shared" si="62"/>
        <v>31.27</v>
      </c>
    </row>
    <row r="574" spans="1:11" ht="64.95" customHeight="1">
      <c r="A574" s="64" t="s">
        <v>164</v>
      </c>
      <c r="B574" s="65" t="s">
        <v>889</v>
      </c>
      <c r="C574" s="64" t="s">
        <v>29</v>
      </c>
      <c r="D574" s="64" t="s">
        <v>890</v>
      </c>
      <c r="E574" s="157" t="s">
        <v>167</v>
      </c>
      <c r="F574" s="157"/>
      <c r="G574" s="66" t="s">
        <v>31</v>
      </c>
      <c r="H574" s="67">
        <v>1</v>
      </c>
      <c r="I574" s="68">
        <v>1173.6099999999999</v>
      </c>
      <c r="J574" s="128">
        <f t="shared" si="62"/>
        <v>1173.6099999999999</v>
      </c>
    </row>
    <row r="575" spans="1:11" ht="25.95" customHeight="1">
      <c r="A575" s="64" t="s">
        <v>164</v>
      </c>
      <c r="B575" s="65" t="s">
        <v>442</v>
      </c>
      <c r="C575" s="64" t="s">
        <v>29</v>
      </c>
      <c r="D575" s="64" t="s">
        <v>443</v>
      </c>
      <c r="E575" s="157" t="s">
        <v>167</v>
      </c>
      <c r="F575" s="157"/>
      <c r="G575" s="66" t="s">
        <v>40</v>
      </c>
      <c r="H575" s="67">
        <v>1.7258</v>
      </c>
      <c r="I575" s="68">
        <v>15.5</v>
      </c>
      <c r="J575" s="128">
        <f t="shared" si="62"/>
        <v>26.75</v>
      </c>
    </row>
    <row r="576" spans="1:11" ht="25.95" customHeight="1">
      <c r="A576" s="64" t="s">
        <v>164</v>
      </c>
      <c r="B576" s="65" t="s">
        <v>891</v>
      </c>
      <c r="C576" s="64" t="s">
        <v>29</v>
      </c>
      <c r="D576" s="64" t="s">
        <v>892</v>
      </c>
      <c r="E576" s="157" t="s">
        <v>167</v>
      </c>
      <c r="F576" s="157"/>
      <c r="G576" s="66" t="s">
        <v>126</v>
      </c>
      <c r="H576" s="67">
        <v>4.2867700000000002E-2</v>
      </c>
      <c r="I576" s="68">
        <v>23.85</v>
      </c>
      <c r="J576" s="128">
        <f t="shared" si="62"/>
        <v>1.02</v>
      </c>
    </row>
    <row r="577" spans="1:10" ht="30" customHeight="1" thickBot="1">
      <c r="A577" s="61"/>
      <c r="B577" s="61"/>
      <c r="C577" s="61"/>
      <c r="D577" s="61"/>
      <c r="E577" s="61"/>
      <c r="F577" s="61"/>
      <c r="G577" s="61" t="s">
        <v>158</v>
      </c>
      <c r="H577" s="62">
        <f>JANDUÍ!F78</f>
        <v>40</v>
      </c>
      <c r="I577" s="61" t="s">
        <v>159</v>
      </c>
      <c r="J577" s="127">
        <f>JANDUÍ!I78</f>
        <v>63513.72</v>
      </c>
    </row>
    <row r="578" spans="1:10" ht="1.05" customHeight="1" thickTop="1">
      <c r="A578" s="63"/>
      <c r="B578" s="63"/>
      <c r="C578" s="63"/>
      <c r="D578" s="63"/>
      <c r="E578" s="63"/>
      <c r="F578" s="63"/>
      <c r="G578" s="63"/>
      <c r="H578" s="63"/>
      <c r="I578" s="63"/>
      <c r="J578" s="129"/>
    </row>
    <row r="579" spans="1:10" ht="24" customHeight="1">
      <c r="A579" s="45" t="s">
        <v>819</v>
      </c>
      <c r="B579" s="45"/>
      <c r="C579" s="45"/>
      <c r="D579" s="45" t="s">
        <v>67</v>
      </c>
      <c r="E579" s="45"/>
      <c r="F579" s="158"/>
      <c r="G579" s="158"/>
      <c r="H579" s="46"/>
      <c r="I579" s="45"/>
      <c r="J579" s="130">
        <f>SUM(J590,J600,J611,J622)</f>
        <v>169885.00999999998</v>
      </c>
    </row>
    <row r="580" spans="1:10" ht="18" customHeight="1">
      <c r="A580" s="48" t="s">
        <v>820</v>
      </c>
      <c r="B580" s="49" t="s">
        <v>9</v>
      </c>
      <c r="C580" s="48" t="s">
        <v>10</v>
      </c>
      <c r="D580" s="48" t="s">
        <v>11</v>
      </c>
      <c r="E580" s="159" t="s">
        <v>150</v>
      </c>
      <c r="F580" s="159"/>
      <c r="G580" s="50" t="s">
        <v>12</v>
      </c>
      <c r="H580" s="49" t="s">
        <v>13</v>
      </c>
      <c r="I580" s="49" t="s">
        <v>14</v>
      </c>
      <c r="J580" s="133" t="s">
        <v>16</v>
      </c>
    </row>
    <row r="581" spans="1:10" ht="39" customHeight="1">
      <c r="A581" s="51" t="s">
        <v>151</v>
      </c>
      <c r="B581" s="52" t="s">
        <v>76</v>
      </c>
      <c r="C581" s="51" t="s">
        <v>29</v>
      </c>
      <c r="D581" s="51" t="s">
        <v>77</v>
      </c>
      <c r="E581" s="160" t="s">
        <v>244</v>
      </c>
      <c r="F581" s="160"/>
      <c r="G581" s="53" t="s">
        <v>31</v>
      </c>
      <c r="H581" s="54">
        <v>1</v>
      </c>
      <c r="I581" s="55">
        <f>JANDUÍ!G80</f>
        <v>73.739999999999995</v>
      </c>
      <c r="J581" s="128">
        <f t="shared" ref="J581:J589" si="63">ROUND(H581*I581,2)</f>
        <v>73.739999999999995</v>
      </c>
    </row>
    <row r="582" spans="1:10" ht="25.95" customHeight="1">
      <c r="A582" s="56" t="s">
        <v>153</v>
      </c>
      <c r="B582" s="57" t="s">
        <v>245</v>
      </c>
      <c r="C582" s="56" t="s">
        <v>29</v>
      </c>
      <c r="D582" s="56" t="s">
        <v>246</v>
      </c>
      <c r="E582" s="161" t="s">
        <v>152</v>
      </c>
      <c r="F582" s="161"/>
      <c r="G582" s="58" t="s">
        <v>24</v>
      </c>
      <c r="H582" s="59">
        <v>0.49940000000000001</v>
      </c>
      <c r="I582" s="60">
        <v>29.6</v>
      </c>
      <c r="J582" s="128">
        <f t="shared" si="63"/>
        <v>14.78</v>
      </c>
    </row>
    <row r="583" spans="1:10" ht="39" customHeight="1">
      <c r="A583" s="64" t="s">
        <v>164</v>
      </c>
      <c r="B583" s="65" t="s">
        <v>247</v>
      </c>
      <c r="C583" s="64" t="s">
        <v>29</v>
      </c>
      <c r="D583" s="64" t="s">
        <v>248</v>
      </c>
      <c r="E583" s="157" t="s">
        <v>167</v>
      </c>
      <c r="F583" s="157"/>
      <c r="G583" s="66" t="s">
        <v>31</v>
      </c>
      <c r="H583" s="67">
        <v>1.0955999999999999</v>
      </c>
      <c r="I583" s="68">
        <v>26.61</v>
      </c>
      <c r="J583" s="128">
        <f t="shared" si="63"/>
        <v>29.15</v>
      </c>
    </row>
    <row r="584" spans="1:10" ht="39" customHeight="1">
      <c r="A584" s="64" t="s">
        <v>164</v>
      </c>
      <c r="B584" s="65" t="s">
        <v>249</v>
      </c>
      <c r="C584" s="64" t="s">
        <v>29</v>
      </c>
      <c r="D584" s="64" t="s">
        <v>250</v>
      </c>
      <c r="E584" s="157" t="s">
        <v>167</v>
      </c>
      <c r="F584" s="157"/>
      <c r="G584" s="66" t="s">
        <v>40</v>
      </c>
      <c r="H584" s="67">
        <v>3.8498999999999999</v>
      </c>
      <c r="I584" s="68">
        <v>5.82</v>
      </c>
      <c r="J584" s="128">
        <f t="shared" si="63"/>
        <v>22.41</v>
      </c>
    </row>
    <row r="585" spans="1:10" ht="39" customHeight="1">
      <c r="A585" s="64" t="s">
        <v>164</v>
      </c>
      <c r="B585" s="65" t="s">
        <v>251</v>
      </c>
      <c r="C585" s="64" t="s">
        <v>29</v>
      </c>
      <c r="D585" s="64" t="s">
        <v>252</v>
      </c>
      <c r="E585" s="157" t="s">
        <v>253</v>
      </c>
      <c r="F585" s="157"/>
      <c r="G585" s="66" t="s">
        <v>59</v>
      </c>
      <c r="H585" s="67">
        <v>1.3265</v>
      </c>
      <c r="I585" s="68">
        <v>2.19</v>
      </c>
      <c r="J585" s="128">
        <f t="shared" si="63"/>
        <v>2.91</v>
      </c>
    </row>
    <row r="586" spans="1:10" ht="39" customHeight="1">
      <c r="A586" s="64" t="s">
        <v>164</v>
      </c>
      <c r="B586" s="65" t="s">
        <v>254</v>
      </c>
      <c r="C586" s="64" t="s">
        <v>29</v>
      </c>
      <c r="D586" s="64" t="s">
        <v>255</v>
      </c>
      <c r="E586" s="157" t="s">
        <v>167</v>
      </c>
      <c r="F586" s="157"/>
      <c r="G586" s="66" t="s">
        <v>59</v>
      </c>
      <c r="H586" s="67">
        <v>2.1911999999999998</v>
      </c>
      <c r="I586" s="68">
        <v>0.31</v>
      </c>
      <c r="J586" s="128">
        <f t="shared" si="63"/>
        <v>0.68</v>
      </c>
    </row>
    <row r="587" spans="1:10" ht="25.95" customHeight="1">
      <c r="A587" s="64" t="s">
        <v>164</v>
      </c>
      <c r="B587" s="65" t="s">
        <v>256</v>
      </c>
      <c r="C587" s="64" t="s">
        <v>29</v>
      </c>
      <c r="D587" s="64" t="s">
        <v>257</v>
      </c>
      <c r="E587" s="157" t="s">
        <v>167</v>
      </c>
      <c r="F587" s="157"/>
      <c r="G587" s="66" t="s">
        <v>258</v>
      </c>
      <c r="H587" s="67">
        <v>1.32E-2</v>
      </c>
      <c r="I587" s="68">
        <v>35.85</v>
      </c>
      <c r="J587" s="128">
        <f t="shared" si="63"/>
        <v>0.47</v>
      </c>
    </row>
    <row r="588" spans="1:10" ht="25.95" customHeight="1">
      <c r="A588" s="64" t="s">
        <v>164</v>
      </c>
      <c r="B588" s="65" t="s">
        <v>259</v>
      </c>
      <c r="C588" s="64" t="s">
        <v>29</v>
      </c>
      <c r="D588" s="64" t="s">
        <v>260</v>
      </c>
      <c r="E588" s="157" t="s">
        <v>167</v>
      </c>
      <c r="F588" s="157"/>
      <c r="G588" s="66" t="s">
        <v>258</v>
      </c>
      <c r="H588" s="67">
        <v>3.3300000000000003E-2</v>
      </c>
      <c r="I588" s="68">
        <v>61.47</v>
      </c>
      <c r="J588" s="128">
        <f t="shared" si="63"/>
        <v>2.0499999999999998</v>
      </c>
    </row>
    <row r="589" spans="1:10" ht="39" customHeight="1">
      <c r="A589" s="64" t="s">
        <v>164</v>
      </c>
      <c r="B589" s="65" t="s">
        <v>261</v>
      </c>
      <c r="C589" s="64" t="s">
        <v>29</v>
      </c>
      <c r="D589" s="64" t="s">
        <v>262</v>
      </c>
      <c r="E589" s="157" t="s">
        <v>167</v>
      </c>
      <c r="F589" s="157"/>
      <c r="G589" s="66" t="s">
        <v>126</v>
      </c>
      <c r="H589" s="67">
        <v>4.2599999999999999E-2</v>
      </c>
      <c r="I589" s="68">
        <v>31.36</v>
      </c>
      <c r="J589" s="128">
        <f t="shared" si="63"/>
        <v>1.34</v>
      </c>
    </row>
    <row r="590" spans="1:10" ht="30" customHeight="1" thickBot="1">
      <c r="A590" s="61"/>
      <c r="B590" s="61"/>
      <c r="C590" s="61"/>
      <c r="D590" s="61"/>
      <c r="E590" s="61"/>
      <c r="F590" s="61"/>
      <c r="G590" s="61" t="s">
        <v>158</v>
      </c>
      <c r="H590" s="62">
        <f>JANDUÍ!F80</f>
        <v>663.71</v>
      </c>
      <c r="I590" s="61" t="s">
        <v>159</v>
      </c>
      <c r="J590" s="127">
        <f>JANDUÍ!I80</f>
        <v>60139.9</v>
      </c>
    </row>
    <row r="591" spans="1:10" ht="1.05" customHeight="1" thickTop="1">
      <c r="A591" s="63"/>
      <c r="B591" s="63"/>
      <c r="C591" s="63"/>
      <c r="D591" s="63"/>
      <c r="E591" s="63"/>
      <c r="F591" s="63"/>
      <c r="G591" s="63"/>
      <c r="H591" s="63"/>
      <c r="I591" s="63"/>
      <c r="J591" s="129"/>
    </row>
    <row r="592" spans="1:10" ht="18" customHeight="1">
      <c r="A592" s="48" t="s">
        <v>821</v>
      </c>
      <c r="B592" s="49" t="s">
        <v>9</v>
      </c>
      <c r="C592" s="48" t="s">
        <v>10</v>
      </c>
      <c r="D592" s="48" t="s">
        <v>11</v>
      </c>
      <c r="E592" s="159" t="s">
        <v>150</v>
      </c>
      <c r="F592" s="159"/>
      <c r="G592" s="50" t="s">
        <v>12</v>
      </c>
      <c r="H592" s="49" t="s">
        <v>13</v>
      </c>
      <c r="I592" s="49" t="s">
        <v>14</v>
      </c>
      <c r="J592" s="133" t="s">
        <v>16</v>
      </c>
    </row>
    <row r="593" spans="1:10" ht="25.95" customHeight="1">
      <c r="A593" s="51" t="s">
        <v>151</v>
      </c>
      <c r="B593" s="52" t="s">
        <v>556</v>
      </c>
      <c r="C593" s="51" t="s">
        <v>29</v>
      </c>
      <c r="D593" s="51" t="s">
        <v>557</v>
      </c>
      <c r="E593" s="160" t="s">
        <v>657</v>
      </c>
      <c r="F593" s="160"/>
      <c r="G593" s="53" t="s">
        <v>31</v>
      </c>
      <c r="H593" s="54">
        <v>1</v>
      </c>
      <c r="I593" s="55">
        <f>JANDUÍ!G81</f>
        <v>616.21</v>
      </c>
      <c r="J593" s="128">
        <f t="shared" ref="J593:J599" si="64">ROUND(H593*I593,2)</f>
        <v>616.21</v>
      </c>
    </row>
    <row r="594" spans="1:10" ht="25.95" customHeight="1">
      <c r="A594" s="56" t="s">
        <v>153</v>
      </c>
      <c r="B594" s="57" t="s">
        <v>690</v>
      </c>
      <c r="C594" s="56" t="s">
        <v>29</v>
      </c>
      <c r="D594" s="56" t="s">
        <v>691</v>
      </c>
      <c r="E594" s="161" t="s">
        <v>152</v>
      </c>
      <c r="F594" s="161"/>
      <c r="G594" s="58" t="s">
        <v>24</v>
      </c>
      <c r="H594" s="59">
        <v>6.9649999999999999</v>
      </c>
      <c r="I594" s="60">
        <v>22.86</v>
      </c>
      <c r="J594" s="128">
        <f t="shared" si="64"/>
        <v>159.22</v>
      </c>
    </row>
    <row r="595" spans="1:10" ht="24" customHeight="1">
      <c r="A595" s="56" t="s">
        <v>153</v>
      </c>
      <c r="B595" s="57" t="s">
        <v>225</v>
      </c>
      <c r="C595" s="56" t="s">
        <v>29</v>
      </c>
      <c r="D595" s="56" t="s">
        <v>226</v>
      </c>
      <c r="E595" s="161" t="s">
        <v>152</v>
      </c>
      <c r="F595" s="161"/>
      <c r="G595" s="58" t="s">
        <v>24</v>
      </c>
      <c r="H595" s="59">
        <v>8.4789999999999992</v>
      </c>
      <c r="I595" s="60">
        <v>25.18</v>
      </c>
      <c r="J595" s="128">
        <f t="shared" si="64"/>
        <v>213.5</v>
      </c>
    </row>
    <row r="596" spans="1:10" ht="25.95" customHeight="1">
      <c r="A596" s="56" t="s">
        <v>153</v>
      </c>
      <c r="B596" s="57" t="s">
        <v>692</v>
      </c>
      <c r="C596" s="56" t="s">
        <v>29</v>
      </c>
      <c r="D596" s="56" t="s">
        <v>693</v>
      </c>
      <c r="E596" s="161" t="s">
        <v>152</v>
      </c>
      <c r="F596" s="161"/>
      <c r="G596" s="58" t="s">
        <v>163</v>
      </c>
      <c r="H596" s="59">
        <v>8.0000000000000002E-3</v>
      </c>
      <c r="I596" s="60">
        <v>651.09</v>
      </c>
      <c r="J596" s="128">
        <f t="shared" si="64"/>
        <v>5.21</v>
      </c>
    </row>
    <row r="597" spans="1:10" ht="25.95" customHeight="1">
      <c r="A597" s="64" t="s">
        <v>164</v>
      </c>
      <c r="B597" s="65" t="s">
        <v>694</v>
      </c>
      <c r="C597" s="64" t="s">
        <v>29</v>
      </c>
      <c r="D597" s="64" t="s">
        <v>695</v>
      </c>
      <c r="E597" s="157" t="s">
        <v>167</v>
      </c>
      <c r="F597" s="157"/>
      <c r="G597" s="66" t="s">
        <v>40</v>
      </c>
      <c r="H597" s="67">
        <v>9.17</v>
      </c>
      <c r="I597" s="68">
        <v>16.93</v>
      </c>
      <c r="J597" s="128">
        <f t="shared" si="64"/>
        <v>155.25</v>
      </c>
    </row>
    <row r="598" spans="1:10" ht="25.95" customHeight="1">
      <c r="A598" s="64" t="s">
        <v>164</v>
      </c>
      <c r="B598" s="65" t="s">
        <v>696</v>
      </c>
      <c r="C598" s="64" t="s">
        <v>29</v>
      </c>
      <c r="D598" s="64" t="s">
        <v>697</v>
      </c>
      <c r="E598" s="157" t="s">
        <v>167</v>
      </c>
      <c r="F598" s="157"/>
      <c r="G598" s="66" t="s">
        <v>126</v>
      </c>
      <c r="H598" s="67">
        <v>7.5439999999999996</v>
      </c>
      <c r="I598" s="68">
        <v>10.61</v>
      </c>
      <c r="J598" s="128">
        <f t="shared" si="64"/>
        <v>80.040000000000006</v>
      </c>
    </row>
    <row r="599" spans="1:10" ht="25.95" customHeight="1">
      <c r="A599" s="64" t="s">
        <v>164</v>
      </c>
      <c r="B599" s="65" t="s">
        <v>698</v>
      </c>
      <c r="C599" s="64" t="s">
        <v>29</v>
      </c>
      <c r="D599" s="64" t="s">
        <v>699</v>
      </c>
      <c r="E599" s="157" t="s">
        <v>167</v>
      </c>
      <c r="F599" s="157"/>
      <c r="G599" s="66" t="s">
        <v>126</v>
      </c>
      <c r="H599" s="67">
        <v>0.115</v>
      </c>
      <c r="I599" s="68">
        <v>26.29</v>
      </c>
      <c r="J599" s="128">
        <f t="shared" si="64"/>
        <v>3.02</v>
      </c>
    </row>
    <row r="600" spans="1:10" ht="30" customHeight="1" thickBot="1">
      <c r="A600" s="61"/>
      <c r="B600" s="61"/>
      <c r="C600" s="61"/>
      <c r="D600" s="61"/>
      <c r="E600" s="61"/>
      <c r="F600" s="61"/>
      <c r="G600" s="61" t="s">
        <v>158</v>
      </c>
      <c r="H600" s="62">
        <f>JANDUÍ!F81</f>
        <v>110</v>
      </c>
      <c r="I600" s="61" t="s">
        <v>159</v>
      </c>
      <c r="J600" s="127">
        <f>JANDUÍ!I81</f>
        <v>83291.87</v>
      </c>
    </row>
    <row r="601" spans="1:10" ht="1.05" customHeight="1" thickTop="1">
      <c r="A601" s="63"/>
      <c r="B601" s="63"/>
      <c r="C601" s="63"/>
      <c r="D601" s="63"/>
      <c r="E601" s="63"/>
      <c r="F601" s="63"/>
      <c r="G601" s="63"/>
      <c r="H601" s="63"/>
      <c r="I601" s="63"/>
      <c r="J601" s="129"/>
    </row>
    <row r="602" spans="1:10" ht="18" customHeight="1">
      <c r="A602" s="48" t="s">
        <v>822</v>
      </c>
      <c r="B602" s="49" t="s">
        <v>9</v>
      </c>
      <c r="C602" s="48" t="s">
        <v>10</v>
      </c>
      <c r="D602" s="48" t="s">
        <v>11</v>
      </c>
      <c r="E602" s="159" t="s">
        <v>150</v>
      </c>
      <c r="F602" s="159"/>
      <c r="G602" s="50" t="s">
        <v>12</v>
      </c>
      <c r="H602" s="49" t="s">
        <v>13</v>
      </c>
      <c r="I602" s="49" t="s">
        <v>14</v>
      </c>
      <c r="J602" s="133" t="s">
        <v>16</v>
      </c>
    </row>
    <row r="603" spans="1:10" ht="25.95" customHeight="1">
      <c r="A603" s="51" t="s">
        <v>151</v>
      </c>
      <c r="B603" s="52" t="s">
        <v>79</v>
      </c>
      <c r="C603" s="51" t="s">
        <v>29</v>
      </c>
      <c r="D603" s="51" t="s">
        <v>80</v>
      </c>
      <c r="E603" s="160" t="s">
        <v>244</v>
      </c>
      <c r="F603" s="160"/>
      <c r="G603" s="53" t="s">
        <v>31</v>
      </c>
      <c r="H603" s="54">
        <v>1</v>
      </c>
      <c r="I603" s="55">
        <f>JANDUÍ!G82</f>
        <v>41.17</v>
      </c>
      <c r="J603" s="128">
        <f t="shared" ref="J603:J610" si="65">ROUND(H603*I603,2)</f>
        <v>41.17</v>
      </c>
    </row>
    <row r="604" spans="1:10" ht="24" customHeight="1">
      <c r="A604" s="56" t="s">
        <v>153</v>
      </c>
      <c r="B604" s="57" t="s">
        <v>263</v>
      </c>
      <c r="C604" s="56" t="s">
        <v>29</v>
      </c>
      <c r="D604" s="56" t="s">
        <v>264</v>
      </c>
      <c r="E604" s="161" t="s">
        <v>152</v>
      </c>
      <c r="F604" s="161"/>
      <c r="G604" s="58" t="s">
        <v>24</v>
      </c>
      <c r="H604" s="59">
        <v>0.7974</v>
      </c>
      <c r="I604" s="60">
        <v>25.18</v>
      </c>
      <c r="J604" s="128">
        <f t="shared" si="65"/>
        <v>20.079999999999998</v>
      </c>
    </row>
    <row r="605" spans="1:10" ht="24" customHeight="1">
      <c r="A605" s="56" t="s">
        <v>153</v>
      </c>
      <c r="B605" s="57" t="s">
        <v>156</v>
      </c>
      <c r="C605" s="56" t="s">
        <v>29</v>
      </c>
      <c r="D605" s="56" t="s">
        <v>157</v>
      </c>
      <c r="E605" s="161" t="s">
        <v>152</v>
      </c>
      <c r="F605" s="161"/>
      <c r="G605" s="58" t="s">
        <v>24</v>
      </c>
      <c r="H605" s="59">
        <v>0.3987</v>
      </c>
      <c r="I605" s="60">
        <v>20.420000000000002</v>
      </c>
      <c r="J605" s="128">
        <f t="shared" si="65"/>
        <v>8.14</v>
      </c>
    </row>
    <row r="606" spans="1:10" ht="24" customHeight="1">
      <c r="A606" s="64" t="s">
        <v>164</v>
      </c>
      <c r="B606" s="65" t="s">
        <v>265</v>
      </c>
      <c r="C606" s="64" t="s">
        <v>29</v>
      </c>
      <c r="D606" s="64" t="s">
        <v>266</v>
      </c>
      <c r="E606" s="157" t="s">
        <v>167</v>
      </c>
      <c r="F606" s="157"/>
      <c r="G606" s="66" t="s">
        <v>126</v>
      </c>
      <c r="H606" s="67">
        <v>2.5000000000000001E-2</v>
      </c>
      <c r="I606" s="68">
        <v>38.51</v>
      </c>
      <c r="J606" s="128">
        <f t="shared" si="65"/>
        <v>0.96</v>
      </c>
    </row>
    <row r="607" spans="1:10" ht="25.95" customHeight="1">
      <c r="A607" s="64" t="s">
        <v>164</v>
      </c>
      <c r="B607" s="65" t="s">
        <v>267</v>
      </c>
      <c r="C607" s="64" t="s">
        <v>29</v>
      </c>
      <c r="D607" s="64" t="s">
        <v>268</v>
      </c>
      <c r="E607" s="157" t="s">
        <v>167</v>
      </c>
      <c r="F607" s="157"/>
      <c r="G607" s="66" t="s">
        <v>126</v>
      </c>
      <c r="H607" s="67">
        <v>0.99639999999999995</v>
      </c>
      <c r="I607" s="68">
        <v>0.7</v>
      </c>
      <c r="J607" s="128">
        <f t="shared" si="65"/>
        <v>0.7</v>
      </c>
    </row>
    <row r="608" spans="1:10" ht="25.95" customHeight="1">
      <c r="A608" s="64" t="s">
        <v>164</v>
      </c>
      <c r="B608" s="65" t="s">
        <v>269</v>
      </c>
      <c r="C608" s="64" t="s">
        <v>29</v>
      </c>
      <c r="D608" s="64" t="s">
        <v>270</v>
      </c>
      <c r="E608" s="157" t="s">
        <v>167</v>
      </c>
      <c r="F608" s="157"/>
      <c r="G608" s="66" t="s">
        <v>31</v>
      </c>
      <c r="H608" s="67">
        <v>1.0293000000000001</v>
      </c>
      <c r="I608" s="68">
        <v>9.84</v>
      </c>
      <c r="J608" s="128">
        <f t="shared" si="65"/>
        <v>10.130000000000001</v>
      </c>
    </row>
    <row r="609" spans="1:11" ht="24" customHeight="1">
      <c r="A609" s="64" t="s">
        <v>164</v>
      </c>
      <c r="B609" s="65" t="s">
        <v>271</v>
      </c>
      <c r="C609" s="64" t="s">
        <v>29</v>
      </c>
      <c r="D609" s="64" t="s">
        <v>272</v>
      </c>
      <c r="E609" s="157" t="s">
        <v>167</v>
      </c>
      <c r="F609" s="157"/>
      <c r="G609" s="66" t="s">
        <v>126</v>
      </c>
      <c r="H609" s="67">
        <v>7.7999999999999996E-3</v>
      </c>
      <c r="I609" s="68">
        <v>12</v>
      </c>
      <c r="J609" s="128">
        <f t="shared" si="65"/>
        <v>0.09</v>
      </c>
    </row>
    <row r="610" spans="1:11" ht="25.95" customHeight="1">
      <c r="A610" s="64" t="s">
        <v>164</v>
      </c>
      <c r="B610" s="65" t="s">
        <v>256</v>
      </c>
      <c r="C610" s="64" t="s">
        <v>29</v>
      </c>
      <c r="D610" s="64" t="s">
        <v>257</v>
      </c>
      <c r="E610" s="157" t="s">
        <v>167</v>
      </c>
      <c r="F610" s="157"/>
      <c r="G610" s="66" t="s">
        <v>258</v>
      </c>
      <c r="H610" s="67">
        <v>3.0800000000000001E-2</v>
      </c>
      <c r="I610" s="68">
        <v>35.85</v>
      </c>
      <c r="J610" s="128">
        <f t="shared" si="65"/>
        <v>1.1000000000000001</v>
      </c>
    </row>
    <row r="611" spans="1:11" ht="30" customHeight="1" thickBot="1">
      <c r="A611" s="61"/>
      <c r="B611" s="61"/>
      <c r="C611" s="61"/>
      <c r="D611" s="61"/>
      <c r="E611" s="61"/>
      <c r="F611" s="61"/>
      <c r="G611" s="61" t="s">
        <v>158</v>
      </c>
      <c r="H611" s="62">
        <f>JANDUÍ!F82</f>
        <v>300</v>
      </c>
      <c r="I611" s="61" t="s">
        <v>159</v>
      </c>
      <c r="J611" s="127">
        <f>JANDUÍ!I82</f>
        <v>15176.91</v>
      </c>
    </row>
    <row r="612" spans="1:11" ht="1.05" customHeight="1" thickTop="1">
      <c r="A612" s="63"/>
      <c r="B612" s="63"/>
      <c r="C612" s="63"/>
      <c r="D612" s="63"/>
      <c r="E612" s="63"/>
      <c r="F612" s="63"/>
      <c r="G612" s="63"/>
      <c r="H612" s="63"/>
      <c r="I612" s="63"/>
      <c r="J612" s="129"/>
    </row>
    <row r="613" spans="1:11" ht="18" customHeight="1">
      <c r="A613" s="48" t="s">
        <v>823</v>
      </c>
      <c r="B613" s="49" t="s">
        <v>9</v>
      </c>
      <c r="C613" s="48" t="s">
        <v>10</v>
      </c>
      <c r="D613" s="48" t="s">
        <v>11</v>
      </c>
      <c r="E613" s="159" t="s">
        <v>150</v>
      </c>
      <c r="F613" s="159"/>
      <c r="G613" s="50" t="s">
        <v>12</v>
      </c>
      <c r="H613" s="49" t="s">
        <v>13</v>
      </c>
      <c r="I613" s="49" t="s">
        <v>14</v>
      </c>
      <c r="J613" s="133" t="s">
        <v>16</v>
      </c>
    </row>
    <row r="614" spans="1:11" ht="25.95" customHeight="1">
      <c r="A614" s="51" t="s">
        <v>151</v>
      </c>
      <c r="B614" s="52" t="s">
        <v>559</v>
      </c>
      <c r="C614" s="51" t="s">
        <v>22</v>
      </c>
      <c r="D614" s="51" t="s">
        <v>560</v>
      </c>
      <c r="E614" s="160" t="s">
        <v>205</v>
      </c>
      <c r="F614" s="160"/>
      <c r="G614" s="53" t="s">
        <v>71</v>
      </c>
      <c r="H614" s="54">
        <v>1</v>
      </c>
      <c r="I614" s="55">
        <f>JANDUÍ!G83</f>
        <v>305.89</v>
      </c>
      <c r="J614" s="128">
        <f t="shared" ref="J614:J621" si="66">ROUND(H614*I614,2)</f>
        <v>305.89</v>
      </c>
      <c r="K614" s="143"/>
    </row>
    <row r="615" spans="1:11" ht="24" customHeight="1">
      <c r="A615" s="56" t="s">
        <v>153</v>
      </c>
      <c r="B615" s="57" t="s">
        <v>237</v>
      </c>
      <c r="C615" s="56" t="s">
        <v>29</v>
      </c>
      <c r="D615" s="56" t="s">
        <v>238</v>
      </c>
      <c r="E615" s="161" t="s">
        <v>152</v>
      </c>
      <c r="F615" s="161"/>
      <c r="G615" s="58" t="s">
        <v>24</v>
      </c>
      <c r="H615" s="59">
        <v>2</v>
      </c>
      <c r="I615" s="60">
        <v>26.02</v>
      </c>
      <c r="J615" s="128">
        <f t="shared" si="66"/>
        <v>52.04</v>
      </c>
      <c r="K615" s="143"/>
    </row>
    <row r="616" spans="1:11" ht="24" customHeight="1">
      <c r="A616" s="56" t="s">
        <v>153</v>
      </c>
      <c r="B616" s="57" t="s">
        <v>225</v>
      </c>
      <c r="C616" s="56" t="s">
        <v>29</v>
      </c>
      <c r="D616" s="56" t="s">
        <v>226</v>
      </c>
      <c r="E616" s="161" t="s">
        <v>152</v>
      </c>
      <c r="F616" s="161"/>
      <c r="G616" s="58" t="s">
        <v>24</v>
      </c>
      <c r="H616" s="59">
        <v>2</v>
      </c>
      <c r="I616" s="60">
        <v>25.18</v>
      </c>
      <c r="J616" s="128">
        <f t="shared" si="66"/>
        <v>50.36</v>
      </c>
    </row>
    <row r="617" spans="1:11" ht="24" customHeight="1">
      <c r="A617" s="56" t="s">
        <v>153</v>
      </c>
      <c r="B617" s="57" t="s">
        <v>154</v>
      </c>
      <c r="C617" s="56" t="s">
        <v>29</v>
      </c>
      <c r="D617" s="56" t="s">
        <v>155</v>
      </c>
      <c r="E617" s="161" t="s">
        <v>152</v>
      </c>
      <c r="F617" s="161"/>
      <c r="G617" s="58" t="s">
        <v>24</v>
      </c>
      <c r="H617" s="59">
        <v>0.5</v>
      </c>
      <c r="I617" s="60">
        <v>25.38</v>
      </c>
      <c r="J617" s="128">
        <f t="shared" si="66"/>
        <v>12.69</v>
      </c>
    </row>
    <row r="618" spans="1:11" ht="24" customHeight="1">
      <c r="A618" s="56" t="s">
        <v>153</v>
      </c>
      <c r="B618" s="57" t="s">
        <v>156</v>
      </c>
      <c r="C618" s="56" t="s">
        <v>29</v>
      </c>
      <c r="D618" s="56" t="s">
        <v>157</v>
      </c>
      <c r="E618" s="161" t="s">
        <v>152</v>
      </c>
      <c r="F618" s="161"/>
      <c r="G618" s="58" t="s">
        <v>24</v>
      </c>
      <c r="H618" s="59">
        <v>1</v>
      </c>
      <c r="I618" s="60">
        <v>20.420000000000002</v>
      </c>
      <c r="J618" s="128">
        <f t="shared" si="66"/>
        <v>20.420000000000002</v>
      </c>
    </row>
    <row r="619" spans="1:11" ht="25.95" customHeight="1">
      <c r="A619" s="64" t="s">
        <v>164</v>
      </c>
      <c r="B619" s="65" t="s">
        <v>229</v>
      </c>
      <c r="C619" s="64" t="s">
        <v>29</v>
      </c>
      <c r="D619" s="64" t="s">
        <v>230</v>
      </c>
      <c r="E619" s="157" t="s">
        <v>167</v>
      </c>
      <c r="F619" s="157"/>
      <c r="G619" s="66" t="s">
        <v>126</v>
      </c>
      <c r="H619" s="67">
        <v>0.42</v>
      </c>
      <c r="I619" s="68">
        <v>27.38</v>
      </c>
      <c r="J619" s="128">
        <f t="shared" si="66"/>
        <v>11.5</v>
      </c>
    </row>
    <row r="620" spans="1:11" ht="39" customHeight="1">
      <c r="A620" s="64" t="s">
        <v>164</v>
      </c>
      <c r="B620" s="65" t="s">
        <v>700</v>
      </c>
      <c r="C620" s="64" t="s">
        <v>209</v>
      </c>
      <c r="D620" s="64" t="s">
        <v>701</v>
      </c>
      <c r="E620" s="157" t="s">
        <v>167</v>
      </c>
      <c r="F620" s="157"/>
      <c r="G620" s="66" t="s">
        <v>702</v>
      </c>
      <c r="H620" s="67">
        <v>2.8</v>
      </c>
      <c r="I620" s="68">
        <v>20.46</v>
      </c>
      <c r="J620" s="128">
        <f t="shared" si="66"/>
        <v>57.29</v>
      </c>
    </row>
    <row r="621" spans="1:11" ht="39" customHeight="1">
      <c r="A621" s="64" t="s">
        <v>164</v>
      </c>
      <c r="B621" s="65" t="s">
        <v>703</v>
      </c>
      <c r="C621" s="64" t="s">
        <v>209</v>
      </c>
      <c r="D621" s="64" t="s">
        <v>704</v>
      </c>
      <c r="E621" s="157" t="s">
        <v>167</v>
      </c>
      <c r="F621" s="157"/>
      <c r="G621" s="66" t="s">
        <v>702</v>
      </c>
      <c r="H621" s="67">
        <v>2.84</v>
      </c>
      <c r="I621" s="68">
        <v>35.770000000000003</v>
      </c>
      <c r="J621" s="128">
        <f t="shared" si="66"/>
        <v>101.59</v>
      </c>
    </row>
    <row r="622" spans="1:11" ht="30" customHeight="1" thickBot="1">
      <c r="A622" s="61"/>
      <c r="B622" s="61"/>
      <c r="C622" s="61"/>
      <c r="D622" s="61"/>
      <c r="E622" s="61"/>
      <c r="F622" s="61"/>
      <c r="G622" s="61" t="s">
        <v>158</v>
      </c>
      <c r="H622" s="62">
        <f>JANDUÍ!F83</f>
        <v>30</v>
      </c>
      <c r="I622" s="61" t="s">
        <v>159</v>
      </c>
      <c r="J622" s="127">
        <f>JANDUÍ!I83</f>
        <v>11276.33</v>
      </c>
    </row>
    <row r="623" spans="1:11" ht="1.05" customHeight="1" thickTop="1">
      <c r="A623" s="63"/>
      <c r="B623" s="63"/>
      <c r="C623" s="63"/>
      <c r="D623" s="63"/>
      <c r="E623" s="63"/>
      <c r="F623" s="63"/>
      <c r="G623" s="63"/>
      <c r="H623" s="63"/>
      <c r="I623" s="63"/>
      <c r="J623" s="129"/>
    </row>
    <row r="624" spans="1:11" ht="24" customHeight="1">
      <c r="A624" s="45" t="s">
        <v>824</v>
      </c>
      <c r="B624" s="45"/>
      <c r="C624" s="45"/>
      <c r="D624" s="45" t="s">
        <v>67</v>
      </c>
      <c r="E624" s="45"/>
      <c r="F624" s="158"/>
      <c r="G624" s="158"/>
      <c r="H624" s="46"/>
      <c r="I624" s="45"/>
      <c r="J624" s="130">
        <f>SUM(J630)</f>
        <v>5066.5600000000004</v>
      </c>
    </row>
    <row r="625" spans="1:11" ht="18" customHeight="1">
      <c r="A625" s="48" t="s">
        <v>825</v>
      </c>
      <c r="B625" s="49" t="s">
        <v>9</v>
      </c>
      <c r="C625" s="48" t="s">
        <v>10</v>
      </c>
      <c r="D625" s="48" t="s">
        <v>11</v>
      </c>
      <c r="E625" s="159" t="s">
        <v>150</v>
      </c>
      <c r="F625" s="159"/>
      <c r="G625" s="50" t="s">
        <v>12</v>
      </c>
      <c r="H625" s="49" t="s">
        <v>13</v>
      </c>
      <c r="I625" s="49" t="s">
        <v>14</v>
      </c>
      <c r="J625" s="133" t="s">
        <v>16</v>
      </c>
    </row>
    <row r="626" spans="1:11" ht="24" customHeight="1">
      <c r="A626" s="51" t="s">
        <v>151</v>
      </c>
      <c r="B626" s="52" t="s">
        <v>91</v>
      </c>
      <c r="C626" s="51" t="s">
        <v>22</v>
      </c>
      <c r="D626" s="51" t="s">
        <v>92</v>
      </c>
      <c r="E626" s="160" t="s">
        <v>205</v>
      </c>
      <c r="F626" s="160"/>
      <c r="G626" s="53" t="s">
        <v>71</v>
      </c>
      <c r="H626" s="54">
        <v>1</v>
      </c>
      <c r="I626" s="55">
        <f>JANDUÍ!G85</f>
        <v>2.68</v>
      </c>
      <c r="J626" s="128">
        <f t="shared" ref="J626:J629" si="67">ROUND(H626*I626,2)</f>
        <v>2.68</v>
      </c>
      <c r="K626" s="143"/>
    </row>
    <row r="627" spans="1:11" ht="24" customHeight="1">
      <c r="A627" s="56" t="s">
        <v>153</v>
      </c>
      <c r="B627" s="57" t="s">
        <v>156</v>
      </c>
      <c r="C627" s="56" t="s">
        <v>29</v>
      </c>
      <c r="D627" s="56" t="s">
        <v>157</v>
      </c>
      <c r="E627" s="161" t="s">
        <v>152</v>
      </c>
      <c r="F627" s="161"/>
      <c r="G627" s="58" t="s">
        <v>24</v>
      </c>
      <c r="H627" s="59">
        <v>0.1</v>
      </c>
      <c r="I627" s="60">
        <v>20.420000000000002</v>
      </c>
      <c r="J627" s="128">
        <f t="shared" si="67"/>
        <v>2.04</v>
      </c>
      <c r="K627" s="143"/>
    </row>
    <row r="628" spans="1:11" ht="24" customHeight="1">
      <c r="A628" s="64" t="s">
        <v>164</v>
      </c>
      <c r="B628" s="65" t="s">
        <v>290</v>
      </c>
      <c r="C628" s="64" t="s">
        <v>209</v>
      </c>
      <c r="D628" s="64" t="s">
        <v>291</v>
      </c>
      <c r="E628" s="157" t="s">
        <v>167</v>
      </c>
      <c r="F628" s="157"/>
      <c r="G628" s="66" t="s">
        <v>211</v>
      </c>
      <c r="H628" s="67">
        <v>0.05</v>
      </c>
      <c r="I628" s="68">
        <v>11.8</v>
      </c>
      <c r="J628" s="128">
        <f t="shared" si="67"/>
        <v>0.59</v>
      </c>
    </row>
    <row r="629" spans="1:11" ht="24" customHeight="1">
      <c r="A629" s="64" t="s">
        <v>164</v>
      </c>
      <c r="B629" s="65" t="s">
        <v>292</v>
      </c>
      <c r="C629" s="64" t="s">
        <v>209</v>
      </c>
      <c r="D629" s="64" t="s">
        <v>293</v>
      </c>
      <c r="E629" s="157" t="s">
        <v>167</v>
      </c>
      <c r="F629" s="157"/>
      <c r="G629" s="66" t="s">
        <v>241</v>
      </c>
      <c r="H629" s="67">
        <v>5.0000000000000001E-3</v>
      </c>
      <c r="I629" s="68">
        <v>9.68</v>
      </c>
      <c r="J629" s="128">
        <f t="shared" si="67"/>
        <v>0.05</v>
      </c>
    </row>
    <row r="630" spans="1:11" ht="30" customHeight="1" thickBot="1">
      <c r="A630" s="61"/>
      <c r="B630" s="61"/>
      <c r="C630" s="61"/>
      <c r="D630" s="61"/>
      <c r="E630" s="61"/>
      <c r="F630" s="61"/>
      <c r="G630" s="61" t="s">
        <v>158</v>
      </c>
      <c r="H630" s="62">
        <f>JANDUÍ!F85</f>
        <v>1538.5</v>
      </c>
      <c r="I630" s="61" t="s">
        <v>159</v>
      </c>
      <c r="J630" s="127">
        <f>JANDUÍ!I85</f>
        <v>5066.5600000000004</v>
      </c>
    </row>
    <row r="631" spans="1:11" ht="1.05" customHeight="1" thickTop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</row>
    <row r="632" spans="1:11">
      <c r="A632" s="69"/>
      <c r="B632" s="69"/>
      <c r="C632" s="69"/>
      <c r="D632" s="69"/>
      <c r="E632" s="69"/>
      <c r="F632" s="69"/>
      <c r="G632" s="69"/>
      <c r="H632" s="69"/>
      <c r="I632" s="69"/>
      <c r="J632" s="69"/>
    </row>
    <row r="633" spans="1:11">
      <c r="A633" s="153"/>
      <c r="B633" s="153"/>
      <c r="C633" s="153"/>
      <c r="D633" s="70"/>
      <c r="E633" s="61"/>
      <c r="F633" s="154" t="s">
        <v>93</v>
      </c>
      <c r="G633" s="153"/>
      <c r="H633" s="155">
        <f>SUM(JANDUÍ!H87)</f>
        <v>1109877.3899999999</v>
      </c>
      <c r="I633" s="155"/>
      <c r="J633" s="155"/>
    </row>
    <row r="634" spans="1:11">
      <c r="A634" s="153"/>
      <c r="B634" s="153"/>
      <c r="C634" s="153"/>
      <c r="D634" s="70"/>
      <c r="E634" s="61"/>
      <c r="F634" s="154" t="s">
        <v>94</v>
      </c>
      <c r="G634" s="153"/>
      <c r="H634" s="155">
        <f>SUM(JANDUÍ!H88)</f>
        <v>329278.98</v>
      </c>
      <c r="I634" s="155"/>
      <c r="J634" s="155"/>
    </row>
    <row r="635" spans="1:11">
      <c r="A635" s="153"/>
      <c r="B635" s="153"/>
      <c r="C635" s="153"/>
      <c r="D635" s="70"/>
      <c r="E635" s="61"/>
      <c r="F635" s="154" t="s">
        <v>95</v>
      </c>
      <c r="G635" s="153"/>
      <c r="H635" s="155">
        <f>SUM(J624,J579,J529,J466,J382,J301,J236,J205,J181,J162,J106,J37,J4)</f>
        <v>1439156.37</v>
      </c>
      <c r="I635" s="155"/>
      <c r="J635" s="155"/>
    </row>
    <row r="636" spans="1:11" ht="60" customHeight="1">
      <c r="A636" s="71"/>
      <c r="B636" s="71"/>
      <c r="C636" s="71"/>
      <c r="D636" s="71"/>
      <c r="E636" s="71"/>
      <c r="F636" s="71"/>
      <c r="G636" s="71"/>
      <c r="H636" s="71"/>
      <c r="I636" s="71"/>
      <c r="J636" s="71"/>
    </row>
    <row r="637" spans="1:11" ht="70.05" customHeight="1">
      <c r="A637" s="156"/>
      <c r="B637" s="150"/>
      <c r="C637" s="150"/>
      <c r="D637" s="150"/>
      <c r="E637" s="150"/>
      <c r="F637" s="150"/>
      <c r="G637" s="150"/>
      <c r="H637" s="150"/>
      <c r="I637" s="150"/>
      <c r="J637" s="150"/>
    </row>
  </sheetData>
  <mergeCells count="511">
    <mergeCell ref="E9:F9"/>
    <mergeCell ref="A3:J3"/>
    <mergeCell ref="F4:G4"/>
    <mergeCell ref="E5:F5"/>
    <mergeCell ref="E6:F6"/>
    <mergeCell ref="E7:F7"/>
    <mergeCell ref="E8:F8"/>
    <mergeCell ref="C1:D1"/>
    <mergeCell ref="E1:F1"/>
    <mergeCell ref="G1:H1"/>
    <mergeCell ref="I1:J1"/>
    <mergeCell ref="C2:D2"/>
    <mergeCell ref="E2:F2"/>
    <mergeCell ref="G2:H2"/>
    <mergeCell ref="I2:J2"/>
    <mergeCell ref="E16:F16"/>
    <mergeCell ref="E17:F17"/>
    <mergeCell ref="E20:F20"/>
    <mergeCell ref="E21:F21"/>
    <mergeCell ref="E22:F22"/>
    <mergeCell ref="E10:F10"/>
    <mergeCell ref="E11:F11"/>
    <mergeCell ref="E12:F12"/>
    <mergeCell ref="E15:F15"/>
    <mergeCell ref="E30:F30"/>
    <mergeCell ref="E31:F31"/>
    <mergeCell ref="E32:F32"/>
    <mergeCell ref="E33:F33"/>
    <mergeCell ref="E34:F34"/>
    <mergeCell ref="E23:F23"/>
    <mergeCell ref="E24:F24"/>
    <mergeCell ref="E27:F27"/>
    <mergeCell ref="E28:F28"/>
    <mergeCell ref="E29:F29"/>
    <mergeCell ref="E44:F44"/>
    <mergeCell ref="E45:F45"/>
    <mergeCell ref="E46:F46"/>
    <mergeCell ref="E47:F47"/>
    <mergeCell ref="E48:F48"/>
    <mergeCell ref="E49:F49"/>
    <mergeCell ref="F37:G37"/>
    <mergeCell ref="E38:F38"/>
    <mergeCell ref="E39:F39"/>
    <mergeCell ref="E40:F40"/>
    <mergeCell ref="E41:F41"/>
    <mergeCell ref="E57:F57"/>
    <mergeCell ref="E58:F58"/>
    <mergeCell ref="E59:F59"/>
    <mergeCell ref="E60:F60"/>
    <mergeCell ref="E61:F61"/>
    <mergeCell ref="E62:F62"/>
    <mergeCell ref="E50:F50"/>
    <mergeCell ref="E53:F53"/>
    <mergeCell ref="E54:F54"/>
    <mergeCell ref="E55:F55"/>
    <mergeCell ref="E56:F56"/>
    <mergeCell ref="E70:F70"/>
    <mergeCell ref="E71:F71"/>
    <mergeCell ref="E74:F74"/>
    <mergeCell ref="E75:F75"/>
    <mergeCell ref="E76:F76"/>
    <mergeCell ref="E63:F63"/>
    <mergeCell ref="E64:F64"/>
    <mergeCell ref="E67:F67"/>
    <mergeCell ref="E68:F68"/>
    <mergeCell ref="E69:F69"/>
    <mergeCell ref="E84:F84"/>
    <mergeCell ref="E85:F85"/>
    <mergeCell ref="E86:F86"/>
    <mergeCell ref="E87:F87"/>
    <mergeCell ref="E88:F88"/>
    <mergeCell ref="E89:F89"/>
    <mergeCell ref="E77:F77"/>
    <mergeCell ref="E78:F78"/>
    <mergeCell ref="E79:F79"/>
    <mergeCell ref="E80:F80"/>
    <mergeCell ref="E83:F83"/>
    <mergeCell ref="E97:F97"/>
    <mergeCell ref="E98:F98"/>
    <mergeCell ref="E99:F99"/>
    <mergeCell ref="E100:F100"/>
    <mergeCell ref="E101:F101"/>
    <mergeCell ref="E102:F102"/>
    <mergeCell ref="E90:F90"/>
    <mergeCell ref="E91:F91"/>
    <mergeCell ref="E92:F92"/>
    <mergeCell ref="E93:F93"/>
    <mergeCell ref="E94:F94"/>
    <mergeCell ref="E110:F110"/>
    <mergeCell ref="E111:F111"/>
    <mergeCell ref="E112:F112"/>
    <mergeCell ref="E113:F113"/>
    <mergeCell ref="E114:F114"/>
    <mergeCell ref="E115:F115"/>
    <mergeCell ref="E103:F103"/>
    <mergeCell ref="F106:G106"/>
    <mergeCell ref="E107:F107"/>
    <mergeCell ref="E108:F108"/>
    <mergeCell ref="E109:F109"/>
    <mergeCell ref="E123:F123"/>
    <mergeCell ref="E124:F124"/>
    <mergeCell ref="E125:F125"/>
    <mergeCell ref="E126:F126"/>
    <mergeCell ref="E127:F127"/>
    <mergeCell ref="E128:F128"/>
    <mergeCell ref="E116:F116"/>
    <mergeCell ref="E119:F119"/>
    <mergeCell ref="E120:F120"/>
    <mergeCell ref="E121:F121"/>
    <mergeCell ref="E122:F122"/>
    <mergeCell ref="E136:F136"/>
    <mergeCell ref="E137:F137"/>
    <mergeCell ref="E138:F138"/>
    <mergeCell ref="E139:F139"/>
    <mergeCell ref="E142:F142"/>
    <mergeCell ref="E129:F129"/>
    <mergeCell ref="E130:F130"/>
    <mergeCell ref="E133:F133"/>
    <mergeCell ref="E134:F134"/>
    <mergeCell ref="E135:F135"/>
    <mergeCell ref="E149:F149"/>
    <mergeCell ref="E152:F152"/>
    <mergeCell ref="E153:F153"/>
    <mergeCell ref="E154:F154"/>
    <mergeCell ref="E155:F155"/>
    <mergeCell ref="E143:F143"/>
    <mergeCell ref="E144:F144"/>
    <mergeCell ref="E145:F145"/>
    <mergeCell ref="E146:F146"/>
    <mergeCell ref="E147:F147"/>
    <mergeCell ref="E148:F148"/>
    <mergeCell ref="E163:F163"/>
    <mergeCell ref="E164:F164"/>
    <mergeCell ref="E165:F165"/>
    <mergeCell ref="E166:F166"/>
    <mergeCell ref="E167:F167"/>
    <mergeCell ref="E168:F168"/>
    <mergeCell ref="E156:F156"/>
    <mergeCell ref="E157:F157"/>
    <mergeCell ref="E158:F158"/>
    <mergeCell ref="E159:F159"/>
    <mergeCell ref="F162:G162"/>
    <mergeCell ref="E176:F176"/>
    <mergeCell ref="E177:F177"/>
    <mergeCell ref="E178:F178"/>
    <mergeCell ref="F181:G181"/>
    <mergeCell ref="E182:F182"/>
    <mergeCell ref="E171:F171"/>
    <mergeCell ref="E172:F172"/>
    <mergeCell ref="E173:F173"/>
    <mergeCell ref="E174:F174"/>
    <mergeCell ref="E175:F175"/>
    <mergeCell ref="E190:F190"/>
    <mergeCell ref="E191:F191"/>
    <mergeCell ref="E192:F192"/>
    <mergeCell ref="E193:F193"/>
    <mergeCell ref="E196:F196"/>
    <mergeCell ref="E183:F183"/>
    <mergeCell ref="E184:F184"/>
    <mergeCell ref="E185:F185"/>
    <mergeCell ref="E186:F186"/>
    <mergeCell ref="E189:F189"/>
    <mergeCell ref="F205:G205"/>
    <mergeCell ref="E206:F206"/>
    <mergeCell ref="E207:F207"/>
    <mergeCell ref="E208:F208"/>
    <mergeCell ref="E209:F209"/>
    <mergeCell ref="E197:F197"/>
    <mergeCell ref="E198:F198"/>
    <mergeCell ref="E199:F199"/>
    <mergeCell ref="E200:F200"/>
    <mergeCell ref="E201:F201"/>
    <mergeCell ref="E202:F202"/>
    <mergeCell ref="E217:F217"/>
    <mergeCell ref="E218:F218"/>
    <mergeCell ref="E219:F219"/>
    <mergeCell ref="E220:F220"/>
    <mergeCell ref="E223:F223"/>
    <mergeCell ref="E210:F210"/>
    <mergeCell ref="E211:F211"/>
    <mergeCell ref="E214:F214"/>
    <mergeCell ref="E215:F215"/>
    <mergeCell ref="E216:F216"/>
    <mergeCell ref="E230:F230"/>
    <mergeCell ref="E231:F231"/>
    <mergeCell ref="E232:F232"/>
    <mergeCell ref="E233:F233"/>
    <mergeCell ref="F236:G236"/>
    <mergeCell ref="E224:F224"/>
    <mergeCell ref="E225:F225"/>
    <mergeCell ref="E226:F226"/>
    <mergeCell ref="E227:F227"/>
    <mergeCell ref="E228:F228"/>
    <mergeCell ref="E229:F229"/>
    <mergeCell ref="E244:F244"/>
    <mergeCell ref="E245:F245"/>
    <mergeCell ref="E246:F246"/>
    <mergeCell ref="E247:F247"/>
    <mergeCell ref="E248:F248"/>
    <mergeCell ref="E237:F237"/>
    <mergeCell ref="E238:F238"/>
    <mergeCell ref="E239:F239"/>
    <mergeCell ref="E240:F240"/>
    <mergeCell ref="E243:F243"/>
    <mergeCell ref="E259:F259"/>
    <mergeCell ref="E260:F260"/>
    <mergeCell ref="E261:F261"/>
    <mergeCell ref="E262:F262"/>
    <mergeCell ref="E263:F263"/>
    <mergeCell ref="E251:F251"/>
    <mergeCell ref="E252:F252"/>
    <mergeCell ref="E253:F253"/>
    <mergeCell ref="E254:F254"/>
    <mergeCell ref="E255:F255"/>
    <mergeCell ref="E256:F256"/>
    <mergeCell ref="E273:F273"/>
    <mergeCell ref="E274:F274"/>
    <mergeCell ref="E275:F275"/>
    <mergeCell ref="E276:F276"/>
    <mergeCell ref="E277:F277"/>
    <mergeCell ref="E266:F266"/>
    <mergeCell ref="E267:F267"/>
    <mergeCell ref="E268:F268"/>
    <mergeCell ref="E269:F269"/>
    <mergeCell ref="E270:F270"/>
    <mergeCell ref="E287:F287"/>
    <mergeCell ref="E288:F288"/>
    <mergeCell ref="E289:F289"/>
    <mergeCell ref="E290:F290"/>
    <mergeCell ref="E291:F291"/>
    <mergeCell ref="E280:F280"/>
    <mergeCell ref="E281:F281"/>
    <mergeCell ref="E282:F282"/>
    <mergeCell ref="E283:F283"/>
    <mergeCell ref="E284:F284"/>
    <mergeCell ref="F301:G301"/>
    <mergeCell ref="E302:F302"/>
    <mergeCell ref="E303:F303"/>
    <mergeCell ref="E304:F304"/>
    <mergeCell ref="E305:F305"/>
    <mergeCell ref="E294:F294"/>
    <mergeCell ref="E295:F295"/>
    <mergeCell ref="E296:F296"/>
    <mergeCell ref="E297:F297"/>
    <mergeCell ref="E298:F298"/>
    <mergeCell ref="E313:F313"/>
    <mergeCell ref="E314:F314"/>
    <mergeCell ref="E315:F315"/>
    <mergeCell ref="E316:F316"/>
    <mergeCell ref="E317:F317"/>
    <mergeCell ref="E318:F318"/>
    <mergeCell ref="E306:F306"/>
    <mergeCell ref="E307:F307"/>
    <mergeCell ref="E308:F308"/>
    <mergeCell ref="E309:F309"/>
    <mergeCell ref="E312:F312"/>
    <mergeCell ref="E326:F326"/>
    <mergeCell ref="E327:F327"/>
    <mergeCell ref="E328:F328"/>
    <mergeCell ref="E329:F329"/>
    <mergeCell ref="E330:F330"/>
    <mergeCell ref="E331:F331"/>
    <mergeCell ref="E319:F319"/>
    <mergeCell ref="E322:F322"/>
    <mergeCell ref="E323:F323"/>
    <mergeCell ref="E324:F324"/>
    <mergeCell ref="E325:F325"/>
    <mergeCell ref="E339:F339"/>
    <mergeCell ref="E340:F340"/>
    <mergeCell ref="E343:F343"/>
    <mergeCell ref="E344:F344"/>
    <mergeCell ref="E345:F345"/>
    <mergeCell ref="E332:F332"/>
    <mergeCell ref="E335:F335"/>
    <mergeCell ref="E336:F336"/>
    <mergeCell ref="E337:F337"/>
    <mergeCell ref="E338:F338"/>
    <mergeCell ref="E353:F353"/>
    <mergeCell ref="E354:F354"/>
    <mergeCell ref="E355:F355"/>
    <mergeCell ref="E356:F356"/>
    <mergeCell ref="E357:F357"/>
    <mergeCell ref="E358:F358"/>
    <mergeCell ref="E346:F346"/>
    <mergeCell ref="E347:F347"/>
    <mergeCell ref="E348:F348"/>
    <mergeCell ref="E349:F349"/>
    <mergeCell ref="E350:F350"/>
    <mergeCell ref="E366:F366"/>
    <mergeCell ref="E367:F367"/>
    <mergeCell ref="E368:F368"/>
    <mergeCell ref="E369:F369"/>
    <mergeCell ref="E370:F370"/>
    <mergeCell ref="E371:F371"/>
    <mergeCell ref="E359:F359"/>
    <mergeCell ref="E360:F360"/>
    <mergeCell ref="E361:F361"/>
    <mergeCell ref="E362:F362"/>
    <mergeCell ref="E363:F363"/>
    <mergeCell ref="E379:F379"/>
    <mergeCell ref="F382:G382"/>
    <mergeCell ref="E383:F383"/>
    <mergeCell ref="E384:F384"/>
    <mergeCell ref="E385:F385"/>
    <mergeCell ref="E374:F374"/>
    <mergeCell ref="E375:F375"/>
    <mergeCell ref="E376:F376"/>
    <mergeCell ref="E377:F377"/>
    <mergeCell ref="E378:F378"/>
    <mergeCell ref="E395:F395"/>
    <mergeCell ref="E396:F396"/>
    <mergeCell ref="E397:F397"/>
    <mergeCell ref="E398:F398"/>
    <mergeCell ref="E399:F399"/>
    <mergeCell ref="E386:F386"/>
    <mergeCell ref="E389:F389"/>
    <mergeCell ref="E390:F390"/>
    <mergeCell ref="E391:F391"/>
    <mergeCell ref="E392:F392"/>
    <mergeCell ref="E407:F407"/>
    <mergeCell ref="E408:F408"/>
    <mergeCell ref="E409:F409"/>
    <mergeCell ref="E410:F410"/>
    <mergeCell ref="E413:F413"/>
    <mergeCell ref="E400:F400"/>
    <mergeCell ref="E403:F403"/>
    <mergeCell ref="E404:F404"/>
    <mergeCell ref="E405:F405"/>
    <mergeCell ref="E406:F406"/>
    <mergeCell ref="E421:F421"/>
    <mergeCell ref="E422:F422"/>
    <mergeCell ref="E423:F423"/>
    <mergeCell ref="E424:F424"/>
    <mergeCell ref="E425:F425"/>
    <mergeCell ref="E426:F426"/>
    <mergeCell ref="E414:F414"/>
    <mergeCell ref="E415:F415"/>
    <mergeCell ref="E416:F416"/>
    <mergeCell ref="E417:F417"/>
    <mergeCell ref="E418:F418"/>
    <mergeCell ref="E434:F434"/>
    <mergeCell ref="E435:F435"/>
    <mergeCell ref="E438:F438"/>
    <mergeCell ref="E439:F439"/>
    <mergeCell ref="E440:F440"/>
    <mergeCell ref="E429:F429"/>
    <mergeCell ref="E430:F430"/>
    <mergeCell ref="E431:F431"/>
    <mergeCell ref="E432:F432"/>
    <mergeCell ref="E433:F433"/>
    <mergeCell ref="E448:F448"/>
    <mergeCell ref="E449:F449"/>
    <mergeCell ref="E450:F450"/>
    <mergeCell ref="E451:F451"/>
    <mergeCell ref="E452:F452"/>
    <mergeCell ref="E453:F453"/>
    <mergeCell ref="E441:F441"/>
    <mergeCell ref="E442:F442"/>
    <mergeCell ref="E443:F443"/>
    <mergeCell ref="E444:F444"/>
    <mergeCell ref="E447:F447"/>
    <mergeCell ref="E461:F461"/>
    <mergeCell ref="E462:F462"/>
    <mergeCell ref="E463:F463"/>
    <mergeCell ref="F466:G466"/>
    <mergeCell ref="E467:F467"/>
    <mergeCell ref="E454:F454"/>
    <mergeCell ref="E457:F457"/>
    <mergeCell ref="E458:F458"/>
    <mergeCell ref="E459:F459"/>
    <mergeCell ref="E460:F460"/>
    <mergeCell ref="E474:F474"/>
    <mergeCell ref="E475:F475"/>
    <mergeCell ref="E476:F476"/>
    <mergeCell ref="E477:F477"/>
    <mergeCell ref="E478:F478"/>
    <mergeCell ref="E468:F468"/>
    <mergeCell ref="E469:F469"/>
    <mergeCell ref="E470:F470"/>
    <mergeCell ref="E471:F471"/>
    <mergeCell ref="E472:F472"/>
    <mergeCell ref="E473:F473"/>
    <mergeCell ref="E487:F487"/>
    <mergeCell ref="E490:F490"/>
    <mergeCell ref="E491:F491"/>
    <mergeCell ref="E492:F492"/>
    <mergeCell ref="E493:F493"/>
    <mergeCell ref="E481:F481"/>
    <mergeCell ref="E482:F482"/>
    <mergeCell ref="E483:F483"/>
    <mergeCell ref="E484:F484"/>
    <mergeCell ref="E485:F485"/>
    <mergeCell ref="E486:F486"/>
    <mergeCell ref="E501:F501"/>
    <mergeCell ref="E502:F502"/>
    <mergeCell ref="E503:F503"/>
    <mergeCell ref="E504:F504"/>
    <mergeCell ref="E505:F505"/>
    <mergeCell ref="E506:F506"/>
    <mergeCell ref="E494:F494"/>
    <mergeCell ref="E495:F495"/>
    <mergeCell ref="E496:F496"/>
    <mergeCell ref="E499:F499"/>
    <mergeCell ref="E500:F500"/>
    <mergeCell ref="E514:F514"/>
    <mergeCell ref="E515:F515"/>
    <mergeCell ref="E516:F516"/>
    <mergeCell ref="E519:F519"/>
    <mergeCell ref="E520:F520"/>
    <mergeCell ref="E509:F509"/>
    <mergeCell ref="E510:F510"/>
    <mergeCell ref="E511:F511"/>
    <mergeCell ref="E512:F512"/>
    <mergeCell ref="E513:F513"/>
    <mergeCell ref="F529:G529"/>
    <mergeCell ref="E530:F530"/>
    <mergeCell ref="E531:F531"/>
    <mergeCell ref="E532:F532"/>
    <mergeCell ref="E533:F533"/>
    <mergeCell ref="E521:F521"/>
    <mergeCell ref="E522:F522"/>
    <mergeCell ref="E523:F523"/>
    <mergeCell ref="E524:F524"/>
    <mergeCell ref="E525:F525"/>
    <mergeCell ref="E526:F526"/>
    <mergeCell ref="E541:F541"/>
    <mergeCell ref="E542:F542"/>
    <mergeCell ref="E543:F543"/>
    <mergeCell ref="E546:F546"/>
    <mergeCell ref="E547:F547"/>
    <mergeCell ref="E534:F534"/>
    <mergeCell ref="E535:F535"/>
    <mergeCell ref="E538:F538"/>
    <mergeCell ref="E539:F539"/>
    <mergeCell ref="E540:F540"/>
    <mergeCell ref="E555:F555"/>
    <mergeCell ref="E556:F556"/>
    <mergeCell ref="E557:F557"/>
    <mergeCell ref="E558:F558"/>
    <mergeCell ref="E559:F559"/>
    <mergeCell ref="E548:F548"/>
    <mergeCell ref="E549:F549"/>
    <mergeCell ref="E550:F550"/>
    <mergeCell ref="E551:F551"/>
    <mergeCell ref="E554:F554"/>
    <mergeCell ref="E569:F569"/>
    <mergeCell ref="E570:F570"/>
    <mergeCell ref="E571:F571"/>
    <mergeCell ref="E572:F572"/>
    <mergeCell ref="E573:F573"/>
    <mergeCell ref="E574:F574"/>
    <mergeCell ref="E562:F562"/>
    <mergeCell ref="E563:F563"/>
    <mergeCell ref="E564:F564"/>
    <mergeCell ref="E565:F565"/>
    <mergeCell ref="E566:F566"/>
    <mergeCell ref="E582:F582"/>
    <mergeCell ref="E583:F583"/>
    <mergeCell ref="E584:F584"/>
    <mergeCell ref="E585:F585"/>
    <mergeCell ref="E586:F586"/>
    <mergeCell ref="E587:F587"/>
    <mergeCell ref="E575:F575"/>
    <mergeCell ref="E576:F576"/>
    <mergeCell ref="F579:G579"/>
    <mergeCell ref="E580:F580"/>
    <mergeCell ref="E581:F581"/>
    <mergeCell ref="E595:F595"/>
    <mergeCell ref="E596:F596"/>
    <mergeCell ref="E597:F597"/>
    <mergeCell ref="E598:F598"/>
    <mergeCell ref="E599:F599"/>
    <mergeCell ref="E588:F588"/>
    <mergeCell ref="E589:F589"/>
    <mergeCell ref="E592:F592"/>
    <mergeCell ref="E593:F593"/>
    <mergeCell ref="E594:F594"/>
    <mergeCell ref="E608:F608"/>
    <mergeCell ref="E609:F609"/>
    <mergeCell ref="E610:F610"/>
    <mergeCell ref="E613:F613"/>
    <mergeCell ref="E614:F614"/>
    <mergeCell ref="E602:F602"/>
    <mergeCell ref="E603:F603"/>
    <mergeCell ref="E604:F604"/>
    <mergeCell ref="E605:F605"/>
    <mergeCell ref="E606:F606"/>
    <mergeCell ref="E607:F607"/>
    <mergeCell ref="E621:F621"/>
    <mergeCell ref="F624:G624"/>
    <mergeCell ref="E625:F625"/>
    <mergeCell ref="E626:F626"/>
    <mergeCell ref="E627:F627"/>
    <mergeCell ref="E615:F615"/>
    <mergeCell ref="E616:F616"/>
    <mergeCell ref="E617:F617"/>
    <mergeCell ref="E618:F618"/>
    <mergeCell ref="E619:F619"/>
    <mergeCell ref="E620:F620"/>
    <mergeCell ref="A637:J637"/>
    <mergeCell ref="A634:C634"/>
    <mergeCell ref="F634:G634"/>
    <mergeCell ref="H634:J634"/>
    <mergeCell ref="A635:C635"/>
    <mergeCell ref="F635:G635"/>
    <mergeCell ref="H635:J635"/>
    <mergeCell ref="E628:F628"/>
    <mergeCell ref="E629:F629"/>
    <mergeCell ref="A633:C633"/>
    <mergeCell ref="F633:G633"/>
    <mergeCell ref="H633:J633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7570-2C6E-4C9B-A0F4-3E41642A7C9D}">
  <dimension ref="B1:Q391"/>
  <sheetViews>
    <sheetView topLeftCell="A360" workbookViewId="0">
      <selection activeCell="D6" sqref="D6"/>
    </sheetView>
  </sheetViews>
  <sheetFormatPr defaultRowHeight="13.8"/>
  <cols>
    <col min="2" max="8" width="9.59765625" customWidth="1"/>
    <col min="9" max="9" width="10.796875" customWidth="1"/>
    <col min="10" max="11" width="9.59765625" customWidth="1"/>
    <col min="12" max="12" width="12.296875" customWidth="1"/>
  </cols>
  <sheetData>
    <row r="1" spans="2:17" ht="14.4" thickBot="1">
      <c r="M1" s="124"/>
    </row>
    <row r="2" spans="2:17" ht="14.4">
      <c r="B2" s="180" t="s">
        <v>97</v>
      </c>
      <c r="C2" s="181"/>
      <c r="D2" s="186" t="str">
        <f>'[2]PLANILHA ORÇAMENTÁRIA'!E2</f>
        <v>PREFEITURA MUNICIPAL DE ITAMBÉ</v>
      </c>
      <c r="E2" s="187"/>
      <c r="F2" s="187"/>
      <c r="G2" s="187"/>
      <c r="H2" s="187"/>
      <c r="I2" s="188"/>
      <c r="J2" s="189"/>
      <c r="K2" s="190"/>
      <c r="L2" s="191"/>
      <c r="M2" s="124"/>
    </row>
    <row r="3" spans="2:17" ht="14.4">
      <c r="B3" s="182"/>
      <c r="C3" s="183"/>
      <c r="D3" s="198" t="str">
        <f>'[2]PLANILHA ORÇAMENTÁRIA'!E3</f>
        <v>SECRETARIA DE INFRAESTRUTURA</v>
      </c>
      <c r="E3" s="199"/>
      <c r="F3" s="199"/>
      <c r="G3" s="199"/>
      <c r="H3" s="199"/>
      <c r="I3" s="200"/>
      <c r="J3" s="192"/>
      <c r="K3" s="193"/>
      <c r="L3" s="194"/>
      <c r="M3" s="124"/>
    </row>
    <row r="4" spans="2:17" ht="13.8" customHeight="1">
      <c r="B4" s="182"/>
      <c r="C4" s="183"/>
      <c r="D4" s="201" t="str">
        <f>JANDUÍ!D2</f>
        <v>REFORMA E AMPLIAÇÃO DA ESCOLA JANDUIR JOSÉ DE OLIVEIRA</v>
      </c>
      <c r="E4" s="202"/>
      <c r="F4" s="202"/>
      <c r="G4" s="202"/>
      <c r="H4" s="202"/>
      <c r="I4" s="203"/>
      <c r="J4" s="192"/>
      <c r="K4" s="193"/>
      <c r="L4" s="194"/>
      <c r="M4" s="124"/>
    </row>
    <row r="5" spans="2:17" ht="26.4" customHeight="1" thickBot="1">
      <c r="B5" s="184"/>
      <c r="C5" s="185"/>
      <c r="D5" s="204"/>
      <c r="E5" s="205"/>
      <c r="F5" s="205"/>
      <c r="G5" s="205"/>
      <c r="H5" s="205"/>
      <c r="I5" s="206"/>
      <c r="J5" s="195"/>
      <c r="K5" s="196"/>
      <c r="L5" s="197"/>
      <c r="M5" s="124"/>
    </row>
    <row r="6" spans="2:17">
      <c r="B6" s="17"/>
      <c r="C6" s="17"/>
      <c r="D6" s="17"/>
      <c r="E6" s="17"/>
      <c r="F6" s="17"/>
      <c r="G6" s="17"/>
      <c r="H6" s="17"/>
      <c r="I6" s="17"/>
      <c r="J6" s="18"/>
      <c r="K6" s="17"/>
      <c r="L6" s="17"/>
    </row>
    <row r="7" spans="2:17">
      <c r="B7" s="24" t="s">
        <v>99</v>
      </c>
      <c r="C7" s="179" t="str">
        <f>'[2]PLANILHA ORÇAMENTÁRIA'!E11</f>
        <v>SERVIÇOS PRELIMINARES</v>
      </c>
      <c r="D7" s="179"/>
      <c r="E7" s="179"/>
      <c r="F7" s="179"/>
      <c r="G7" s="179"/>
      <c r="H7" s="179"/>
      <c r="I7" s="179"/>
      <c r="J7" s="179"/>
      <c r="K7" s="25"/>
      <c r="L7" s="25"/>
      <c r="M7" s="124"/>
    </row>
    <row r="8" spans="2:17">
      <c r="B8" s="19" t="s">
        <v>100</v>
      </c>
      <c r="C8" s="177" t="s">
        <v>756</v>
      </c>
      <c r="D8" s="177"/>
      <c r="E8" s="177"/>
      <c r="F8" s="177"/>
      <c r="G8" s="177"/>
      <c r="H8" s="177"/>
      <c r="I8" s="177"/>
      <c r="J8" s="177"/>
      <c r="K8" s="26" t="s">
        <v>106</v>
      </c>
      <c r="L8" s="27">
        <f>K11</f>
        <v>6</v>
      </c>
    </row>
    <row r="9" spans="2:17">
      <c r="B9" s="21"/>
      <c r="C9" s="167" t="s">
        <v>101</v>
      </c>
      <c r="D9" s="167"/>
      <c r="E9" s="167"/>
      <c r="F9" s="29" t="s">
        <v>102</v>
      </c>
      <c r="G9" s="28" t="s">
        <v>103</v>
      </c>
      <c r="H9" s="29" t="s">
        <v>104</v>
      </c>
      <c r="I9" s="28" t="s">
        <v>105</v>
      </c>
      <c r="J9" s="28" t="s">
        <v>115</v>
      </c>
      <c r="K9" s="30" t="s">
        <v>107</v>
      </c>
      <c r="L9" s="23"/>
      <c r="M9" s="124"/>
    </row>
    <row r="10" spans="2:17">
      <c r="B10" s="21"/>
      <c r="C10" s="165" t="s">
        <v>1063</v>
      </c>
      <c r="D10" s="165"/>
      <c r="E10" s="165"/>
      <c r="F10" s="31">
        <v>1</v>
      </c>
      <c r="G10" s="31">
        <v>3</v>
      </c>
      <c r="H10" s="31"/>
      <c r="I10" s="31">
        <v>2</v>
      </c>
      <c r="J10" s="31"/>
      <c r="K10" s="32">
        <f>I10*G10</f>
        <v>6</v>
      </c>
      <c r="L10" s="23"/>
      <c r="M10" s="124"/>
    </row>
    <row r="11" spans="2:17">
      <c r="B11" s="21"/>
      <c r="C11" s="166" t="s">
        <v>110</v>
      </c>
      <c r="D11" s="166"/>
      <c r="E11" s="166"/>
      <c r="F11" s="166"/>
      <c r="G11" s="166"/>
      <c r="H11" s="166"/>
      <c r="I11" s="166"/>
      <c r="J11" s="166"/>
      <c r="K11" s="33">
        <f>SUM(K10:K10)</f>
        <v>6</v>
      </c>
      <c r="L11" s="23"/>
      <c r="M11" s="136"/>
    </row>
    <row r="12" spans="2:17">
      <c r="M12" s="124"/>
    </row>
    <row r="13" spans="2:17">
      <c r="B13" s="19" t="s">
        <v>459</v>
      </c>
      <c r="C13" s="177" t="s">
        <v>299</v>
      </c>
      <c r="D13" s="177"/>
      <c r="E13" s="177"/>
      <c r="F13" s="177"/>
      <c r="G13" s="177"/>
      <c r="H13" s="177"/>
      <c r="I13" s="177"/>
      <c r="J13" s="177"/>
      <c r="K13" s="26" t="s">
        <v>1064</v>
      </c>
      <c r="L13" s="27">
        <f>K17</f>
        <v>21.372299999999996</v>
      </c>
      <c r="M13" s="124"/>
    </row>
    <row r="14" spans="2:17" ht="18.600000000000001">
      <c r="B14" s="21"/>
      <c r="C14" s="167" t="s">
        <v>101</v>
      </c>
      <c r="D14" s="167"/>
      <c r="E14" s="167"/>
      <c r="F14" s="29" t="s">
        <v>102</v>
      </c>
      <c r="G14" s="28" t="s">
        <v>103</v>
      </c>
      <c r="H14" s="29" t="s">
        <v>104</v>
      </c>
      <c r="I14" s="28" t="s">
        <v>105</v>
      </c>
      <c r="J14" s="28" t="s">
        <v>106</v>
      </c>
      <c r="K14" s="30" t="s">
        <v>107</v>
      </c>
      <c r="L14" s="23"/>
      <c r="M14" s="124"/>
      <c r="N14" s="135"/>
      <c r="O14" s="135"/>
      <c r="P14" s="135"/>
      <c r="Q14" s="124"/>
    </row>
    <row r="15" spans="2:17">
      <c r="B15" s="21"/>
      <c r="C15" s="178" t="s">
        <v>893</v>
      </c>
      <c r="D15" s="217"/>
      <c r="E15" s="218"/>
      <c r="F15" s="31">
        <v>1</v>
      </c>
      <c r="G15" s="38">
        <v>0.3</v>
      </c>
      <c r="H15" s="37">
        <v>0.3</v>
      </c>
      <c r="I15" s="38">
        <v>197.47</v>
      </c>
      <c r="J15" s="38"/>
      <c r="K15" s="39">
        <f>I15*H15*G15*F15</f>
        <v>17.772299999999998</v>
      </c>
      <c r="L15" s="23"/>
      <c r="M15" s="124"/>
    </row>
    <row r="16" spans="2:17">
      <c r="B16" s="21"/>
      <c r="C16" s="165" t="s">
        <v>894</v>
      </c>
      <c r="D16" s="165"/>
      <c r="E16" s="165"/>
      <c r="F16" s="31">
        <v>1</v>
      </c>
      <c r="G16" s="31">
        <v>0.3</v>
      </c>
      <c r="H16" s="31">
        <v>0.3</v>
      </c>
      <c r="I16" s="31">
        <v>40</v>
      </c>
      <c r="J16" s="31"/>
      <c r="K16" s="39">
        <f>I16*H16*G16*F16</f>
        <v>3.5999999999999996</v>
      </c>
      <c r="L16" s="23"/>
      <c r="M16" s="124"/>
    </row>
    <row r="17" spans="2:13">
      <c r="B17" s="21"/>
      <c r="C17" s="166" t="s">
        <v>110</v>
      </c>
      <c r="D17" s="166"/>
      <c r="E17" s="166"/>
      <c r="F17" s="166"/>
      <c r="G17" s="166"/>
      <c r="H17" s="166"/>
      <c r="I17" s="166"/>
      <c r="J17" s="166"/>
      <c r="K17" s="33">
        <f>SUM(K15:K16)</f>
        <v>21.372299999999996</v>
      </c>
      <c r="L17" s="23"/>
      <c r="M17" s="124"/>
    </row>
    <row r="18" spans="2:13">
      <c r="M18" s="124"/>
    </row>
    <row r="19" spans="2:13">
      <c r="B19" s="19" t="s">
        <v>711</v>
      </c>
      <c r="C19" s="177" t="s">
        <v>302</v>
      </c>
      <c r="D19" s="177"/>
      <c r="E19" s="177"/>
      <c r="F19" s="177"/>
      <c r="G19" s="177"/>
      <c r="H19" s="177"/>
      <c r="I19" s="177"/>
      <c r="J19" s="177"/>
      <c r="K19" s="26" t="s">
        <v>1064</v>
      </c>
      <c r="L19" s="27">
        <f>K23</f>
        <v>4.7494000000000005</v>
      </c>
      <c r="M19" s="124"/>
    </row>
    <row r="20" spans="2:13">
      <c r="B20" s="21"/>
      <c r="C20" s="167" t="s">
        <v>101</v>
      </c>
      <c r="D20" s="167"/>
      <c r="E20" s="167"/>
      <c r="F20" s="29" t="s">
        <v>102</v>
      </c>
      <c r="G20" s="28" t="s">
        <v>103</v>
      </c>
      <c r="H20" s="29" t="s">
        <v>104</v>
      </c>
      <c r="I20" s="28" t="s">
        <v>105</v>
      </c>
      <c r="J20" s="28" t="s">
        <v>106</v>
      </c>
      <c r="K20" s="30" t="s">
        <v>107</v>
      </c>
      <c r="L20" s="23"/>
      <c r="M20" s="124"/>
    </row>
    <row r="21" spans="2:13">
      <c r="B21" s="21"/>
      <c r="C21" s="178" t="s">
        <v>893</v>
      </c>
      <c r="D21" s="217"/>
      <c r="E21" s="218"/>
      <c r="F21" s="31">
        <v>1</v>
      </c>
      <c r="G21" s="38">
        <v>0.1</v>
      </c>
      <c r="H21" s="37">
        <v>0.2</v>
      </c>
      <c r="I21" s="38">
        <v>197.47</v>
      </c>
      <c r="J21" s="38"/>
      <c r="K21" s="39">
        <f>I21*H21*G21*F21</f>
        <v>3.9494000000000002</v>
      </c>
      <c r="L21" s="23"/>
      <c r="M21" s="124"/>
    </row>
    <row r="22" spans="2:13">
      <c r="B22" s="21"/>
      <c r="C22" s="165" t="s">
        <v>894</v>
      </c>
      <c r="D22" s="165"/>
      <c r="E22" s="165"/>
      <c r="F22" s="31">
        <v>1</v>
      </c>
      <c r="G22" s="31">
        <v>0.1</v>
      </c>
      <c r="H22" s="31">
        <v>0.2</v>
      </c>
      <c r="I22" s="31">
        <v>40</v>
      </c>
      <c r="J22" s="31"/>
      <c r="K22" s="39">
        <f>I22*H22*G22*F22</f>
        <v>0.8</v>
      </c>
      <c r="L22" s="23"/>
      <c r="M22" s="124"/>
    </row>
    <row r="23" spans="2:13">
      <c r="B23" s="21"/>
      <c r="C23" s="166" t="s">
        <v>110</v>
      </c>
      <c r="D23" s="166"/>
      <c r="E23" s="166"/>
      <c r="F23" s="166"/>
      <c r="G23" s="166"/>
      <c r="H23" s="166"/>
      <c r="I23" s="166"/>
      <c r="J23" s="166"/>
      <c r="K23" s="33">
        <f>SUM(K21:K22)</f>
        <v>4.7494000000000005</v>
      </c>
      <c r="L23" s="23"/>
      <c r="M23" s="124"/>
    </row>
    <row r="24" spans="2:13">
      <c r="M24" s="124"/>
    </row>
    <row r="25" spans="2:13">
      <c r="B25" s="19" t="s">
        <v>712</v>
      </c>
      <c r="C25" s="177" t="s">
        <v>482</v>
      </c>
      <c r="D25" s="177"/>
      <c r="E25" s="177"/>
      <c r="F25" s="177"/>
      <c r="G25" s="177"/>
      <c r="H25" s="177"/>
      <c r="I25" s="177"/>
      <c r="J25" s="177"/>
      <c r="K25" s="26" t="s">
        <v>1064</v>
      </c>
      <c r="L25" s="27">
        <f>K29</f>
        <v>66.371000000000009</v>
      </c>
      <c r="M25" s="124"/>
    </row>
    <row r="26" spans="2:13">
      <c r="B26" s="21"/>
      <c r="C26" s="167" t="s">
        <v>101</v>
      </c>
      <c r="D26" s="167"/>
      <c r="E26" s="167"/>
      <c r="F26" s="29" t="s">
        <v>102</v>
      </c>
      <c r="G26" s="28" t="s">
        <v>103</v>
      </c>
      <c r="H26" s="29" t="s">
        <v>104</v>
      </c>
      <c r="I26" s="28" t="s">
        <v>105</v>
      </c>
      <c r="J26" s="28" t="s">
        <v>115</v>
      </c>
      <c r="K26" s="30" t="s">
        <v>107</v>
      </c>
      <c r="L26" s="23"/>
      <c r="M26" s="124"/>
    </row>
    <row r="27" spans="2:13">
      <c r="B27" s="21"/>
      <c r="C27" s="178" t="s">
        <v>893</v>
      </c>
      <c r="D27" s="217"/>
      <c r="E27" s="218"/>
      <c r="F27" s="31"/>
      <c r="G27" s="38">
        <v>0.1</v>
      </c>
      <c r="H27" s="37"/>
      <c r="I27" s="38"/>
      <c r="J27" s="38">
        <v>623.4</v>
      </c>
      <c r="K27" s="39">
        <f>J27*G27</f>
        <v>62.34</v>
      </c>
      <c r="L27" s="23"/>
      <c r="M27" s="124"/>
    </row>
    <row r="28" spans="2:13">
      <c r="B28" s="21"/>
      <c r="C28" s="165" t="s">
        <v>724</v>
      </c>
      <c r="D28" s="165"/>
      <c r="E28" s="165"/>
      <c r="F28" s="31"/>
      <c r="G28" s="31">
        <v>0.1</v>
      </c>
      <c r="H28" s="31"/>
      <c r="I28" s="31"/>
      <c r="J28" s="31">
        <v>40.31</v>
      </c>
      <c r="K28" s="39">
        <f>J28*G28</f>
        <v>4.0310000000000006</v>
      </c>
      <c r="L28" s="23"/>
      <c r="M28" s="124"/>
    </row>
    <row r="29" spans="2:13">
      <c r="B29" s="21"/>
      <c r="C29" s="166" t="s">
        <v>110</v>
      </c>
      <c r="D29" s="166"/>
      <c r="E29" s="166"/>
      <c r="F29" s="166"/>
      <c r="G29" s="166"/>
      <c r="H29" s="166"/>
      <c r="I29" s="166"/>
      <c r="J29" s="166"/>
      <c r="K29" s="33">
        <f>SUM(K27:K28)</f>
        <v>66.371000000000009</v>
      </c>
      <c r="L29" s="23"/>
      <c r="M29" s="124"/>
    </row>
    <row r="30" spans="2:13">
      <c r="B30" s="21"/>
      <c r="C30" s="41"/>
      <c r="D30" s="41"/>
      <c r="E30" s="41"/>
      <c r="F30" s="41"/>
      <c r="G30" s="41"/>
      <c r="H30" s="41"/>
      <c r="I30" s="41"/>
      <c r="J30" s="41"/>
      <c r="K30" s="42"/>
      <c r="L30" s="23"/>
      <c r="M30" s="124"/>
    </row>
    <row r="31" spans="2:13">
      <c r="B31" s="24" t="s">
        <v>111</v>
      </c>
      <c r="C31" s="179" t="str">
        <f>'[3]JANDUIR OK'!D15</f>
        <v>INFRAESTRUTURA</v>
      </c>
      <c r="D31" s="179"/>
      <c r="E31" s="179"/>
      <c r="F31" s="179"/>
      <c r="G31" s="179"/>
      <c r="H31" s="179"/>
      <c r="I31" s="179"/>
      <c r="J31" s="179"/>
      <c r="K31" s="25"/>
      <c r="L31" s="25"/>
      <c r="M31" s="124"/>
    </row>
    <row r="32" spans="2:13">
      <c r="B32" s="19" t="s">
        <v>112</v>
      </c>
      <c r="C32" s="177" t="str">
        <f>'[3]JANDUIR OK'!D16</f>
        <v>ESCAVAÇÃO MANUAL PARA BLOCO DE COROAMENTO OU SAPATA (INCLUINDO ESCAVAÇÃO PARA COLOCAÇÃO DE FÔRMAS). AF_06/2017</v>
      </c>
      <c r="D32" s="177"/>
      <c r="E32" s="177"/>
      <c r="F32" s="177"/>
      <c r="G32" s="177"/>
      <c r="H32" s="177"/>
      <c r="I32" s="177"/>
      <c r="J32" s="177"/>
      <c r="K32" s="26" t="s">
        <v>1064</v>
      </c>
      <c r="L32" s="27">
        <f>K35</f>
        <v>39.680000000000007</v>
      </c>
      <c r="M32" s="124"/>
    </row>
    <row r="33" spans="2:13">
      <c r="B33" s="21"/>
      <c r="C33" s="167" t="s">
        <v>101</v>
      </c>
      <c r="D33" s="167"/>
      <c r="E33" s="167"/>
      <c r="F33" s="29" t="s">
        <v>102</v>
      </c>
      <c r="G33" s="28" t="s">
        <v>103</v>
      </c>
      <c r="H33" s="29" t="s">
        <v>104</v>
      </c>
      <c r="I33" s="28" t="s">
        <v>105</v>
      </c>
      <c r="J33" s="28" t="s">
        <v>115</v>
      </c>
      <c r="K33" s="30" t="s">
        <v>107</v>
      </c>
      <c r="L33" s="23"/>
      <c r="M33" s="124"/>
    </row>
    <row r="34" spans="2:13">
      <c r="B34" s="21"/>
      <c r="C34" s="165" t="s">
        <v>460</v>
      </c>
      <c r="D34" s="165"/>
      <c r="E34" s="165"/>
      <c r="F34" s="31">
        <v>62</v>
      </c>
      <c r="G34" s="31">
        <v>1</v>
      </c>
      <c r="H34" s="31">
        <v>0.8</v>
      </c>
      <c r="I34" s="31">
        <v>0.8</v>
      </c>
      <c r="J34" s="31"/>
      <c r="K34" s="32">
        <f>I34*G34*H34*F34</f>
        <v>39.680000000000007</v>
      </c>
      <c r="L34" s="23"/>
      <c r="M34" s="124"/>
    </row>
    <row r="35" spans="2:13">
      <c r="B35" s="21"/>
      <c r="C35" s="166" t="s">
        <v>110</v>
      </c>
      <c r="D35" s="166"/>
      <c r="E35" s="166"/>
      <c r="F35" s="166"/>
      <c r="G35" s="166"/>
      <c r="H35" s="166"/>
      <c r="I35" s="166"/>
      <c r="J35" s="166"/>
      <c r="K35" s="33">
        <f>SUM(K34:K34)</f>
        <v>39.680000000000007</v>
      </c>
      <c r="L35" s="23"/>
      <c r="M35" s="124"/>
    </row>
    <row r="36" spans="2:13">
      <c r="B36" s="21"/>
      <c r="C36" s="41"/>
      <c r="D36" s="41"/>
      <c r="E36" s="41"/>
      <c r="F36" s="41"/>
      <c r="G36" s="41"/>
      <c r="H36" s="41"/>
      <c r="I36" s="41"/>
      <c r="J36" s="41"/>
      <c r="K36" s="42"/>
      <c r="L36" s="23"/>
      <c r="M36" s="124"/>
    </row>
    <row r="37" spans="2:13">
      <c r="B37" s="19" t="s">
        <v>114</v>
      </c>
      <c r="C37" s="177" t="str">
        <f>'[3]JANDUIR OK'!D17</f>
        <v>ARMAÇÃO DE BLOCO, VIGA BALDRAME OU SAPATA UTILIZANDO AÇO CA-50 DE 10 MM - MONTAGEM. AF_06/2017</v>
      </c>
      <c r="D37" s="177"/>
      <c r="E37" s="177"/>
      <c r="F37" s="177"/>
      <c r="G37" s="177"/>
      <c r="H37" s="177"/>
      <c r="I37" s="177"/>
      <c r="J37" s="177"/>
      <c r="K37" s="26" t="s">
        <v>126</v>
      </c>
      <c r="L37" s="27">
        <f>K41</f>
        <v>977.00716</v>
      </c>
      <c r="M37" s="124"/>
    </row>
    <row r="38" spans="2:13">
      <c r="B38" s="21"/>
      <c r="C38" s="167" t="s">
        <v>101</v>
      </c>
      <c r="D38" s="167"/>
      <c r="E38" s="167"/>
      <c r="F38" s="29" t="s">
        <v>102</v>
      </c>
      <c r="G38" s="28" t="s">
        <v>103</v>
      </c>
      <c r="H38" s="29" t="s">
        <v>104</v>
      </c>
      <c r="I38" s="28" t="s">
        <v>105</v>
      </c>
      <c r="J38" s="28" t="s">
        <v>895</v>
      </c>
      <c r="K38" s="30" t="s">
        <v>107</v>
      </c>
      <c r="L38" s="23"/>
      <c r="M38" s="124"/>
    </row>
    <row r="39" spans="2:13">
      <c r="B39" s="21"/>
      <c r="C39" s="165" t="s">
        <v>460</v>
      </c>
      <c r="D39" s="165"/>
      <c r="E39" s="165"/>
      <c r="F39" s="31">
        <v>62</v>
      </c>
      <c r="G39" s="31"/>
      <c r="H39" s="31"/>
      <c r="I39" s="31">
        <v>12.8</v>
      </c>
      <c r="J39" s="31">
        <v>0.61699999999999999</v>
      </c>
      <c r="K39" s="32">
        <f>F39*I39*J39</f>
        <v>489.65120000000002</v>
      </c>
      <c r="L39" s="23"/>
      <c r="M39" s="124"/>
    </row>
    <row r="40" spans="2:13">
      <c r="B40" s="21"/>
      <c r="C40" s="207" t="s">
        <v>896</v>
      </c>
      <c r="D40" s="208"/>
      <c r="E40" s="209"/>
      <c r="F40" s="31">
        <v>4</v>
      </c>
      <c r="G40" s="31"/>
      <c r="H40" s="31"/>
      <c r="I40" s="31">
        <v>197.47</v>
      </c>
      <c r="J40" s="31">
        <v>0.61699999999999999</v>
      </c>
      <c r="K40" s="32">
        <f>I40*J40*F40</f>
        <v>487.35595999999998</v>
      </c>
      <c r="L40" s="23"/>
      <c r="M40" s="124"/>
    </row>
    <row r="41" spans="2:13">
      <c r="B41" s="21"/>
      <c r="C41" s="166" t="s">
        <v>110</v>
      </c>
      <c r="D41" s="166"/>
      <c r="E41" s="166"/>
      <c r="F41" s="166"/>
      <c r="G41" s="166"/>
      <c r="H41" s="166"/>
      <c r="I41" s="166"/>
      <c r="J41" s="166"/>
      <c r="K41" s="33">
        <f>SUM(K39:K40)</f>
        <v>977.00716</v>
      </c>
      <c r="L41" s="23"/>
      <c r="M41" s="124"/>
    </row>
    <row r="42" spans="2:13">
      <c r="B42" s="21"/>
      <c r="C42" s="41"/>
      <c r="D42" s="41"/>
      <c r="E42" s="41"/>
      <c r="F42" s="41"/>
      <c r="G42" s="41"/>
      <c r="H42" s="41"/>
      <c r="I42" s="41"/>
      <c r="J42" s="41"/>
      <c r="K42" s="42"/>
      <c r="L42" s="23"/>
      <c r="M42" s="124"/>
    </row>
    <row r="43" spans="2:13">
      <c r="B43" s="19" t="s">
        <v>464</v>
      </c>
      <c r="C43" s="177" t="str">
        <f>'[3]JANDUIR OK'!D18</f>
        <v>FABRICAÇÃO, MONTAGEM E DESMONTAGEM DE FÔRMA PARA SAPATA, EM MADEIRA SERRADA, E=25 MM, 4 UTILIZAÇÕES. AF_06/2017</v>
      </c>
      <c r="D43" s="177"/>
      <c r="E43" s="177"/>
      <c r="F43" s="177"/>
      <c r="G43" s="177"/>
      <c r="H43" s="177"/>
      <c r="I43" s="177"/>
      <c r="J43" s="177"/>
      <c r="K43" s="26" t="s">
        <v>106</v>
      </c>
      <c r="L43" s="27">
        <f>K46</f>
        <v>59.519999999999996</v>
      </c>
      <c r="M43" s="124"/>
    </row>
    <row r="44" spans="2:13">
      <c r="B44" s="21"/>
      <c r="C44" s="167" t="s">
        <v>101</v>
      </c>
      <c r="D44" s="167"/>
      <c r="E44" s="167"/>
      <c r="F44" s="29" t="s">
        <v>102</v>
      </c>
      <c r="G44" s="28" t="s">
        <v>103</v>
      </c>
      <c r="H44" s="29" t="s">
        <v>104</v>
      </c>
      <c r="I44" s="28" t="s">
        <v>105</v>
      </c>
      <c r="J44" s="28" t="s">
        <v>895</v>
      </c>
      <c r="K44" s="30" t="s">
        <v>107</v>
      </c>
      <c r="L44" s="23"/>
      <c r="M44" s="124"/>
    </row>
    <row r="45" spans="2:13">
      <c r="B45" s="21"/>
      <c r="C45" s="165" t="s">
        <v>460</v>
      </c>
      <c r="D45" s="165"/>
      <c r="E45" s="165"/>
      <c r="F45" s="31">
        <v>248</v>
      </c>
      <c r="G45" s="31">
        <v>0.3</v>
      </c>
      <c r="H45" s="31">
        <v>0.8</v>
      </c>
      <c r="I45" s="31">
        <v>0.8</v>
      </c>
      <c r="J45" s="31"/>
      <c r="K45" s="32">
        <f>I45*G45*F45</f>
        <v>59.519999999999996</v>
      </c>
      <c r="L45" s="23"/>
      <c r="M45" s="124"/>
    </row>
    <row r="46" spans="2:13">
      <c r="B46" s="21"/>
      <c r="C46" s="166" t="s">
        <v>110</v>
      </c>
      <c r="D46" s="166"/>
      <c r="E46" s="166"/>
      <c r="F46" s="166"/>
      <c r="G46" s="166"/>
      <c r="H46" s="166"/>
      <c r="I46" s="166"/>
      <c r="J46" s="166"/>
      <c r="K46" s="33">
        <f>SUM(K45:K45)</f>
        <v>59.519999999999996</v>
      </c>
      <c r="L46" s="23"/>
      <c r="M46" s="124"/>
    </row>
    <row r="47" spans="2:13">
      <c r="B47" s="21"/>
      <c r="C47" s="41"/>
      <c r="D47" s="41"/>
      <c r="E47" s="41"/>
      <c r="F47" s="41"/>
      <c r="G47" s="41"/>
      <c r="H47" s="41"/>
      <c r="I47" s="41"/>
      <c r="J47" s="41"/>
      <c r="K47" s="42"/>
      <c r="L47" s="23"/>
      <c r="M47" s="124"/>
    </row>
    <row r="48" spans="2:13">
      <c r="B48" s="19" t="s">
        <v>465</v>
      </c>
      <c r="C48" s="177" t="str">
        <f>'[3]JANDUIR OK'!D19</f>
        <v>LASTRO DE CONCRETO MAGRO, APLICADO EM BLOCOS DE COROAMENTO OU SAPATAS. AF_08/2017</v>
      </c>
      <c r="D48" s="177"/>
      <c r="E48" s="177"/>
      <c r="F48" s="177"/>
      <c r="G48" s="177"/>
      <c r="H48" s="177"/>
      <c r="I48" s="177"/>
      <c r="J48" s="177"/>
      <c r="K48" s="26" t="s">
        <v>1064</v>
      </c>
      <c r="L48" s="27">
        <f>K51</f>
        <v>3.9680000000000009</v>
      </c>
      <c r="M48" s="124"/>
    </row>
    <row r="49" spans="2:13">
      <c r="B49" s="21"/>
      <c r="C49" s="167" t="s">
        <v>101</v>
      </c>
      <c r="D49" s="167"/>
      <c r="E49" s="167"/>
      <c r="F49" s="29" t="s">
        <v>102</v>
      </c>
      <c r="G49" s="28" t="s">
        <v>103</v>
      </c>
      <c r="H49" s="29" t="s">
        <v>104</v>
      </c>
      <c r="I49" s="28" t="s">
        <v>105</v>
      </c>
      <c r="J49" s="28" t="s">
        <v>895</v>
      </c>
      <c r="K49" s="30" t="s">
        <v>107</v>
      </c>
      <c r="L49" s="23"/>
      <c r="M49" s="124"/>
    </row>
    <row r="50" spans="2:13">
      <c r="B50" s="21"/>
      <c r="C50" s="165" t="s">
        <v>460</v>
      </c>
      <c r="D50" s="165"/>
      <c r="E50" s="165"/>
      <c r="F50" s="31">
        <v>62</v>
      </c>
      <c r="G50" s="31">
        <v>0.1</v>
      </c>
      <c r="H50" s="31">
        <v>0.8</v>
      </c>
      <c r="I50" s="31">
        <v>0.8</v>
      </c>
      <c r="J50" s="31"/>
      <c r="K50" s="32">
        <f>I50*G50*F50*H50</f>
        <v>3.9680000000000009</v>
      </c>
      <c r="L50" s="23"/>
      <c r="M50" s="124"/>
    </row>
    <row r="51" spans="2:13">
      <c r="B51" s="21"/>
      <c r="C51" s="166" t="s">
        <v>110</v>
      </c>
      <c r="D51" s="166"/>
      <c r="E51" s="166"/>
      <c r="F51" s="166"/>
      <c r="G51" s="166"/>
      <c r="H51" s="166"/>
      <c r="I51" s="166"/>
      <c r="J51" s="166"/>
      <c r="K51" s="33">
        <f>SUM(K50:K50)</f>
        <v>3.9680000000000009</v>
      </c>
      <c r="L51" s="23"/>
      <c r="M51" s="124"/>
    </row>
    <row r="52" spans="2:13">
      <c r="B52" s="21"/>
      <c r="C52" s="41"/>
      <c r="D52" s="41"/>
      <c r="E52" s="41"/>
      <c r="F52" s="41"/>
      <c r="G52" s="41"/>
      <c r="H52" s="41"/>
      <c r="I52" s="41"/>
      <c r="J52" s="41"/>
      <c r="K52" s="42"/>
      <c r="L52" s="23"/>
      <c r="M52" s="124"/>
    </row>
    <row r="53" spans="2:13">
      <c r="B53" s="19" t="s">
        <v>466</v>
      </c>
      <c r="C53" s="177" t="str">
        <f>'[3]JANDUIR OK'!D20</f>
        <v>CONCRETAGEM DE SAPATAS, FCK 30 MPA, COM USO DE BOMBA  LANÇAMENTO, ADENSAMENTO E ACABAMENTO. AF_11/2016</v>
      </c>
      <c r="D53" s="177"/>
      <c r="E53" s="177"/>
      <c r="F53" s="177"/>
      <c r="G53" s="177"/>
      <c r="H53" s="177"/>
      <c r="I53" s="177"/>
      <c r="J53" s="177"/>
      <c r="K53" s="26" t="s">
        <v>1064</v>
      </c>
      <c r="L53" s="27">
        <f>K56</f>
        <v>19.840000000000003</v>
      </c>
      <c r="M53" s="124"/>
    </row>
    <row r="54" spans="2:13">
      <c r="B54" s="21"/>
      <c r="C54" s="167" t="s">
        <v>101</v>
      </c>
      <c r="D54" s="167"/>
      <c r="E54" s="167"/>
      <c r="F54" s="29" t="s">
        <v>102</v>
      </c>
      <c r="G54" s="28" t="s">
        <v>103</v>
      </c>
      <c r="H54" s="29" t="s">
        <v>104</v>
      </c>
      <c r="I54" s="28" t="s">
        <v>105</v>
      </c>
      <c r="J54" s="28" t="s">
        <v>895</v>
      </c>
      <c r="K54" s="30" t="s">
        <v>107</v>
      </c>
      <c r="L54" s="23"/>
      <c r="M54" s="124"/>
    </row>
    <row r="55" spans="2:13">
      <c r="B55" s="21"/>
      <c r="C55" s="165" t="s">
        <v>460</v>
      </c>
      <c r="D55" s="165"/>
      <c r="E55" s="165"/>
      <c r="F55" s="31">
        <v>62</v>
      </c>
      <c r="G55" s="31">
        <v>0.5</v>
      </c>
      <c r="H55" s="31">
        <v>0.8</v>
      </c>
      <c r="I55" s="31">
        <v>0.8</v>
      </c>
      <c r="J55" s="31"/>
      <c r="K55" s="32">
        <f>I55*G55*F55*H55</f>
        <v>19.840000000000003</v>
      </c>
      <c r="L55" s="23"/>
      <c r="M55" s="124"/>
    </row>
    <row r="56" spans="2:13">
      <c r="B56" s="21"/>
      <c r="C56" s="166" t="s">
        <v>110</v>
      </c>
      <c r="D56" s="166"/>
      <c r="E56" s="166"/>
      <c r="F56" s="166"/>
      <c r="G56" s="166"/>
      <c r="H56" s="166"/>
      <c r="I56" s="166"/>
      <c r="J56" s="166"/>
      <c r="K56" s="33">
        <f>SUM(K55:K55)</f>
        <v>19.840000000000003</v>
      </c>
      <c r="L56" s="23"/>
      <c r="M56" s="124"/>
    </row>
    <row r="57" spans="2:13">
      <c r="B57" s="21"/>
      <c r="C57" s="41"/>
      <c r="D57" s="41"/>
      <c r="E57" s="41"/>
      <c r="F57" s="41"/>
      <c r="G57" s="41"/>
      <c r="H57" s="41"/>
      <c r="I57" s="41"/>
      <c r="J57" s="41"/>
      <c r="K57" s="42"/>
      <c r="L57" s="23"/>
      <c r="M57" s="124"/>
    </row>
    <row r="58" spans="2:13" ht="18.75" customHeight="1">
      <c r="B58" s="19" t="s">
        <v>897</v>
      </c>
      <c r="C58" s="177" t="str">
        <f>'[3]JANDUIR OK'!D21</f>
        <v>FABRICAÇÃO, MONTAGEM E DESMONTAGEM DE FÔRMA PARA VIGA BALDRAME, EM MADEIRA SERRADA, E=25 MM, 4 UTILIZAÇÕES. AF_06/2017</v>
      </c>
      <c r="D58" s="177"/>
      <c r="E58" s="177"/>
      <c r="F58" s="177"/>
      <c r="G58" s="177"/>
      <c r="H58" s="177"/>
      <c r="I58" s="177"/>
      <c r="J58" s="177"/>
      <c r="K58" s="26" t="s">
        <v>106</v>
      </c>
      <c r="L58" s="27">
        <f>K61</f>
        <v>118.482</v>
      </c>
      <c r="M58" s="124"/>
    </row>
    <row r="59" spans="2:13">
      <c r="B59" s="21"/>
      <c r="C59" s="167" t="s">
        <v>101</v>
      </c>
      <c r="D59" s="167"/>
      <c r="E59" s="167"/>
      <c r="F59" s="29" t="s">
        <v>102</v>
      </c>
      <c r="G59" s="28" t="s">
        <v>103</v>
      </c>
      <c r="H59" s="29" t="s">
        <v>104</v>
      </c>
      <c r="I59" s="28" t="s">
        <v>105</v>
      </c>
      <c r="J59" s="28" t="s">
        <v>895</v>
      </c>
      <c r="K59" s="30" t="s">
        <v>107</v>
      </c>
      <c r="L59" s="23"/>
      <c r="M59" s="124"/>
    </row>
    <row r="60" spans="2:13">
      <c r="B60" s="21"/>
      <c r="C60" s="165" t="s">
        <v>896</v>
      </c>
      <c r="D60" s="165"/>
      <c r="E60" s="165"/>
      <c r="F60" s="31">
        <v>394.94</v>
      </c>
      <c r="G60" s="31">
        <v>0.3</v>
      </c>
      <c r="H60" s="31"/>
      <c r="I60" s="31"/>
      <c r="J60" s="31"/>
      <c r="K60" s="32">
        <f>G60*F60</f>
        <v>118.482</v>
      </c>
      <c r="L60" s="23"/>
      <c r="M60" s="124"/>
    </row>
    <row r="61" spans="2:13">
      <c r="B61" s="21"/>
      <c r="C61" s="166" t="s">
        <v>110</v>
      </c>
      <c r="D61" s="166"/>
      <c r="E61" s="166"/>
      <c r="F61" s="166"/>
      <c r="G61" s="166"/>
      <c r="H61" s="166"/>
      <c r="I61" s="166"/>
      <c r="J61" s="166"/>
      <c r="K61" s="33">
        <f>SUM(K60:K60)</f>
        <v>118.482</v>
      </c>
      <c r="L61" s="23"/>
      <c r="M61" s="124"/>
    </row>
    <row r="62" spans="2:13">
      <c r="B62" s="21"/>
      <c r="C62" s="41"/>
      <c r="D62" s="41"/>
      <c r="E62" s="41"/>
      <c r="F62" s="41"/>
      <c r="G62" s="41"/>
      <c r="H62" s="41"/>
      <c r="I62" s="41"/>
      <c r="J62" s="41"/>
      <c r="K62" s="42"/>
      <c r="L62" s="23"/>
      <c r="M62" s="124"/>
    </row>
    <row r="63" spans="2:13" ht="22.5" customHeight="1">
      <c r="B63" s="19" t="s">
        <v>898</v>
      </c>
      <c r="C63" s="169" t="str">
        <f>'[3]JANDUIR OK'!D22</f>
        <v>CONCRETAGEM DE BLOCOS DE COROAMENTO E VIGAS BALDRAMES, FCK 30 MPA, COM USO DE BOMBA  LANÇAMENTO, ADENSAMENTO E ACABAMENTO. AF_06/2017</v>
      </c>
      <c r="D63" s="169"/>
      <c r="E63" s="169"/>
      <c r="F63" s="169"/>
      <c r="G63" s="169"/>
      <c r="H63" s="169"/>
      <c r="I63" s="169"/>
      <c r="J63" s="169"/>
      <c r="K63" s="26" t="s">
        <v>1064</v>
      </c>
      <c r="L63" s="27">
        <f>K66</f>
        <v>11.8482</v>
      </c>
      <c r="M63" s="124"/>
    </row>
    <row r="64" spans="2:13">
      <c r="B64" s="21"/>
      <c r="C64" s="167" t="s">
        <v>101</v>
      </c>
      <c r="D64" s="167"/>
      <c r="E64" s="167"/>
      <c r="F64" s="29" t="s">
        <v>102</v>
      </c>
      <c r="G64" s="28" t="s">
        <v>103</v>
      </c>
      <c r="H64" s="29" t="s">
        <v>104</v>
      </c>
      <c r="I64" s="28" t="s">
        <v>105</v>
      </c>
      <c r="J64" s="28" t="s">
        <v>895</v>
      </c>
      <c r="K64" s="30" t="s">
        <v>107</v>
      </c>
      <c r="L64" s="23"/>
      <c r="M64" s="124"/>
    </row>
    <row r="65" spans="2:13">
      <c r="B65" s="21"/>
      <c r="C65" s="165" t="s">
        <v>896</v>
      </c>
      <c r="D65" s="165"/>
      <c r="E65" s="165"/>
      <c r="F65" s="31">
        <v>1</v>
      </c>
      <c r="G65" s="31">
        <v>0.3</v>
      </c>
      <c r="H65" s="31">
        <v>0.2</v>
      </c>
      <c r="I65" s="31">
        <v>197.47</v>
      </c>
      <c r="J65" s="31"/>
      <c r="K65" s="32">
        <f>I65*H65*G65*F65</f>
        <v>11.8482</v>
      </c>
      <c r="L65" s="23"/>
      <c r="M65" s="124"/>
    </row>
    <row r="66" spans="2:13">
      <c r="B66" s="21"/>
      <c r="C66" s="166" t="s">
        <v>110</v>
      </c>
      <c r="D66" s="166"/>
      <c r="E66" s="166"/>
      <c r="F66" s="166"/>
      <c r="G66" s="166"/>
      <c r="H66" s="166"/>
      <c r="I66" s="166"/>
      <c r="J66" s="166"/>
      <c r="K66" s="33">
        <f>SUM(K65:K65)</f>
        <v>11.8482</v>
      </c>
      <c r="L66" s="23"/>
      <c r="M66" s="124"/>
    </row>
    <row r="67" spans="2:13">
      <c r="B67" s="21"/>
      <c r="C67" s="41"/>
      <c r="D67" s="41"/>
      <c r="E67" s="41"/>
      <c r="F67" s="41"/>
      <c r="G67" s="41"/>
      <c r="H67" s="41"/>
      <c r="I67" s="41"/>
      <c r="J67" s="41"/>
      <c r="K67" s="42"/>
      <c r="L67" s="23"/>
      <c r="M67" s="124"/>
    </row>
    <row r="68" spans="2:13">
      <c r="B68" s="34" t="s">
        <v>116</v>
      </c>
      <c r="C68" s="210" t="str">
        <f>'[3]JANDUIR OK'!D23</f>
        <v>SUPRAESTRUTURA</v>
      </c>
      <c r="D68" s="211"/>
      <c r="E68" s="211"/>
      <c r="F68" s="211"/>
      <c r="G68" s="211"/>
      <c r="H68" s="211"/>
      <c r="I68" s="211"/>
      <c r="J68" s="211"/>
      <c r="K68" s="211"/>
      <c r="L68" s="212"/>
      <c r="M68" s="124"/>
    </row>
    <row r="69" spans="2:13" ht="39.75" customHeight="1">
      <c r="B69" s="19" t="s">
        <v>117</v>
      </c>
      <c r="C69" s="169" t="str">
        <f>'[3]JANDUIR OK'!D24</f>
        <v>MONTAGEM E DESMONTAGEM DE FÔRMA DE PILARES RETANGULARES E ESTRUTURAS SIMILARES, PÉ-DIREITO SIMPLES, EM CHAPA DE MADEIRA COMPENSADA RESINADA, 6 UTILIZAÇÕES. AF_09/2020</v>
      </c>
      <c r="D69" s="169"/>
      <c r="E69" s="169"/>
      <c r="F69" s="169"/>
      <c r="G69" s="169"/>
      <c r="H69" s="169"/>
      <c r="I69" s="169"/>
      <c r="J69" s="169"/>
      <c r="K69" s="26" t="s">
        <v>106</v>
      </c>
      <c r="L69" s="27">
        <f>K72</f>
        <v>111.6</v>
      </c>
      <c r="M69" s="124"/>
    </row>
    <row r="70" spans="2:13">
      <c r="C70" s="167" t="s">
        <v>113</v>
      </c>
      <c r="D70" s="167"/>
      <c r="E70" s="167"/>
      <c r="F70" s="29" t="s">
        <v>102</v>
      </c>
      <c r="G70" s="28" t="s">
        <v>103</v>
      </c>
      <c r="H70" s="29" t="s">
        <v>104</v>
      </c>
      <c r="I70" s="28" t="s">
        <v>105</v>
      </c>
      <c r="J70" s="28" t="s">
        <v>462</v>
      </c>
      <c r="K70" s="30" t="s">
        <v>107</v>
      </c>
      <c r="M70" s="124"/>
    </row>
    <row r="71" spans="2:13">
      <c r="C71" s="178" t="s">
        <v>467</v>
      </c>
      <c r="D71" s="217"/>
      <c r="E71" s="218"/>
      <c r="F71" s="31">
        <v>62</v>
      </c>
      <c r="G71" s="38">
        <v>3</v>
      </c>
      <c r="H71" s="37">
        <v>0.3</v>
      </c>
      <c r="I71" s="38">
        <v>0.3</v>
      </c>
      <c r="J71" s="38"/>
      <c r="K71" s="39">
        <f>(H71+I71)*G71*F71</f>
        <v>111.6</v>
      </c>
      <c r="M71" s="124"/>
    </row>
    <row r="72" spans="2:13">
      <c r="C72" s="166" t="s">
        <v>110</v>
      </c>
      <c r="D72" s="166"/>
      <c r="E72" s="166"/>
      <c r="F72" s="166"/>
      <c r="G72" s="166"/>
      <c r="H72" s="166"/>
      <c r="I72" s="166"/>
      <c r="J72" s="166"/>
      <c r="K72" s="33">
        <f>SUM(K71:K71)</f>
        <v>111.6</v>
      </c>
      <c r="M72" s="124"/>
    </row>
    <row r="73" spans="2:13">
      <c r="C73" s="41"/>
      <c r="D73" s="41"/>
      <c r="E73" s="41"/>
      <c r="F73" s="41"/>
      <c r="G73" s="41"/>
      <c r="H73" s="41"/>
      <c r="I73" s="41"/>
      <c r="J73" s="41"/>
      <c r="K73" s="42"/>
      <c r="M73" s="124"/>
    </row>
    <row r="74" spans="2:13" ht="28.5" customHeight="1">
      <c r="B74" s="19" t="s">
        <v>468</v>
      </c>
      <c r="C74" s="169" t="str">
        <f>'[3]JANDUIR OK'!D25</f>
        <v>MONTAGEM E DESMONTAGEM DE FÔRMA DE VIGA, ESCORAMENTO METÁLICO, PÉ-DIREITO SIMPLES, EM CHAPA DE MADEIRA RESINADA, 6 UTILIZAÇÕES. AF_09/2020</v>
      </c>
      <c r="D74" s="169"/>
      <c r="E74" s="169"/>
      <c r="F74" s="169"/>
      <c r="G74" s="169"/>
      <c r="H74" s="169"/>
      <c r="I74" s="169"/>
      <c r="J74" s="169"/>
      <c r="K74" s="26" t="s">
        <v>106</v>
      </c>
      <c r="L74" s="27">
        <f>K77</f>
        <v>118.482</v>
      </c>
      <c r="M74" s="124"/>
    </row>
    <row r="75" spans="2:13">
      <c r="C75" s="167" t="s">
        <v>113</v>
      </c>
      <c r="D75" s="167"/>
      <c r="E75" s="167"/>
      <c r="F75" s="29" t="s">
        <v>102</v>
      </c>
      <c r="G75" s="28" t="s">
        <v>103</v>
      </c>
      <c r="H75" s="29" t="s">
        <v>104</v>
      </c>
      <c r="I75" s="28" t="s">
        <v>105</v>
      </c>
      <c r="J75" s="28" t="s">
        <v>462</v>
      </c>
      <c r="K75" s="30" t="s">
        <v>107</v>
      </c>
      <c r="M75" s="124"/>
    </row>
    <row r="76" spans="2:13">
      <c r="C76" s="178" t="s">
        <v>899</v>
      </c>
      <c r="D76" s="217"/>
      <c r="E76" s="218"/>
      <c r="F76" s="31">
        <v>2</v>
      </c>
      <c r="G76" s="38">
        <v>0.3</v>
      </c>
      <c r="H76" s="37">
        <v>0.3</v>
      </c>
      <c r="I76" s="38">
        <v>197.47</v>
      </c>
      <c r="J76" s="38"/>
      <c r="K76" s="39">
        <f>I76*G76*F76</f>
        <v>118.482</v>
      </c>
      <c r="M76" s="124"/>
    </row>
    <row r="77" spans="2:13">
      <c r="C77" s="166" t="s">
        <v>110</v>
      </c>
      <c r="D77" s="166"/>
      <c r="E77" s="166"/>
      <c r="F77" s="166"/>
      <c r="G77" s="166"/>
      <c r="H77" s="166"/>
      <c r="I77" s="166"/>
      <c r="J77" s="166"/>
      <c r="K77" s="33">
        <f>SUM(K76:K76)</f>
        <v>118.482</v>
      </c>
      <c r="M77" s="124"/>
    </row>
    <row r="78" spans="2:13">
      <c r="C78" s="41"/>
      <c r="D78" s="41"/>
      <c r="E78" s="41"/>
      <c r="F78" s="41"/>
      <c r="G78" s="41"/>
      <c r="H78" s="41"/>
      <c r="I78" s="41"/>
      <c r="J78" s="41"/>
      <c r="K78" s="42"/>
      <c r="M78" s="124"/>
    </row>
    <row r="79" spans="2:13" ht="33.75" customHeight="1">
      <c r="B79" s="19" t="s">
        <v>469</v>
      </c>
      <c r="C79" s="169" t="str">
        <f>'[3]JANDUIR OK'!D26</f>
        <v>ARMAÇÃO DE PILAR OU VIGA DE ESTRUTURA CONVENCIONAL DE CONCRETO ARMADO UTILIZANDO AÇO CA-50 DE 10,0 MM - MONTAGEM. AF_06/2022</v>
      </c>
      <c r="D79" s="169"/>
      <c r="E79" s="169"/>
      <c r="F79" s="169"/>
      <c r="G79" s="169"/>
      <c r="H79" s="169"/>
      <c r="I79" s="169"/>
      <c r="J79" s="169"/>
      <c r="K79" s="26" t="s">
        <v>126</v>
      </c>
      <c r="L79" s="27">
        <f>K83</f>
        <v>1175.92796</v>
      </c>
      <c r="M79" s="124"/>
    </row>
    <row r="80" spans="2:13">
      <c r="C80" s="167" t="s">
        <v>113</v>
      </c>
      <c r="D80" s="167"/>
      <c r="E80" s="167"/>
      <c r="F80" s="29" t="s">
        <v>102</v>
      </c>
      <c r="G80" s="28" t="s">
        <v>103</v>
      </c>
      <c r="H80" s="29" t="s">
        <v>104</v>
      </c>
      <c r="I80" s="28" t="s">
        <v>105</v>
      </c>
      <c r="J80" s="28" t="s">
        <v>462</v>
      </c>
      <c r="K80" s="30" t="s">
        <v>107</v>
      </c>
      <c r="M80" s="124"/>
    </row>
    <row r="81" spans="2:13">
      <c r="C81" s="178" t="s">
        <v>467</v>
      </c>
      <c r="D81" s="217"/>
      <c r="E81" s="218"/>
      <c r="F81" s="31">
        <v>62</v>
      </c>
      <c r="G81" s="38">
        <v>4.5</v>
      </c>
      <c r="H81" s="37"/>
      <c r="I81" s="38">
        <v>4</v>
      </c>
      <c r="J81" s="38">
        <v>0.61699999999999999</v>
      </c>
      <c r="K81" s="39">
        <f>F81*G81*I81*J81</f>
        <v>688.572</v>
      </c>
      <c r="M81" s="124"/>
    </row>
    <row r="82" spans="2:13">
      <c r="C82" s="178" t="s">
        <v>899</v>
      </c>
      <c r="D82" s="217"/>
      <c r="E82" s="218"/>
      <c r="F82" s="31">
        <v>4</v>
      </c>
      <c r="G82" s="38"/>
      <c r="H82" s="37"/>
      <c r="I82" s="38">
        <v>197.47</v>
      </c>
      <c r="J82" s="38">
        <v>0.61699999999999999</v>
      </c>
      <c r="K82" s="39">
        <f>F82*I82*J82</f>
        <v>487.35595999999998</v>
      </c>
      <c r="M82" s="124"/>
    </row>
    <row r="83" spans="2:13">
      <c r="C83" s="166" t="s">
        <v>110</v>
      </c>
      <c r="D83" s="166"/>
      <c r="E83" s="166"/>
      <c r="F83" s="166"/>
      <c r="G83" s="166"/>
      <c r="H83" s="166"/>
      <c r="I83" s="166"/>
      <c r="J83" s="166"/>
      <c r="K83" s="33">
        <f>SUM(K81:K82)</f>
        <v>1175.92796</v>
      </c>
      <c r="M83" s="124"/>
    </row>
    <row r="84" spans="2:13">
      <c r="C84" s="41"/>
      <c r="D84" s="41"/>
      <c r="E84" s="41"/>
      <c r="F84" s="41"/>
      <c r="G84" s="41"/>
      <c r="H84" s="41"/>
      <c r="I84" s="41"/>
      <c r="J84" s="41"/>
      <c r="K84" s="42"/>
      <c r="M84" s="124"/>
    </row>
    <row r="85" spans="2:13" ht="27" customHeight="1">
      <c r="B85" s="19" t="s">
        <v>470</v>
      </c>
      <c r="C85" s="169" t="str">
        <f>'[3]JANDUIR OK'!D27</f>
        <v>CONCRETAGEM DE PILARES, FCK = 25 MPA,  COM USO DE BALDES - LANÇAMENTO, ADENSAMENTO E ACABAMENTO. AF_02/2022</v>
      </c>
      <c r="D85" s="169"/>
      <c r="E85" s="169"/>
      <c r="F85" s="169"/>
      <c r="G85" s="169"/>
      <c r="H85" s="169"/>
      <c r="I85" s="169"/>
      <c r="J85" s="169"/>
      <c r="K85" s="26" t="s">
        <v>1064</v>
      </c>
      <c r="L85" s="27">
        <f>K88</f>
        <v>12.555</v>
      </c>
      <c r="M85" s="124"/>
    </row>
    <row r="86" spans="2:13">
      <c r="C86" s="167" t="s">
        <v>113</v>
      </c>
      <c r="D86" s="167"/>
      <c r="E86" s="167"/>
      <c r="F86" s="29" t="s">
        <v>102</v>
      </c>
      <c r="G86" s="28" t="s">
        <v>103</v>
      </c>
      <c r="H86" s="29" t="s">
        <v>104</v>
      </c>
      <c r="I86" s="28" t="s">
        <v>105</v>
      </c>
      <c r="J86" s="28" t="s">
        <v>462</v>
      </c>
      <c r="K86" s="30" t="s">
        <v>107</v>
      </c>
      <c r="M86" s="124"/>
    </row>
    <row r="87" spans="2:13">
      <c r="C87" s="178" t="s">
        <v>467</v>
      </c>
      <c r="D87" s="217"/>
      <c r="E87" s="218"/>
      <c r="F87" s="31">
        <v>62</v>
      </c>
      <c r="G87" s="38">
        <v>4.5</v>
      </c>
      <c r="H87" s="37">
        <v>0.15</v>
      </c>
      <c r="I87" s="38">
        <v>0.3</v>
      </c>
      <c r="J87" s="38"/>
      <c r="K87" s="39">
        <f>H87*I87*G87*F87</f>
        <v>12.555</v>
      </c>
      <c r="M87" s="124"/>
    </row>
    <row r="88" spans="2:13">
      <c r="C88" s="166" t="s">
        <v>110</v>
      </c>
      <c r="D88" s="166"/>
      <c r="E88" s="166"/>
      <c r="F88" s="166"/>
      <c r="G88" s="166"/>
      <c r="H88" s="166"/>
      <c r="I88" s="166"/>
      <c r="J88" s="166"/>
      <c r="K88" s="33">
        <f>SUM(K87:K87)</f>
        <v>12.555</v>
      </c>
      <c r="M88" s="124"/>
    </row>
    <row r="89" spans="2:13">
      <c r="C89" s="41"/>
      <c r="D89" s="41"/>
      <c r="E89" s="41"/>
      <c r="F89" s="41"/>
      <c r="G89" s="41"/>
      <c r="H89" s="41"/>
      <c r="I89" s="41"/>
      <c r="J89" s="41"/>
      <c r="K89" s="42"/>
      <c r="M89" s="124"/>
    </row>
    <row r="90" spans="2:13" ht="24" customHeight="1">
      <c r="B90" s="19" t="s">
        <v>900</v>
      </c>
      <c r="C90" s="169" t="str">
        <f>'[3]JANDUIR OK'!D28</f>
        <v>CONCRETAGEM DE VIGAS E LAJES, FCK=25 MPA, PARA LAJES PREMOLDADAS COM USO DE BOMBA - LANÇAMENTO, ADENSAMENTO E ACABAMENTO. AF_02/2022</v>
      </c>
      <c r="D90" s="169"/>
      <c r="E90" s="169"/>
      <c r="F90" s="169"/>
      <c r="G90" s="169"/>
      <c r="H90" s="169"/>
      <c r="I90" s="169"/>
      <c r="J90" s="169"/>
      <c r="K90" s="26" t="s">
        <v>1064</v>
      </c>
      <c r="L90" s="27">
        <f>K93</f>
        <v>8.8861499999999989</v>
      </c>
      <c r="M90" s="124"/>
    </row>
    <row r="91" spans="2:13">
      <c r="C91" s="167" t="s">
        <v>113</v>
      </c>
      <c r="D91" s="167"/>
      <c r="E91" s="167"/>
      <c r="F91" s="29" t="s">
        <v>102</v>
      </c>
      <c r="G91" s="28" t="s">
        <v>103</v>
      </c>
      <c r="H91" s="29" t="s">
        <v>104</v>
      </c>
      <c r="I91" s="28" t="s">
        <v>105</v>
      </c>
      <c r="J91" s="28" t="s">
        <v>462</v>
      </c>
      <c r="K91" s="30" t="s">
        <v>107</v>
      </c>
      <c r="M91" s="124"/>
    </row>
    <row r="92" spans="2:13">
      <c r="C92" s="178" t="s">
        <v>899</v>
      </c>
      <c r="D92" s="217"/>
      <c r="E92" s="218"/>
      <c r="F92" s="31">
        <v>1</v>
      </c>
      <c r="G92" s="38">
        <v>0.3</v>
      </c>
      <c r="H92" s="37">
        <v>0.15</v>
      </c>
      <c r="I92" s="38">
        <v>197.47</v>
      </c>
      <c r="J92" s="38"/>
      <c r="K92" s="39">
        <f>H92*I92*G92*F92</f>
        <v>8.8861499999999989</v>
      </c>
      <c r="M92" s="124"/>
    </row>
    <row r="93" spans="2:13">
      <c r="C93" s="166" t="s">
        <v>110</v>
      </c>
      <c r="D93" s="166"/>
      <c r="E93" s="166"/>
      <c r="F93" s="166"/>
      <c r="G93" s="166"/>
      <c r="H93" s="166"/>
      <c r="I93" s="166"/>
      <c r="J93" s="166"/>
      <c r="K93" s="33">
        <f>SUM(K92:K92)</f>
        <v>8.8861499999999989</v>
      </c>
      <c r="M93" s="124"/>
    </row>
    <row r="94" spans="2:13">
      <c r="C94" s="41"/>
      <c r="D94" s="41"/>
      <c r="E94" s="41"/>
      <c r="F94" s="41"/>
      <c r="G94" s="41"/>
      <c r="H94" s="41"/>
      <c r="I94" s="41"/>
      <c r="J94" s="41"/>
      <c r="K94" s="42"/>
      <c r="M94" s="124"/>
    </row>
    <row r="95" spans="2:13">
      <c r="C95" s="41"/>
      <c r="D95" s="41"/>
      <c r="E95" s="41"/>
      <c r="F95" s="41"/>
      <c r="G95" s="41"/>
      <c r="H95" s="41"/>
      <c r="I95" s="41"/>
      <c r="J95" s="41"/>
      <c r="K95" s="42"/>
      <c r="M95" s="124"/>
    </row>
    <row r="96" spans="2:13">
      <c r="B96" s="34" t="s">
        <v>119</v>
      </c>
      <c r="C96" s="210" t="str">
        <f>'[3]VOVO PESSOINHA'!D14</f>
        <v>ELEVAÇÃO</v>
      </c>
      <c r="D96" s="211"/>
      <c r="E96" s="211"/>
      <c r="F96" s="211"/>
      <c r="G96" s="211"/>
      <c r="H96" s="211"/>
      <c r="I96" s="211"/>
      <c r="J96" s="211"/>
      <c r="K96" s="211"/>
      <c r="L96" s="212"/>
      <c r="M96" s="124"/>
    </row>
    <row r="97" spans="2:13" ht="34.200000000000003" customHeight="1">
      <c r="B97" s="19" t="s">
        <v>120</v>
      </c>
      <c r="C97" s="169" t="s">
        <v>485</v>
      </c>
      <c r="D97" s="169"/>
      <c r="E97" s="169"/>
      <c r="F97" s="169"/>
      <c r="G97" s="169"/>
      <c r="H97" s="169"/>
      <c r="I97" s="169"/>
      <c r="J97" s="169"/>
      <c r="K97" s="26" t="s">
        <v>106</v>
      </c>
      <c r="L97" s="27">
        <f>K101</f>
        <v>72.89</v>
      </c>
      <c r="M97" s="124"/>
    </row>
    <row r="98" spans="2:13">
      <c r="C98" s="167" t="s">
        <v>113</v>
      </c>
      <c r="D98" s="167"/>
      <c r="E98" s="167"/>
      <c r="F98" s="29" t="s">
        <v>102</v>
      </c>
      <c r="G98" s="28" t="s">
        <v>103</v>
      </c>
      <c r="H98" s="29" t="s">
        <v>104</v>
      </c>
      <c r="I98" s="28" t="s">
        <v>105</v>
      </c>
      <c r="J98" s="28" t="s">
        <v>462</v>
      </c>
      <c r="K98" s="30" t="s">
        <v>107</v>
      </c>
      <c r="M98" s="124"/>
    </row>
    <row r="99" spans="2:13">
      <c r="C99" s="178" t="s">
        <v>893</v>
      </c>
      <c r="D99" s="217"/>
      <c r="E99" s="218"/>
      <c r="F99" s="31">
        <v>1</v>
      </c>
      <c r="G99" s="38"/>
      <c r="H99" s="37"/>
      <c r="I99" s="38"/>
      <c r="J99" s="38"/>
      <c r="K99" s="39"/>
      <c r="M99" s="124"/>
    </row>
    <row r="100" spans="2:13">
      <c r="C100" s="165" t="s">
        <v>894</v>
      </c>
      <c r="D100" s="165"/>
      <c r="E100" s="165"/>
      <c r="F100" s="31">
        <v>1</v>
      </c>
      <c r="G100" s="31"/>
      <c r="H100" s="31"/>
      <c r="I100" s="31"/>
      <c r="J100" s="31"/>
      <c r="K100" s="39"/>
      <c r="M100" s="124"/>
    </row>
    <row r="101" spans="2:13">
      <c r="C101" s="166" t="s">
        <v>110</v>
      </c>
      <c r="D101" s="166"/>
      <c r="E101" s="166"/>
      <c r="F101" s="166"/>
      <c r="G101" s="166"/>
      <c r="H101" s="166"/>
      <c r="I101" s="166"/>
      <c r="J101" s="166"/>
      <c r="K101" s="33">
        <f>72.89</f>
        <v>72.89</v>
      </c>
      <c r="M101" s="124"/>
    </row>
    <row r="102" spans="2:13">
      <c r="M102" s="124"/>
    </row>
    <row r="103" spans="2:13" ht="28.95" customHeight="1">
      <c r="B103" s="19" t="s">
        <v>123</v>
      </c>
      <c r="C103" s="169" t="s">
        <v>487</v>
      </c>
      <c r="D103" s="169"/>
      <c r="E103" s="169"/>
      <c r="F103" s="169"/>
      <c r="G103" s="169"/>
      <c r="H103" s="169"/>
      <c r="I103" s="169"/>
      <c r="J103" s="169"/>
      <c r="K103" s="26" t="s">
        <v>106</v>
      </c>
      <c r="L103" s="27">
        <f>K107</f>
        <v>935.04</v>
      </c>
      <c r="M103" s="124"/>
    </row>
    <row r="104" spans="2:13">
      <c r="C104" s="167" t="s">
        <v>113</v>
      </c>
      <c r="D104" s="167"/>
      <c r="E104" s="167"/>
      <c r="F104" s="29" t="s">
        <v>102</v>
      </c>
      <c r="G104" s="28" t="s">
        <v>103</v>
      </c>
      <c r="H104" s="29" t="s">
        <v>104</v>
      </c>
      <c r="I104" s="28" t="s">
        <v>105</v>
      </c>
      <c r="J104" s="28" t="s">
        <v>115</v>
      </c>
      <c r="K104" s="30" t="s">
        <v>107</v>
      </c>
      <c r="M104" s="124"/>
    </row>
    <row r="105" spans="2:13">
      <c r="C105" s="178" t="s">
        <v>893</v>
      </c>
      <c r="D105" s="217"/>
      <c r="E105" s="218"/>
      <c r="F105" s="31"/>
      <c r="G105" s="38"/>
      <c r="H105" s="37"/>
      <c r="I105" s="38"/>
      <c r="J105" s="38">
        <v>875.04</v>
      </c>
      <c r="K105" s="39">
        <f>J105</f>
        <v>875.04</v>
      </c>
      <c r="M105" s="124"/>
    </row>
    <row r="106" spans="2:13">
      <c r="C106" s="165" t="s">
        <v>894</v>
      </c>
      <c r="D106" s="165"/>
      <c r="E106" s="165"/>
      <c r="F106" s="31"/>
      <c r="G106" s="31"/>
      <c r="H106" s="31"/>
      <c r="I106" s="31"/>
      <c r="J106" s="31">
        <f>40*1.5</f>
        <v>60</v>
      </c>
      <c r="K106" s="39">
        <f>J106</f>
        <v>60</v>
      </c>
      <c r="M106" s="124"/>
    </row>
    <row r="107" spans="2:13" ht="13.95" customHeight="1">
      <c r="C107" s="166" t="s">
        <v>110</v>
      </c>
      <c r="D107" s="166"/>
      <c r="E107" s="166"/>
      <c r="F107" s="166"/>
      <c r="G107" s="166"/>
      <c r="H107" s="166"/>
      <c r="I107" s="166"/>
      <c r="J107" s="166"/>
      <c r="K107" s="33">
        <f>SUM(K105:K106)</f>
        <v>935.04</v>
      </c>
      <c r="M107" s="124"/>
    </row>
    <row r="108" spans="2:13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124"/>
    </row>
    <row r="109" spans="2:13">
      <c r="B109" s="34" t="s">
        <v>124</v>
      </c>
      <c r="C109" s="168" t="str">
        <f>'[3]VOVO PESSOINHA'!D17</f>
        <v>REVESTIMENTO</v>
      </c>
      <c r="D109" s="168"/>
      <c r="E109" s="168"/>
      <c r="F109" s="168"/>
      <c r="G109" s="168"/>
      <c r="H109" s="168"/>
      <c r="I109" s="168"/>
      <c r="J109" s="168"/>
      <c r="K109" s="168"/>
      <c r="L109" s="168"/>
      <c r="M109" s="124"/>
    </row>
    <row r="110" spans="2:13" ht="30" customHeight="1">
      <c r="B110" s="19" t="s">
        <v>125</v>
      </c>
      <c r="C110" s="169" t="s">
        <v>490</v>
      </c>
      <c r="D110" s="169"/>
      <c r="E110" s="169"/>
      <c r="F110" s="169"/>
      <c r="G110" s="169"/>
      <c r="H110" s="169"/>
      <c r="I110" s="169"/>
      <c r="J110" s="169"/>
      <c r="K110" s="36" t="s">
        <v>106</v>
      </c>
      <c r="L110" s="27">
        <f>K113</f>
        <v>1870.08</v>
      </c>
      <c r="M110" s="124"/>
    </row>
    <row r="111" spans="2:13">
      <c r="C111" s="167" t="s">
        <v>113</v>
      </c>
      <c r="D111" s="167"/>
      <c r="E111" s="167"/>
      <c r="F111" s="29" t="s">
        <v>102</v>
      </c>
      <c r="G111" s="28" t="s">
        <v>103</v>
      </c>
      <c r="H111" s="29" t="s">
        <v>104</v>
      </c>
      <c r="I111" s="28" t="s">
        <v>105</v>
      </c>
      <c r="J111" s="28" t="s">
        <v>115</v>
      </c>
      <c r="K111" s="30" t="s">
        <v>107</v>
      </c>
      <c r="M111" s="124"/>
    </row>
    <row r="112" spans="2:13">
      <c r="C112" s="178" t="s">
        <v>715</v>
      </c>
      <c r="D112" s="175"/>
      <c r="E112" s="176"/>
      <c r="F112" s="29">
        <v>2</v>
      </c>
      <c r="G112" s="28"/>
      <c r="H112" s="29"/>
      <c r="I112" s="28"/>
      <c r="J112" s="75">
        <f>K107</f>
        <v>935.04</v>
      </c>
      <c r="K112" s="30">
        <f>J112*F112</f>
        <v>1870.08</v>
      </c>
      <c r="M112" s="124"/>
    </row>
    <row r="113" spans="2:13">
      <c r="C113" s="166" t="s">
        <v>110</v>
      </c>
      <c r="D113" s="166"/>
      <c r="E113" s="166"/>
      <c r="F113" s="166"/>
      <c r="G113" s="166"/>
      <c r="H113" s="166"/>
      <c r="I113" s="166"/>
      <c r="J113" s="166"/>
      <c r="K113" s="33">
        <f>SUM(K112:K112)</f>
        <v>1870.08</v>
      </c>
      <c r="M113" s="124"/>
    </row>
    <row r="114" spans="2:13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124"/>
    </row>
    <row r="115" spans="2:13" ht="23.4" customHeight="1">
      <c r="B115" s="19" t="s">
        <v>129</v>
      </c>
      <c r="C115" s="169" t="str">
        <f>'[3]VOVO PESSOINHA'!D19</f>
        <v>MASSA ÚNICA, PARA RECEBIMENTO DE PINTURA, EM ARGAMASSA TRAÇO 1:2:8, PREPARO MECÂNICO COM BETONEIRA 400L, APLICADA MANUALMENTE EM FACES INTERNAS DE PAREDES, ESPESSURA DE 20MM, COM EXECUÇÃO DE TALISCAS. AF_06/2014</v>
      </c>
      <c r="D115" s="169"/>
      <c r="E115" s="169"/>
      <c r="F115" s="169"/>
      <c r="G115" s="169"/>
      <c r="H115" s="169"/>
      <c r="I115" s="169"/>
      <c r="J115" s="169"/>
      <c r="K115" s="36" t="str">
        <f>'[3]VOVO PESSOINHA'!E19</f>
        <v>M2</v>
      </c>
      <c r="L115" s="27">
        <f>K118</f>
        <v>1870.08</v>
      </c>
      <c r="M115" s="124"/>
    </row>
    <row r="116" spans="2:13">
      <c r="C116" s="167" t="s">
        <v>113</v>
      </c>
      <c r="D116" s="167"/>
      <c r="E116" s="167"/>
      <c r="F116" s="29" t="s">
        <v>102</v>
      </c>
      <c r="G116" s="28" t="s">
        <v>103</v>
      </c>
      <c r="H116" s="29" t="s">
        <v>104</v>
      </c>
      <c r="I116" s="28" t="s">
        <v>105</v>
      </c>
      <c r="J116" s="28" t="s">
        <v>115</v>
      </c>
      <c r="K116" s="30" t="s">
        <v>107</v>
      </c>
      <c r="M116" s="124"/>
    </row>
    <row r="117" spans="2:13">
      <c r="C117" s="178" t="s">
        <v>715</v>
      </c>
      <c r="D117" s="175"/>
      <c r="E117" s="176"/>
      <c r="F117" s="29">
        <v>2</v>
      </c>
      <c r="G117" s="28"/>
      <c r="H117" s="29"/>
      <c r="I117" s="28"/>
      <c r="J117" s="75">
        <f>K107</f>
        <v>935.04</v>
      </c>
      <c r="K117" s="30">
        <f>J117*F117</f>
        <v>1870.08</v>
      </c>
      <c r="M117" s="124"/>
    </row>
    <row r="118" spans="2:13">
      <c r="C118" s="166" t="s">
        <v>110</v>
      </c>
      <c r="D118" s="166"/>
      <c r="E118" s="166"/>
      <c r="F118" s="166"/>
      <c r="G118" s="166"/>
      <c r="H118" s="166"/>
      <c r="I118" s="166"/>
      <c r="J118" s="166"/>
      <c r="K118" s="33">
        <f>SUM(K117:K117)</f>
        <v>1870.08</v>
      </c>
      <c r="M118" s="124"/>
    </row>
    <row r="119" spans="2:13">
      <c r="C119" s="41"/>
      <c r="D119" s="41"/>
      <c r="E119" s="41"/>
      <c r="F119" s="41"/>
      <c r="G119" s="41"/>
      <c r="H119" s="41"/>
      <c r="I119" s="41"/>
      <c r="J119" s="41"/>
      <c r="K119" s="42"/>
      <c r="M119" s="124"/>
    </row>
    <row r="120" spans="2:13" ht="30" customHeight="1">
      <c r="B120" s="19" t="s">
        <v>131</v>
      </c>
      <c r="C120" s="169" t="str">
        <f>'[3]VOVO PESSOINHA'!D24</f>
        <v>REVESTIMENTO CERÂMICO PARA PISO COM PLACAS TIPO ESMALTADA EXTRA DE DIMENSÕES 35X35 CM APLICADA EM AMBIENTES DE ÁREA ENTRE 5 M2 E 10 M2. AF_06/2014</v>
      </c>
      <c r="D120" s="169"/>
      <c r="E120" s="169"/>
      <c r="F120" s="169"/>
      <c r="G120" s="169"/>
      <c r="H120" s="169"/>
      <c r="I120" s="169"/>
      <c r="J120" s="169"/>
      <c r="K120" s="36" t="str">
        <f>'[3]VOVO PESSOINHA'!E24</f>
        <v>M2</v>
      </c>
      <c r="L120" s="27">
        <f>K123</f>
        <v>259.60000000000002</v>
      </c>
      <c r="M120" s="124"/>
    </row>
    <row r="121" spans="2:13">
      <c r="C121" s="167" t="s">
        <v>113</v>
      </c>
      <c r="D121" s="167"/>
      <c r="E121" s="167"/>
      <c r="F121" s="29" t="s">
        <v>102</v>
      </c>
      <c r="G121" s="28" t="s">
        <v>103</v>
      </c>
      <c r="H121" s="29" t="s">
        <v>104</v>
      </c>
      <c r="I121" s="28" t="s">
        <v>105</v>
      </c>
      <c r="J121" s="28" t="s">
        <v>115</v>
      </c>
      <c r="K121" s="30" t="s">
        <v>107</v>
      </c>
      <c r="M121" s="124"/>
    </row>
    <row r="122" spans="2:13">
      <c r="C122" s="178" t="s">
        <v>901</v>
      </c>
      <c r="D122" s="175"/>
      <c r="E122" s="176"/>
      <c r="F122" s="29">
        <v>1</v>
      </c>
      <c r="G122" s="28"/>
      <c r="H122" s="29"/>
      <c r="I122" s="28"/>
      <c r="J122" s="75">
        <v>259.60000000000002</v>
      </c>
      <c r="K122" s="30">
        <f>J122*F122</f>
        <v>259.60000000000002</v>
      </c>
      <c r="M122" s="124"/>
    </row>
    <row r="123" spans="2:13">
      <c r="C123" s="166" t="s">
        <v>110</v>
      </c>
      <c r="D123" s="166"/>
      <c r="E123" s="166"/>
      <c r="F123" s="166"/>
      <c r="G123" s="166"/>
      <c r="H123" s="166"/>
      <c r="I123" s="166"/>
      <c r="J123" s="166"/>
      <c r="K123" s="33">
        <f>SUM(K122:K122)</f>
        <v>259.60000000000002</v>
      </c>
      <c r="M123" s="124"/>
    </row>
    <row r="124" spans="2:13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124"/>
    </row>
    <row r="125" spans="2:13">
      <c r="B125" s="34" t="s">
        <v>134</v>
      </c>
      <c r="C125" s="210" t="str">
        <f>JANDUÍ!D31</f>
        <v>PISO</v>
      </c>
      <c r="D125" s="211"/>
      <c r="E125" s="211"/>
      <c r="F125" s="211"/>
      <c r="G125" s="211"/>
      <c r="H125" s="211"/>
      <c r="I125" s="211"/>
      <c r="J125" s="211"/>
      <c r="K125" s="211"/>
      <c r="L125" s="212"/>
      <c r="M125" s="124"/>
    </row>
    <row r="126" spans="2:13" ht="29.4" customHeight="1">
      <c r="B126" s="19" t="s">
        <v>135</v>
      </c>
      <c r="C126" s="219" t="s">
        <v>783</v>
      </c>
      <c r="D126" s="219"/>
      <c r="E126" s="219"/>
      <c r="F126" s="219"/>
      <c r="G126" s="219"/>
      <c r="H126" s="219"/>
      <c r="I126" s="219"/>
      <c r="J126" s="219"/>
      <c r="K126" s="36" t="s">
        <v>106</v>
      </c>
      <c r="L126" s="27">
        <f>K131</f>
        <v>963.81</v>
      </c>
      <c r="M126" s="124"/>
    </row>
    <row r="127" spans="2:13">
      <c r="C127" s="174" t="s">
        <v>113</v>
      </c>
      <c r="D127" s="175"/>
      <c r="E127" s="176"/>
      <c r="F127" s="29" t="s">
        <v>102</v>
      </c>
      <c r="G127" s="28" t="s">
        <v>103</v>
      </c>
      <c r="H127" s="29" t="s">
        <v>104</v>
      </c>
      <c r="I127" s="28" t="s">
        <v>105</v>
      </c>
      <c r="J127" s="28" t="s">
        <v>115</v>
      </c>
      <c r="K127" s="30" t="s">
        <v>107</v>
      </c>
      <c r="M127" s="124"/>
    </row>
    <row r="128" spans="2:13">
      <c r="C128" s="178" t="s">
        <v>893</v>
      </c>
      <c r="D128" s="217"/>
      <c r="E128" s="218"/>
      <c r="F128" s="31"/>
      <c r="G128" s="38"/>
      <c r="H128" s="37"/>
      <c r="I128" s="38"/>
      <c r="J128" s="38">
        <v>875.04</v>
      </c>
      <c r="K128" s="39">
        <f>J128</f>
        <v>875.04</v>
      </c>
      <c r="M128" s="124"/>
    </row>
    <row r="129" spans="2:13" ht="14.4" customHeight="1">
      <c r="C129" s="165" t="s">
        <v>902</v>
      </c>
      <c r="D129" s="165"/>
      <c r="E129" s="165"/>
      <c r="F129" s="31"/>
      <c r="G129" s="31"/>
      <c r="H129" s="31"/>
      <c r="I129" s="31"/>
      <c r="J129" s="31">
        <v>38.770000000000003</v>
      </c>
      <c r="K129" s="39">
        <f>J129</f>
        <v>38.770000000000003</v>
      </c>
      <c r="M129" s="124"/>
    </row>
    <row r="130" spans="2:13" ht="14.4" customHeight="1">
      <c r="C130" s="207" t="s">
        <v>903</v>
      </c>
      <c r="D130" s="208"/>
      <c r="E130" s="209"/>
      <c r="F130" s="31"/>
      <c r="G130" s="31"/>
      <c r="H130" s="31"/>
      <c r="I130" s="31"/>
      <c r="J130" s="31">
        <v>50</v>
      </c>
      <c r="K130" s="39">
        <f>J130</f>
        <v>50</v>
      </c>
      <c r="M130" s="124"/>
    </row>
    <row r="131" spans="2:13">
      <c r="C131" s="166" t="s">
        <v>110</v>
      </c>
      <c r="D131" s="166"/>
      <c r="E131" s="166"/>
      <c r="F131" s="166"/>
      <c r="G131" s="166"/>
      <c r="H131" s="166"/>
      <c r="I131" s="166"/>
      <c r="J131" s="166"/>
      <c r="K131" s="33">
        <f>SUM(K128:K130)</f>
        <v>963.81</v>
      </c>
      <c r="M131" s="124"/>
    </row>
    <row r="132" spans="2:13">
      <c r="M132" s="124"/>
    </row>
    <row r="133" spans="2:13" ht="25.2" customHeight="1">
      <c r="B133" s="19" t="s">
        <v>137</v>
      </c>
      <c r="C133" s="219" t="s">
        <v>492</v>
      </c>
      <c r="D133" s="219"/>
      <c r="E133" s="219"/>
      <c r="F133" s="219"/>
      <c r="G133" s="219"/>
      <c r="H133" s="219"/>
      <c r="I133" s="219"/>
      <c r="J133" s="219"/>
      <c r="K133" s="36" t="s">
        <v>106</v>
      </c>
      <c r="L133" s="27">
        <f>K138</f>
        <v>813.71</v>
      </c>
      <c r="M133" s="124"/>
    </row>
    <row r="134" spans="2:13">
      <c r="C134" s="174" t="s">
        <v>113</v>
      </c>
      <c r="D134" s="175"/>
      <c r="E134" s="176"/>
      <c r="F134" s="29" t="s">
        <v>102</v>
      </c>
      <c r="G134" s="28" t="s">
        <v>103</v>
      </c>
      <c r="H134" s="29" t="s">
        <v>104</v>
      </c>
      <c r="I134" s="28" t="s">
        <v>105</v>
      </c>
      <c r="J134" s="28" t="s">
        <v>115</v>
      </c>
      <c r="K134" s="30" t="s">
        <v>107</v>
      </c>
      <c r="M134" s="124"/>
    </row>
    <row r="135" spans="2:13">
      <c r="C135" s="178" t="s">
        <v>893</v>
      </c>
      <c r="D135" s="217"/>
      <c r="E135" s="218"/>
      <c r="F135" s="31"/>
      <c r="G135" s="38"/>
      <c r="H135" s="37"/>
      <c r="I135" s="38"/>
      <c r="J135" s="38">
        <v>623.4</v>
      </c>
      <c r="K135" s="39">
        <f>J135</f>
        <v>623.4</v>
      </c>
      <c r="M135" s="124"/>
    </row>
    <row r="136" spans="2:13">
      <c r="C136" s="165" t="s">
        <v>902</v>
      </c>
      <c r="D136" s="165"/>
      <c r="E136" s="165"/>
      <c r="F136" s="31"/>
      <c r="G136" s="31"/>
      <c r="H136" s="31"/>
      <c r="I136" s="31"/>
      <c r="J136" s="31">
        <v>40.31</v>
      </c>
      <c r="K136" s="39">
        <f>J136</f>
        <v>40.31</v>
      </c>
      <c r="M136" s="124"/>
    </row>
    <row r="137" spans="2:13">
      <c r="C137" s="207" t="s">
        <v>903</v>
      </c>
      <c r="D137" s="208"/>
      <c r="E137" s="209"/>
      <c r="F137" s="31"/>
      <c r="G137" s="31"/>
      <c r="H137" s="31"/>
      <c r="I137" s="31"/>
      <c r="J137" s="31">
        <v>150</v>
      </c>
      <c r="K137" s="39">
        <f>J137</f>
        <v>150</v>
      </c>
      <c r="M137" s="124"/>
    </row>
    <row r="138" spans="2:13">
      <c r="C138" s="166" t="s">
        <v>110</v>
      </c>
      <c r="D138" s="166"/>
      <c r="E138" s="166"/>
      <c r="F138" s="166"/>
      <c r="G138" s="166"/>
      <c r="H138" s="166"/>
      <c r="I138" s="166"/>
      <c r="J138" s="166"/>
      <c r="K138" s="33">
        <f>SUM(K135:K137)</f>
        <v>813.71</v>
      </c>
      <c r="M138" s="124"/>
    </row>
    <row r="139" spans="2:13">
      <c r="C139" s="41"/>
      <c r="D139" s="41"/>
      <c r="E139" s="41"/>
      <c r="F139" s="41"/>
      <c r="G139" s="41"/>
      <c r="H139" s="41"/>
      <c r="I139" s="41"/>
      <c r="J139" s="41"/>
      <c r="K139" s="42"/>
      <c r="M139" s="124"/>
    </row>
    <row r="140" spans="2:13" ht="23.4" customHeight="1">
      <c r="B140" s="19" t="s">
        <v>139</v>
      </c>
      <c r="C140" s="219" t="s">
        <v>34</v>
      </c>
      <c r="D140" s="219"/>
      <c r="E140" s="219"/>
      <c r="F140" s="219"/>
      <c r="G140" s="219"/>
      <c r="H140" s="219"/>
      <c r="I140" s="219"/>
      <c r="J140" s="219"/>
      <c r="K140" s="36" t="s">
        <v>106</v>
      </c>
      <c r="L140" s="27">
        <f>K143</f>
        <v>250</v>
      </c>
      <c r="M140" s="124"/>
    </row>
    <row r="141" spans="2:13">
      <c r="C141" s="174" t="s">
        <v>113</v>
      </c>
      <c r="D141" s="175"/>
      <c r="E141" s="176"/>
      <c r="F141" s="29" t="s">
        <v>102</v>
      </c>
      <c r="G141" s="28" t="s">
        <v>103</v>
      </c>
      <c r="H141" s="29" t="s">
        <v>104</v>
      </c>
      <c r="I141" s="28" t="s">
        <v>105</v>
      </c>
      <c r="J141" s="28" t="s">
        <v>115</v>
      </c>
      <c r="K141" s="30" t="s">
        <v>107</v>
      </c>
      <c r="M141" s="124"/>
    </row>
    <row r="142" spans="2:13">
      <c r="C142" s="178" t="s">
        <v>109</v>
      </c>
      <c r="D142" s="217"/>
      <c r="E142" s="218"/>
      <c r="F142" s="31">
        <v>2</v>
      </c>
      <c r="G142" s="38"/>
      <c r="H142" s="37"/>
      <c r="I142" s="38"/>
      <c r="J142" s="38">
        <f>250</f>
        <v>250</v>
      </c>
      <c r="K142" s="39">
        <f>J142</f>
        <v>250</v>
      </c>
      <c r="M142" s="124"/>
    </row>
    <row r="143" spans="2:13">
      <c r="C143" s="166" t="s">
        <v>110</v>
      </c>
      <c r="D143" s="166"/>
      <c r="E143" s="166"/>
      <c r="F143" s="166"/>
      <c r="G143" s="166"/>
      <c r="H143" s="166"/>
      <c r="I143" s="166"/>
      <c r="J143" s="166"/>
      <c r="K143" s="33">
        <f>250</f>
        <v>250</v>
      </c>
      <c r="M143" s="124"/>
    </row>
    <row r="144" spans="2:13">
      <c r="C144" s="41"/>
      <c r="D144" s="41"/>
      <c r="E144" s="41"/>
      <c r="F144" s="41"/>
      <c r="G144" s="41"/>
      <c r="H144" s="41"/>
      <c r="I144" s="41"/>
      <c r="J144" s="41"/>
      <c r="K144" s="42"/>
      <c r="M144" s="124"/>
    </row>
    <row r="145" spans="2:13">
      <c r="B145" s="34" t="s">
        <v>904</v>
      </c>
      <c r="C145" s="168" t="str">
        <f>JANDUÍ!D35</f>
        <v>PINTURA</v>
      </c>
      <c r="D145" s="168"/>
      <c r="E145" s="168"/>
      <c r="F145" s="168"/>
      <c r="G145" s="168"/>
      <c r="H145" s="168"/>
      <c r="I145" s="168"/>
      <c r="J145" s="168"/>
      <c r="K145" s="168"/>
      <c r="L145" s="168"/>
      <c r="M145" s="124"/>
    </row>
    <row r="146" spans="2:13" ht="27" customHeight="1">
      <c r="B146" s="19" t="s">
        <v>143</v>
      </c>
      <c r="C146" s="169" t="s">
        <v>497</v>
      </c>
      <c r="D146" s="169"/>
      <c r="E146" s="169"/>
      <c r="F146" s="169"/>
      <c r="G146" s="169"/>
      <c r="H146" s="169"/>
      <c r="I146" s="169"/>
      <c r="J146" s="169"/>
      <c r="K146" s="36" t="s">
        <v>106</v>
      </c>
      <c r="L146" s="27">
        <f>K149</f>
        <v>3202.72</v>
      </c>
      <c r="M146" s="124"/>
    </row>
    <row r="147" spans="2:13">
      <c r="C147" s="167" t="s">
        <v>113</v>
      </c>
      <c r="D147" s="167"/>
      <c r="E147" s="167"/>
      <c r="F147" s="29" t="s">
        <v>102</v>
      </c>
      <c r="G147" s="28" t="s">
        <v>103</v>
      </c>
      <c r="H147" s="29" t="s">
        <v>104</v>
      </c>
      <c r="I147" s="28" t="s">
        <v>105</v>
      </c>
      <c r="J147" s="28" t="s">
        <v>115</v>
      </c>
      <c r="K147" s="30" t="s">
        <v>107</v>
      </c>
      <c r="M147" s="124"/>
    </row>
    <row r="148" spans="2:13">
      <c r="C148" s="165" t="s">
        <v>905</v>
      </c>
      <c r="D148" s="165"/>
      <c r="E148" s="165"/>
      <c r="F148" s="31"/>
      <c r="G148" s="31"/>
      <c r="H148" s="31"/>
      <c r="I148" s="31"/>
      <c r="J148" s="31">
        <f>3202.72</f>
        <v>3202.72</v>
      </c>
      <c r="K148" s="32">
        <f>J148</f>
        <v>3202.72</v>
      </c>
      <c r="M148" s="124"/>
    </row>
    <row r="149" spans="2:13">
      <c r="C149" s="166" t="s">
        <v>110</v>
      </c>
      <c r="D149" s="166"/>
      <c r="E149" s="166"/>
      <c r="F149" s="166"/>
      <c r="G149" s="166"/>
      <c r="H149" s="166"/>
      <c r="I149" s="166"/>
      <c r="J149" s="166"/>
      <c r="K149" s="134">
        <f>SUM(K148)</f>
        <v>3202.72</v>
      </c>
      <c r="M149" s="124"/>
    </row>
    <row r="150" spans="2:13">
      <c r="C150" s="40"/>
      <c r="D150" s="40"/>
      <c r="E150" s="40"/>
      <c r="F150" s="40"/>
      <c r="G150" s="40"/>
      <c r="H150" s="40"/>
      <c r="I150" s="40"/>
      <c r="J150" s="40"/>
      <c r="K150" s="40"/>
      <c r="M150" s="124"/>
    </row>
    <row r="151" spans="2:13" ht="27" customHeight="1">
      <c r="B151" s="19" t="s">
        <v>145</v>
      </c>
      <c r="C151" s="169" t="s">
        <v>499</v>
      </c>
      <c r="D151" s="169"/>
      <c r="E151" s="169"/>
      <c r="F151" s="169"/>
      <c r="G151" s="169"/>
      <c r="H151" s="169"/>
      <c r="I151" s="169"/>
      <c r="J151" s="169"/>
      <c r="K151" s="36" t="s">
        <v>106</v>
      </c>
      <c r="L151" s="27">
        <f>K153</f>
        <v>1198.04</v>
      </c>
      <c r="M151" s="124"/>
    </row>
    <row r="152" spans="2:13">
      <c r="C152" s="167" t="s">
        <v>113</v>
      </c>
      <c r="D152" s="167"/>
      <c r="E152" s="167"/>
      <c r="F152" s="29" t="s">
        <v>102</v>
      </c>
      <c r="G152" s="28" t="s">
        <v>103</v>
      </c>
      <c r="H152" s="29" t="s">
        <v>104</v>
      </c>
      <c r="I152" s="28" t="s">
        <v>105</v>
      </c>
      <c r="J152" s="28" t="s">
        <v>115</v>
      </c>
      <c r="K152" s="30" t="s">
        <v>107</v>
      </c>
      <c r="M152" s="124"/>
    </row>
    <row r="153" spans="2:13" ht="14.4" customHeight="1">
      <c r="C153" s="165" t="s">
        <v>906</v>
      </c>
      <c r="D153" s="165"/>
      <c r="E153" s="165"/>
      <c r="F153" s="31"/>
      <c r="G153" s="31"/>
      <c r="H153" s="31"/>
      <c r="I153" s="31"/>
      <c r="J153" s="31">
        <v>1198.04</v>
      </c>
      <c r="K153" s="32">
        <f>J153</f>
        <v>1198.04</v>
      </c>
      <c r="M153" s="124"/>
    </row>
    <row r="154" spans="2:13">
      <c r="C154" s="166" t="s">
        <v>110</v>
      </c>
      <c r="D154" s="166"/>
      <c r="E154" s="166"/>
      <c r="F154" s="166"/>
      <c r="G154" s="166"/>
      <c r="H154" s="166"/>
      <c r="I154" s="166"/>
      <c r="J154" s="166"/>
      <c r="K154" s="33">
        <f>SUM(K153:K153)</f>
        <v>1198.04</v>
      </c>
      <c r="M154" s="124"/>
    </row>
    <row r="155" spans="2:13">
      <c r="M155" s="124"/>
    </row>
    <row r="156" spans="2:13" ht="16.2" customHeight="1">
      <c r="B156" s="19" t="s">
        <v>472</v>
      </c>
      <c r="C156" s="169" t="s">
        <v>336</v>
      </c>
      <c r="D156" s="169"/>
      <c r="E156" s="169"/>
      <c r="F156" s="169"/>
      <c r="G156" s="169"/>
      <c r="H156" s="169"/>
      <c r="I156" s="169"/>
      <c r="J156" s="169"/>
      <c r="K156" s="36" t="s">
        <v>106</v>
      </c>
      <c r="L156" s="27">
        <f>K158</f>
        <v>3874.76</v>
      </c>
      <c r="M156" s="124"/>
    </row>
    <row r="157" spans="2:13">
      <c r="C157" s="167" t="s">
        <v>113</v>
      </c>
      <c r="D157" s="167"/>
      <c r="E157" s="167"/>
      <c r="F157" s="29" t="s">
        <v>102</v>
      </c>
      <c r="G157" s="28" t="s">
        <v>103</v>
      </c>
      <c r="H157" s="29" t="s">
        <v>104</v>
      </c>
      <c r="I157" s="28" t="s">
        <v>105</v>
      </c>
      <c r="J157" s="28" t="s">
        <v>115</v>
      </c>
      <c r="K157" s="30" t="s">
        <v>107</v>
      </c>
      <c r="M157" s="124"/>
    </row>
    <row r="158" spans="2:13">
      <c r="C158" s="165" t="s">
        <v>907</v>
      </c>
      <c r="D158" s="165"/>
      <c r="E158" s="165"/>
      <c r="F158" s="31"/>
      <c r="G158" s="31"/>
      <c r="H158" s="31"/>
      <c r="I158" s="31"/>
      <c r="J158" s="31">
        <v>3874.76</v>
      </c>
      <c r="K158" s="32">
        <f>J158</f>
        <v>3874.76</v>
      </c>
      <c r="M158" s="124"/>
    </row>
    <row r="159" spans="2:13">
      <c r="C159" s="166" t="s">
        <v>110</v>
      </c>
      <c r="D159" s="166"/>
      <c r="E159" s="166"/>
      <c r="F159" s="166"/>
      <c r="G159" s="166"/>
      <c r="H159" s="166"/>
      <c r="I159" s="166"/>
      <c r="J159" s="166"/>
      <c r="K159" s="33">
        <f>SUM(K158:K158)</f>
        <v>3874.76</v>
      </c>
      <c r="M159" s="124"/>
    </row>
    <row r="160" spans="2:13">
      <c r="M160" s="124"/>
    </row>
    <row r="161" spans="2:13" ht="31.2" customHeight="1">
      <c r="B161" s="19" t="s">
        <v>473</v>
      </c>
      <c r="C161" s="169" t="str">
        <f>JANDUÍ!D39</f>
        <v>APLICAÇÃO MANUAL DE FUNDO SELADOR ACRÍLICO EM PAREDES EXTERNAS DE CASAS. AF_06/2014</v>
      </c>
      <c r="D161" s="169"/>
      <c r="E161" s="169"/>
      <c r="F161" s="169"/>
      <c r="G161" s="169"/>
      <c r="H161" s="169"/>
      <c r="I161" s="169"/>
      <c r="J161" s="169"/>
      <c r="K161" s="36" t="s">
        <v>106</v>
      </c>
      <c r="L161" s="27">
        <f>K165</f>
        <v>5072.8</v>
      </c>
      <c r="M161" s="124"/>
    </row>
    <row r="162" spans="2:13">
      <c r="C162" s="167" t="s">
        <v>113</v>
      </c>
      <c r="D162" s="167"/>
      <c r="E162" s="167"/>
      <c r="F162" s="29" t="s">
        <v>102</v>
      </c>
      <c r="G162" s="28" t="s">
        <v>103</v>
      </c>
      <c r="H162" s="29" t="s">
        <v>104</v>
      </c>
      <c r="I162" s="28" t="s">
        <v>105</v>
      </c>
      <c r="J162" s="28" t="s">
        <v>115</v>
      </c>
      <c r="K162" s="30" t="s">
        <v>107</v>
      </c>
      <c r="M162" s="124"/>
    </row>
    <row r="163" spans="2:13" ht="14.4" customHeight="1">
      <c r="C163" s="165" t="s">
        <v>906</v>
      </c>
      <c r="D163" s="165"/>
      <c r="E163" s="165"/>
      <c r="F163" s="31"/>
      <c r="G163" s="31"/>
      <c r="H163" s="31"/>
      <c r="I163" s="31"/>
      <c r="J163" s="31">
        <f>J153</f>
        <v>1198.04</v>
      </c>
      <c r="K163" s="32">
        <f>J163</f>
        <v>1198.04</v>
      </c>
      <c r="M163" s="124"/>
    </row>
    <row r="164" spans="2:13" ht="14.4" customHeight="1">
      <c r="C164" s="165" t="s">
        <v>907</v>
      </c>
      <c r="D164" s="165"/>
      <c r="E164" s="165"/>
      <c r="F164" s="31"/>
      <c r="G164" s="31"/>
      <c r="H164" s="31"/>
      <c r="I164" s="31"/>
      <c r="J164" s="31">
        <f>J158</f>
        <v>3874.76</v>
      </c>
      <c r="K164" s="32">
        <f>J164</f>
        <v>3874.76</v>
      </c>
      <c r="M164" s="124"/>
    </row>
    <row r="165" spans="2:13">
      <c r="C165" s="166" t="s">
        <v>110</v>
      </c>
      <c r="D165" s="166"/>
      <c r="E165" s="166"/>
      <c r="F165" s="166"/>
      <c r="G165" s="166"/>
      <c r="H165" s="166"/>
      <c r="I165" s="166"/>
      <c r="J165" s="166"/>
      <c r="K165" s="33">
        <f>SUM(K163:K164)</f>
        <v>5072.8</v>
      </c>
      <c r="M165" s="124"/>
    </row>
    <row r="166" spans="2:13">
      <c r="M166" s="124"/>
    </row>
    <row r="167" spans="2:13" ht="14.4" customHeight="1">
      <c r="B167" s="19" t="s">
        <v>474</v>
      </c>
      <c r="C167" s="169" t="str">
        <f>JANDUÍ!D40</f>
        <v>APLICAÇÃO MANUAL DE TINTA LÁTEX ACRÍLICA EM PAREDE EXTERNAS DE CASAS, DUAS DEMÃOS. AF_11/2016</v>
      </c>
      <c r="D167" s="169"/>
      <c r="E167" s="169"/>
      <c r="F167" s="169"/>
      <c r="G167" s="169"/>
      <c r="H167" s="169"/>
      <c r="I167" s="169"/>
      <c r="J167" s="169"/>
      <c r="K167" s="36" t="s">
        <v>106</v>
      </c>
      <c r="L167" s="27">
        <f>K171</f>
        <v>5072.8</v>
      </c>
      <c r="M167" s="124"/>
    </row>
    <row r="168" spans="2:13">
      <c r="C168" s="167" t="s">
        <v>113</v>
      </c>
      <c r="D168" s="167"/>
      <c r="E168" s="167"/>
      <c r="F168" s="29" t="s">
        <v>102</v>
      </c>
      <c r="G168" s="28" t="s">
        <v>103</v>
      </c>
      <c r="H168" s="29" t="s">
        <v>104</v>
      </c>
      <c r="I168" s="28" t="s">
        <v>105</v>
      </c>
      <c r="J168" s="28" t="s">
        <v>115</v>
      </c>
      <c r="K168" s="30" t="s">
        <v>107</v>
      </c>
      <c r="M168" s="124"/>
    </row>
    <row r="169" spans="2:13" ht="14.4" customHeight="1">
      <c r="C169" s="165" t="s">
        <v>906</v>
      </c>
      <c r="D169" s="165"/>
      <c r="E169" s="165"/>
      <c r="F169" s="31"/>
      <c r="G169" s="31"/>
      <c r="H169" s="31"/>
      <c r="I169" s="31"/>
      <c r="J169" s="31">
        <f>J153</f>
        <v>1198.04</v>
      </c>
      <c r="K169" s="32">
        <f>J169</f>
        <v>1198.04</v>
      </c>
      <c r="M169" s="124"/>
    </row>
    <row r="170" spans="2:13">
      <c r="C170" s="165" t="s">
        <v>907</v>
      </c>
      <c r="D170" s="165"/>
      <c r="E170" s="165"/>
      <c r="F170" s="31"/>
      <c r="G170" s="31"/>
      <c r="H170" s="31"/>
      <c r="I170" s="31"/>
      <c r="J170" s="31">
        <f>J164</f>
        <v>3874.76</v>
      </c>
      <c r="K170" s="32">
        <f>J170</f>
        <v>3874.76</v>
      </c>
      <c r="M170" s="124"/>
    </row>
    <row r="171" spans="2:13">
      <c r="C171" s="166" t="s">
        <v>110</v>
      </c>
      <c r="D171" s="166"/>
      <c r="E171" s="166"/>
      <c r="F171" s="166"/>
      <c r="G171" s="166"/>
      <c r="H171" s="166"/>
      <c r="I171" s="166"/>
      <c r="J171" s="166"/>
      <c r="K171" s="33">
        <f>SUM(K169:K170)</f>
        <v>5072.8</v>
      </c>
      <c r="M171" s="124"/>
    </row>
    <row r="172" spans="2:13">
      <c r="M172" s="124"/>
    </row>
    <row r="173" spans="2:13" ht="14.4" customHeight="1">
      <c r="B173" s="19" t="s">
        <v>475</v>
      </c>
      <c r="C173" s="169" t="str">
        <f>JANDUÍ!D41</f>
        <v>PINTURA TINTA DE ACABAMENTO (PIGMENTADA) ESMALTE SINTÉTICO ACETINADO EM MADEIRA, 2 DEMÃOS. AF_01/2021</v>
      </c>
      <c r="D173" s="169"/>
      <c r="E173" s="169"/>
      <c r="F173" s="169"/>
      <c r="G173" s="169"/>
      <c r="H173" s="169"/>
      <c r="I173" s="169"/>
      <c r="J173" s="169"/>
      <c r="K173" s="36" t="s">
        <v>106</v>
      </c>
      <c r="L173" s="27">
        <f>K176</f>
        <v>231.84</v>
      </c>
      <c r="M173" s="124"/>
    </row>
    <row r="174" spans="2:13">
      <c r="C174" s="167" t="s">
        <v>113</v>
      </c>
      <c r="D174" s="167"/>
      <c r="E174" s="167"/>
      <c r="F174" s="29" t="s">
        <v>102</v>
      </c>
      <c r="G174" s="28" t="s">
        <v>103</v>
      </c>
      <c r="H174" s="29" t="s">
        <v>104</v>
      </c>
      <c r="I174" s="28" t="s">
        <v>105</v>
      </c>
      <c r="J174" s="28" t="s">
        <v>115</v>
      </c>
      <c r="K174" s="30" t="s">
        <v>107</v>
      </c>
      <c r="M174" s="124"/>
    </row>
    <row r="175" spans="2:13">
      <c r="C175" s="165" t="s">
        <v>908</v>
      </c>
      <c r="D175" s="165"/>
      <c r="E175" s="165"/>
      <c r="F175" s="31"/>
      <c r="G175" s="31"/>
      <c r="H175" s="31"/>
      <c r="I175" s="31"/>
      <c r="J175" s="31">
        <v>231.84</v>
      </c>
      <c r="K175" s="32">
        <f>J175</f>
        <v>231.84</v>
      </c>
      <c r="M175" s="124"/>
    </row>
    <row r="176" spans="2:13">
      <c r="C176" s="166" t="s">
        <v>110</v>
      </c>
      <c r="D176" s="166"/>
      <c r="E176" s="166"/>
      <c r="F176" s="166"/>
      <c r="G176" s="166"/>
      <c r="H176" s="166"/>
      <c r="I176" s="166"/>
      <c r="J176" s="166"/>
      <c r="K176" s="33">
        <f>SUM(K175:K175)</f>
        <v>231.84</v>
      </c>
      <c r="M176" s="124"/>
    </row>
    <row r="177" spans="2:13">
      <c r="M177" s="124"/>
    </row>
    <row r="178" spans="2:13">
      <c r="B178" s="19" t="s">
        <v>725</v>
      </c>
      <c r="C178" s="169" t="str">
        <f>JANDUÍ!D42</f>
        <v>PINTURA COM TINTA ALQUÍDICA DE ACABAMENTO (ESMALTE SINTÉTICO ACETINADO) PULVERIZADA SOBRE SUPERFÍCIES METÁLICAS (EXCETO PERFIL) EXECUTADO EM OBRA (02 DEMÃOS). AF_01/2020_PE</v>
      </c>
      <c r="D178" s="169"/>
      <c r="E178" s="169"/>
      <c r="F178" s="169"/>
      <c r="G178" s="169"/>
      <c r="H178" s="169"/>
      <c r="I178" s="169"/>
      <c r="J178" s="169"/>
      <c r="K178" s="36" t="s">
        <v>106</v>
      </c>
      <c r="L178" s="27">
        <f>K181</f>
        <v>110</v>
      </c>
      <c r="M178" s="124"/>
    </row>
    <row r="179" spans="2:13">
      <c r="C179" s="167" t="s">
        <v>113</v>
      </c>
      <c r="D179" s="167"/>
      <c r="E179" s="167"/>
      <c r="F179" s="29" t="s">
        <v>102</v>
      </c>
      <c r="G179" s="28" t="s">
        <v>103</v>
      </c>
      <c r="H179" s="29" t="s">
        <v>104</v>
      </c>
      <c r="I179" s="28" t="s">
        <v>105</v>
      </c>
      <c r="J179" s="28" t="s">
        <v>115</v>
      </c>
      <c r="K179" s="30" t="s">
        <v>107</v>
      </c>
      <c r="M179" s="124"/>
    </row>
    <row r="180" spans="2:13">
      <c r="C180" s="165" t="s">
        <v>721</v>
      </c>
      <c r="D180" s="165"/>
      <c r="E180" s="165"/>
      <c r="F180" s="31"/>
      <c r="G180" s="31"/>
      <c r="H180" s="31"/>
      <c r="I180" s="31"/>
      <c r="J180" s="31">
        <f>JANDUÍ!F42</f>
        <v>110</v>
      </c>
      <c r="K180" s="32">
        <f>J180</f>
        <v>110</v>
      </c>
      <c r="M180" s="124"/>
    </row>
    <row r="181" spans="2:13">
      <c r="C181" s="166" t="s">
        <v>110</v>
      </c>
      <c r="D181" s="166"/>
      <c r="E181" s="166"/>
      <c r="F181" s="166"/>
      <c r="G181" s="166"/>
      <c r="H181" s="166"/>
      <c r="I181" s="166"/>
      <c r="J181" s="166"/>
      <c r="K181" s="33">
        <f>SUM(K180:K180)</f>
        <v>110</v>
      </c>
      <c r="M181" s="124"/>
    </row>
    <row r="182" spans="2:13">
      <c r="M182" s="124"/>
    </row>
    <row r="183" spans="2:13">
      <c r="B183" s="19" t="s">
        <v>726</v>
      </c>
      <c r="C183" s="169" t="str">
        <f>JANDUÍ!D43</f>
        <v>APLICAÇÃO MANUAL DE PINTURA COM TINTA LÁTEX ACRÍLICA EM PAREDES, DUAS DEMÃOS. AF_06/2014</v>
      </c>
      <c r="D183" s="169"/>
      <c r="E183" s="169"/>
      <c r="F183" s="169"/>
      <c r="G183" s="169"/>
      <c r="H183" s="169"/>
      <c r="I183" s="169"/>
      <c r="J183" s="169"/>
      <c r="K183" s="36" t="s">
        <v>106</v>
      </c>
      <c r="L183" s="27">
        <f>K186</f>
        <v>1200</v>
      </c>
      <c r="M183" s="124"/>
    </row>
    <row r="184" spans="2:13">
      <c r="C184" s="167" t="s">
        <v>113</v>
      </c>
      <c r="D184" s="167"/>
      <c r="E184" s="167"/>
      <c r="F184" s="29" t="s">
        <v>102</v>
      </c>
      <c r="G184" s="28" t="s">
        <v>103</v>
      </c>
      <c r="H184" s="29" t="s">
        <v>104</v>
      </c>
      <c r="I184" s="28" t="s">
        <v>105</v>
      </c>
      <c r="J184" s="28" t="s">
        <v>115</v>
      </c>
      <c r="K184" s="30" t="s">
        <v>107</v>
      </c>
      <c r="M184" s="124"/>
    </row>
    <row r="185" spans="2:13">
      <c r="C185" s="165" t="s">
        <v>909</v>
      </c>
      <c r="D185" s="165"/>
      <c r="E185" s="165"/>
      <c r="F185" s="31"/>
      <c r="G185" s="31"/>
      <c r="H185" s="31"/>
      <c r="I185" s="31"/>
      <c r="J185" s="31">
        <f>JANDUÍ!F43</f>
        <v>1200</v>
      </c>
      <c r="K185" s="32">
        <f>J185</f>
        <v>1200</v>
      </c>
      <c r="M185" s="124"/>
    </row>
    <row r="186" spans="2:13">
      <c r="C186" s="166" t="s">
        <v>110</v>
      </c>
      <c r="D186" s="166"/>
      <c r="E186" s="166"/>
      <c r="F186" s="166"/>
      <c r="G186" s="166"/>
      <c r="H186" s="166"/>
      <c r="I186" s="166"/>
      <c r="J186" s="166"/>
      <c r="K186" s="33">
        <f>SUM(K185:K185)</f>
        <v>1200</v>
      </c>
      <c r="M186" s="124"/>
    </row>
    <row r="187" spans="2:13">
      <c r="M187" s="124"/>
    </row>
    <row r="188" spans="2:13">
      <c r="B188" s="19" t="s">
        <v>910</v>
      </c>
      <c r="C188" s="169" t="str">
        <f>JANDUÍ!D44</f>
        <v>IMPERMEABILIZAÇÃO DE SUPERFÍCIE COM EMULSÃO ASFÁLTICA, 2 DEMÃOS AF_06/2018</v>
      </c>
      <c r="D188" s="169"/>
      <c r="E188" s="169"/>
      <c r="F188" s="169"/>
      <c r="G188" s="169"/>
      <c r="H188" s="169"/>
      <c r="I188" s="169"/>
      <c r="J188" s="169"/>
      <c r="K188" s="36" t="s">
        <v>106</v>
      </c>
      <c r="L188" s="27">
        <f>K191</f>
        <v>1409.7719999999999</v>
      </c>
      <c r="M188" s="124"/>
    </row>
    <row r="189" spans="2:13">
      <c r="C189" s="167" t="s">
        <v>113</v>
      </c>
      <c r="D189" s="167"/>
      <c r="E189" s="167"/>
      <c r="F189" s="29" t="s">
        <v>102</v>
      </c>
      <c r="G189" s="28" t="s">
        <v>103</v>
      </c>
      <c r="H189" s="29" t="s">
        <v>104</v>
      </c>
      <c r="I189" s="28" t="s">
        <v>105</v>
      </c>
      <c r="J189" s="28" t="s">
        <v>115</v>
      </c>
      <c r="K189" s="30" t="s">
        <v>107</v>
      </c>
      <c r="M189" s="124"/>
    </row>
    <row r="190" spans="2:13">
      <c r="C190" s="165" t="s">
        <v>911</v>
      </c>
      <c r="D190" s="165"/>
      <c r="E190" s="165"/>
      <c r="F190" s="31">
        <v>2</v>
      </c>
      <c r="G190" s="31">
        <v>0.6</v>
      </c>
      <c r="H190" s="31"/>
      <c r="I190" s="31">
        <v>1174.81</v>
      </c>
      <c r="J190" s="31"/>
      <c r="K190" s="32">
        <f>I190*G190*F190</f>
        <v>1409.7719999999999</v>
      </c>
      <c r="M190" s="124"/>
    </row>
    <row r="191" spans="2:13">
      <c r="C191" s="166" t="s">
        <v>110</v>
      </c>
      <c r="D191" s="166"/>
      <c r="E191" s="166"/>
      <c r="F191" s="166"/>
      <c r="G191" s="166"/>
      <c r="H191" s="166"/>
      <c r="I191" s="166"/>
      <c r="J191" s="166"/>
      <c r="K191" s="33">
        <f>SUM(K190:K190)</f>
        <v>1409.7719999999999</v>
      </c>
      <c r="M191" s="124"/>
    </row>
    <row r="192" spans="2:13">
      <c r="C192" s="41"/>
      <c r="D192" s="41"/>
      <c r="E192" s="41"/>
      <c r="F192" s="41"/>
      <c r="G192" s="41"/>
      <c r="H192" s="41"/>
      <c r="I192" s="41"/>
      <c r="J192" s="41"/>
      <c r="K192" s="42"/>
      <c r="M192" s="124"/>
    </row>
    <row r="193" spans="2:13">
      <c r="B193" s="34" t="s">
        <v>147</v>
      </c>
      <c r="C193" s="168" t="str">
        <f>JANDUÍ!D45</f>
        <v>INSTALAÇAOES ELETRICAS</v>
      </c>
      <c r="D193" s="168"/>
      <c r="E193" s="168"/>
      <c r="F193" s="168"/>
      <c r="G193" s="168"/>
      <c r="H193" s="168"/>
      <c r="I193" s="168"/>
      <c r="J193" s="168"/>
      <c r="K193" s="168"/>
      <c r="L193" s="168"/>
      <c r="M193" s="124"/>
    </row>
    <row r="194" spans="2:13" ht="26.4" customHeight="1">
      <c r="B194" s="19" t="s">
        <v>148</v>
      </c>
      <c r="C194" s="169" t="str">
        <f>JANDUÍ!D46</f>
        <v>REVISÃO DE PONTO DE TOMADA SIMPLES COM REPOSIÇÃO DA TOMADA E DA FIAÇÃO</v>
      </c>
      <c r="D194" s="169"/>
      <c r="E194" s="169"/>
      <c r="F194" s="169"/>
      <c r="G194" s="169"/>
      <c r="H194" s="169"/>
      <c r="I194" s="169"/>
      <c r="J194" s="169"/>
      <c r="K194" s="36" t="str">
        <f>JANDUÍ!E46</f>
        <v>PT</v>
      </c>
      <c r="L194" s="27">
        <f>K197</f>
        <v>20</v>
      </c>
      <c r="M194" s="124"/>
    </row>
    <row r="195" spans="2:13">
      <c r="C195" s="167" t="s">
        <v>113</v>
      </c>
      <c r="D195" s="167"/>
      <c r="E195" s="167"/>
      <c r="F195" s="29" t="s">
        <v>102</v>
      </c>
      <c r="G195" s="28" t="s">
        <v>103</v>
      </c>
      <c r="H195" s="29" t="s">
        <v>104</v>
      </c>
      <c r="I195" s="28" t="s">
        <v>105</v>
      </c>
      <c r="J195" s="28" t="s">
        <v>106</v>
      </c>
      <c r="K195" s="30" t="s">
        <v>107</v>
      </c>
      <c r="M195" s="124"/>
    </row>
    <row r="196" spans="2:13">
      <c r="C196" s="165" t="s">
        <v>122</v>
      </c>
      <c r="D196" s="165"/>
      <c r="E196" s="165"/>
      <c r="F196" s="31">
        <v>20</v>
      </c>
      <c r="G196" s="31"/>
      <c r="H196" s="31"/>
      <c r="I196" s="31"/>
      <c r="J196" s="31"/>
      <c r="K196" s="32">
        <f>F196</f>
        <v>20</v>
      </c>
      <c r="M196" s="124"/>
    </row>
    <row r="197" spans="2:13">
      <c r="C197" s="166" t="s">
        <v>110</v>
      </c>
      <c r="D197" s="166"/>
      <c r="E197" s="166"/>
      <c r="F197" s="166"/>
      <c r="G197" s="166"/>
      <c r="H197" s="166"/>
      <c r="I197" s="166"/>
      <c r="J197" s="166"/>
      <c r="K197" s="33">
        <f>SUM(K196:K196)</f>
        <v>20</v>
      </c>
      <c r="M197" s="124"/>
    </row>
    <row r="198" spans="2:13">
      <c r="M198" s="124"/>
    </row>
    <row r="199" spans="2:13" ht="14.4" customHeight="1">
      <c r="B199" s="19" t="s">
        <v>477</v>
      </c>
      <c r="C199" s="169" t="str">
        <f>JANDUÍ!D47</f>
        <v>REVISÃO DE PONTO DE INTERRUPTOR COM REPOSIÇÃO DO INTERRUPTOR E FIAÇÃO</v>
      </c>
      <c r="D199" s="169"/>
      <c r="E199" s="169"/>
      <c r="F199" s="169"/>
      <c r="G199" s="169"/>
      <c r="H199" s="169"/>
      <c r="I199" s="169"/>
      <c r="J199" s="169"/>
      <c r="K199" s="36" t="str">
        <f>JANDUÍ!E47</f>
        <v>PT</v>
      </c>
      <c r="L199" s="27">
        <f>K202</f>
        <v>20</v>
      </c>
      <c r="M199" s="124"/>
    </row>
    <row r="200" spans="2:13">
      <c r="C200" s="167" t="s">
        <v>113</v>
      </c>
      <c r="D200" s="167"/>
      <c r="E200" s="167"/>
      <c r="F200" s="29" t="s">
        <v>102</v>
      </c>
      <c r="G200" s="28" t="s">
        <v>103</v>
      </c>
      <c r="H200" s="29" t="s">
        <v>104</v>
      </c>
      <c r="I200" s="28" t="s">
        <v>105</v>
      </c>
      <c r="J200" s="28" t="s">
        <v>106</v>
      </c>
      <c r="K200" s="30" t="s">
        <v>107</v>
      </c>
      <c r="M200" s="124"/>
    </row>
    <row r="201" spans="2:13">
      <c r="C201" s="165" t="s">
        <v>122</v>
      </c>
      <c r="D201" s="165"/>
      <c r="E201" s="165"/>
      <c r="F201" s="31">
        <v>20</v>
      </c>
      <c r="G201" s="31"/>
      <c r="H201" s="31"/>
      <c r="I201" s="31"/>
      <c r="J201" s="31"/>
      <c r="K201" s="32">
        <f>F201</f>
        <v>20</v>
      </c>
      <c r="M201" s="124"/>
    </row>
    <row r="202" spans="2:13">
      <c r="C202" s="166" t="s">
        <v>110</v>
      </c>
      <c r="D202" s="166"/>
      <c r="E202" s="166"/>
      <c r="F202" s="166"/>
      <c r="G202" s="166"/>
      <c r="H202" s="166"/>
      <c r="I202" s="166"/>
      <c r="J202" s="166"/>
      <c r="K202" s="33">
        <f>SUM(K201:K201)</f>
        <v>20</v>
      </c>
      <c r="M202" s="124"/>
    </row>
    <row r="203" spans="2:13">
      <c r="C203" s="41"/>
      <c r="D203" s="41"/>
      <c r="E203" s="41"/>
      <c r="F203" s="41"/>
      <c r="G203" s="41"/>
      <c r="H203" s="41"/>
      <c r="I203" s="41"/>
      <c r="J203" s="41"/>
      <c r="K203" s="42"/>
      <c r="M203" s="124"/>
    </row>
    <row r="204" spans="2:13" ht="14.4" customHeight="1">
      <c r="B204" s="19" t="s">
        <v>727</v>
      </c>
      <c r="C204" s="169" t="str">
        <f>JANDUÍ!D48</f>
        <v>PONTO DE TOMADA RESIDENCIAL INCLUINDO TOMADA 10A/250V, CAIXA ELÉTRICA, ELETRODUTO, CABO, RASGO, QUEBRA E CHUMBAMENTO. AF_01/2016</v>
      </c>
      <c r="D204" s="169"/>
      <c r="E204" s="169"/>
      <c r="F204" s="169"/>
      <c r="G204" s="169"/>
      <c r="H204" s="169"/>
      <c r="I204" s="169"/>
      <c r="J204" s="169"/>
      <c r="K204" s="36" t="str">
        <f>JANDUÍ!E48</f>
        <v>UN</v>
      </c>
      <c r="L204" s="27">
        <f>K207</f>
        <v>40</v>
      </c>
      <c r="M204" s="124"/>
    </row>
    <row r="205" spans="2:13">
      <c r="C205" s="167" t="s">
        <v>113</v>
      </c>
      <c r="D205" s="167"/>
      <c r="E205" s="167"/>
      <c r="F205" s="29" t="s">
        <v>102</v>
      </c>
      <c r="G205" s="28" t="s">
        <v>103</v>
      </c>
      <c r="H205" s="29" t="s">
        <v>104</v>
      </c>
      <c r="I205" s="28" t="s">
        <v>105</v>
      </c>
      <c r="J205" s="28" t="s">
        <v>106</v>
      </c>
      <c r="K205" s="30" t="s">
        <v>107</v>
      </c>
      <c r="M205" s="124"/>
    </row>
    <row r="206" spans="2:13">
      <c r="C206" s="165" t="s">
        <v>122</v>
      </c>
      <c r="D206" s="165"/>
      <c r="E206" s="165"/>
      <c r="F206" s="31">
        <v>40</v>
      </c>
      <c r="G206" s="31"/>
      <c r="H206" s="31"/>
      <c r="I206" s="31"/>
      <c r="J206" s="31"/>
      <c r="K206" s="32">
        <f>F206</f>
        <v>40</v>
      </c>
      <c r="M206" s="124"/>
    </row>
    <row r="207" spans="2:13">
      <c r="C207" s="166" t="s">
        <v>110</v>
      </c>
      <c r="D207" s="166"/>
      <c r="E207" s="166"/>
      <c r="F207" s="166"/>
      <c r="G207" s="166"/>
      <c r="H207" s="166"/>
      <c r="I207" s="166"/>
      <c r="J207" s="166"/>
      <c r="K207" s="33">
        <f>SUM(K206:K206)</f>
        <v>40</v>
      </c>
      <c r="M207" s="124"/>
    </row>
    <row r="208" spans="2:13">
      <c r="M208" s="124"/>
    </row>
    <row r="209" spans="2:13" ht="14.4" customHeight="1">
      <c r="B209" s="19" t="s">
        <v>728</v>
      </c>
      <c r="C209" s="169" t="str">
        <f>JANDUÍ!D49</f>
        <v>CABO DE COBRE FLEXÍVEL ISOLADO, 2,5 MM², ANTI-CHAMA 450/750 V, PARA CIRCUITOS TERMINAIS - FORNECIMENTO E INSTALAÇÃO. AF_12/2015</v>
      </c>
      <c r="D209" s="169"/>
      <c r="E209" s="169"/>
      <c r="F209" s="169"/>
      <c r="G209" s="169"/>
      <c r="H209" s="169"/>
      <c r="I209" s="169"/>
      <c r="J209" s="169"/>
      <c r="K209" s="36" t="str">
        <f>JANDUÍ!E49</f>
        <v>M</v>
      </c>
      <c r="L209" s="27">
        <f>K212</f>
        <v>900</v>
      </c>
      <c r="M209" s="124"/>
    </row>
    <row r="210" spans="2:13">
      <c r="C210" s="167" t="s">
        <v>113</v>
      </c>
      <c r="D210" s="167"/>
      <c r="E210" s="167"/>
      <c r="F210" s="29" t="s">
        <v>102</v>
      </c>
      <c r="G210" s="28" t="s">
        <v>103</v>
      </c>
      <c r="H210" s="29" t="s">
        <v>104</v>
      </c>
      <c r="I210" s="28" t="s">
        <v>105</v>
      </c>
      <c r="J210" s="28" t="s">
        <v>106</v>
      </c>
      <c r="K210" s="30" t="s">
        <v>107</v>
      </c>
      <c r="M210" s="124"/>
    </row>
    <row r="211" spans="2:13">
      <c r="C211" s="165" t="s">
        <v>122</v>
      </c>
      <c r="D211" s="165"/>
      <c r="E211" s="165"/>
      <c r="F211" s="31"/>
      <c r="G211" s="31"/>
      <c r="H211" s="31"/>
      <c r="I211" s="31">
        <v>900</v>
      </c>
      <c r="J211" s="31"/>
      <c r="K211" s="32">
        <f>I211</f>
        <v>900</v>
      </c>
      <c r="M211" s="124"/>
    </row>
    <row r="212" spans="2:13">
      <c r="C212" s="166" t="s">
        <v>110</v>
      </c>
      <c r="D212" s="166"/>
      <c r="E212" s="166"/>
      <c r="F212" s="166"/>
      <c r="G212" s="166"/>
      <c r="H212" s="166"/>
      <c r="I212" s="166"/>
      <c r="J212" s="166"/>
      <c r="K212" s="33">
        <f>SUM(K211:K211)</f>
        <v>900</v>
      </c>
      <c r="M212" s="124"/>
    </row>
    <row r="213" spans="2:13">
      <c r="C213" s="41"/>
      <c r="D213" s="41"/>
      <c r="E213" s="41"/>
      <c r="F213" s="41"/>
      <c r="G213" s="41"/>
      <c r="H213" s="41"/>
      <c r="I213" s="41"/>
      <c r="J213" s="41"/>
      <c r="K213" s="42"/>
      <c r="M213" s="124"/>
    </row>
    <row r="214" spans="2:13" ht="14.4" customHeight="1">
      <c r="B214" s="19" t="s">
        <v>729</v>
      </c>
      <c r="C214" s="169" t="str">
        <f>JANDUÍ!D50</f>
        <v>REVISÃO DE PONTO DE LUZ TIPO 3, EM TETO OU PAREDE</v>
      </c>
      <c r="D214" s="169"/>
      <c r="E214" s="169"/>
      <c r="F214" s="169"/>
      <c r="G214" s="169"/>
      <c r="H214" s="169"/>
      <c r="I214" s="169"/>
      <c r="J214" s="169"/>
      <c r="K214" s="36" t="str">
        <f>JANDUÍ!E50</f>
        <v>PT</v>
      </c>
      <c r="L214" s="27">
        <f>K217</f>
        <v>10</v>
      </c>
      <c r="M214" s="124"/>
    </row>
    <row r="215" spans="2:13">
      <c r="C215" s="167" t="s">
        <v>113</v>
      </c>
      <c r="D215" s="167"/>
      <c r="E215" s="167"/>
      <c r="F215" s="29" t="s">
        <v>102</v>
      </c>
      <c r="G215" s="28" t="s">
        <v>103</v>
      </c>
      <c r="H215" s="29" t="s">
        <v>104</v>
      </c>
      <c r="I215" s="28" t="s">
        <v>105</v>
      </c>
      <c r="J215" s="28" t="s">
        <v>106</v>
      </c>
      <c r="K215" s="30" t="s">
        <v>107</v>
      </c>
      <c r="M215" s="124"/>
    </row>
    <row r="216" spans="2:13">
      <c r="C216" s="165" t="s">
        <v>122</v>
      </c>
      <c r="D216" s="165"/>
      <c r="E216" s="165"/>
      <c r="F216" s="31">
        <v>10</v>
      </c>
      <c r="G216" s="31"/>
      <c r="H216" s="31"/>
      <c r="I216" s="31"/>
      <c r="J216" s="31"/>
      <c r="K216" s="32">
        <f>F216</f>
        <v>10</v>
      </c>
      <c r="M216" s="124"/>
    </row>
    <row r="217" spans="2:13">
      <c r="C217" s="166" t="s">
        <v>110</v>
      </c>
      <c r="D217" s="166"/>
      <c r="E217" s="166"/>
      <c r="F217" s="166"/>
      <c r="G217" s="166"/>
      <c r="H217" s="166"/>
      <c r="I217" s="166"/>
      <c r="J217" s="166"/>
      <c r="K217" s="33">
        <f>SUM(K216:K216)</f>
        <v>10</v>
      </c>
      <c r="M217" s="124"/>
    </row>
    <row r="218" spans="2:13">
      <c r="C218" s="41"/>
      <c r="D218" s="41"/>
      <c r="E218" s="41"/>
      <c r="F218" s="41"/>
      <c r="G218" s="41"/>
      <c r="H218" s="41"/>
      <c r="I218" s="41"/>
      <c r="J218" s="41"/>
      <c r="K218" s="42"/>
      <c r="M218" s="124"/>
    </row>
    <row r="219" spans="2:13">
      <c r="B219" s="19" t="s">
        <v>731</v>
      </c>
      <c r="C219" s="169" t="str">
        <f>JANDUÍ!D51</f>
        <v>PONTO DE ILUMINAÇÃO RESIDENCIAL INCLUINDO INTERRUPTOR SIMPLES, CAIXA ELÉTRICA, ELETRODUTO, CABO, RASGO, QUEBRA E CHUMBAMENTO (EXCLUINDO LUMINÁRIA E LÂMPADA). AF_01/2016</v>
      </c>
      <c r="D219" s="169"/>
      <c r="E219" s="169"/>
      <c r="F219" s="169"/>
      <c r="G219" s="169"/>
      <c r="H219" s="169"/>
      <c r="I219" s="169"/>
      <c r="J219" s="169"/>
      <c r="K219" s="36" t="str">
        <f>JANDUÍ!E51</f>
        <v>UN</v>
      </c>
      <c r="L219" s="27">
        <f>K222</f>
        <v>52</v>
      </c>
      <c r="M219" s="124"/>
    </row>
    <row r="220" spans="2:13">
      <c r="C220" s="167" t="s">
        <v>113</v>
      </c>
      <c r="D220" s="167"/>
      <c r="E220" s="167"/>
      <c r="F220" s="29" t="s">
        <v>102</v>
      </c>
      <c r="G220" s="28" t="s">
        <v>103</v>
      </c>
      <c r="H220" s="29" t="s">
        <v>104</v>
      </c>
      <c r="I220" s="28" t="s">
        <v>105</v>
      </c>
      <c r="J220" s="28" t="s">
        <v>106</v>
      </c>
      <c r="K220" s="30" t="s">
        <v>107</v>
      </c>
      <c r="M220" s="124"/>
    </row>
    <row r="221" spans="2:13">
      <c r="C221" s="165" t="s">
        <v>122</v>
      </c>
      <c r="D221" s="165"/>
      <c r="E221" s="165"/>
      <c r="F221" s="31">
        <v>52</v>
      </c>
      <c r="G221" s="31"/>
      <c r="H221" s="31"/>
      <c r="I221" s="31"/>
      <c r="J221" s="31"/>
      <c r="K221" s="32">
        <f>F221</f>
        <v>52</v>
      </c>
      <c r="M221" s="124"/>
    </row>
    <row r="222" spans="2:13">
      <c r="C222" s="166" t="s">
        <v>110</v>
      </c>
      <c r="D222" s="166"/>
      <c r="E222" s="166"/>
      <c r="F222" s="166"/>
      <c r="G222" s="166"/>
      <c r="H222" s="166"/>
      <c r="I222" s="166"/>
      <c r="J222" s="166"/>
      <c r="K222" s="33">
        <f>SUM(K221:K221)</f>
        <v>52</v>
      </c>
      <c r="M222" s="124"/>
    </row>
    <row r="223" spans="2:13">
      <c r="C223" s="41"/>
      <c r="D223" s="41"/>
      <c r="E223" s="41"/>
      <c r="F223" s="41"/>
      <c r="G223" s="41"/>
      <c r="H223" s="41"/>
      <c r="I223" s="41"/>
      <c r="J223" s="41"/>
      <c r="K223" s="42"/>
      <c r="M223" s="124"/>
    </row>
    <row r="224" spans="2:13">
      <c r="B224" s="19" t="s">
        <v>732</v>
      </c>
      <c r="C224" s="169" t="str">
        <f>JANDUÍ!D52</f>
        <v>LUMINÁRIA TIPO PLAFON EM PLÁSTICO, DE SOBREPOR, COM 1 LÂMPADA FLUORESCENTE DE 15 W, SEM REATOR - FORNECIMENTO E INSTALAÇÃO. AF_02/2020</v>
      </c>
      <c r="D224" s="169"/>
      <c r="E224" s="169"/>
      <c r="F224" s="169"/>
      <c r="G224" s="169"/>
      <c r="H224" s="169"/>
      <c r="I224" s="169"/>
      <c r="J224" s="169"/>
      <c r="K224" s="36" t="str">
        <f>JANDUÍ!E52</f>
        <v>UN</v>
      </c>
      <c r="L224" s="27">
        <f>K227</f>
        <v>52</v>
      </c>
      <c r="M224" s="124"/>
    </row>
    <row r="225" spans="2:13">
      <c r="C225" s="167" t="s">
        <v>113</v>
      </c>
      <c r="D225" s="167"/>
      <c r="E225" s="167"/>
      <c r="F225" s="29" t="s">
        <v>102</v>
      </c>
      <c r="G225" s="28" t="s">
        <v>103</v>
      </c>
      <c r="H225" s="29" t="s">
        <v>104</v>
      </c>
      <c r="I225" s="28" t="s">
        <v>105</v>
      </c>
      <c r="J225" s="28" t="s">
        <v>106</v>
      </c>
      <c r="K225" s="30" t="s">
        <v>107</v>
      </c>
      <c r="M225" s="124"/>
    </row>
    <row r="226" spans="2:13">
      <c r="C226" s="165" t="s">
        <v>122</v>
      </c>
      <c r="D226" s="165"/>
      <c r="E226" s="165"/>
      <c r="F226" s="31">
        <v>52</v>
      </c>
      <c r="G226" s="31"/>
      <c r="H226" s="31"/>
      <c r="I226" s="31"/>
      <c r="J226" s="31"/>
      <c r="K226" s="32">
        <f>F226</f>
        <v>52</v>
      </c>
      <c r="M226" s="124"/>
    </row>
    <row r="227" spans="2:13">
      <c r="C227" s="166" t="s">
        <v>110</v>
      </c>
      <c r="D227" s="166"/>
      <c r="E227" s="166"/>
      <c r="F227" s="166"/>
      <c r="G227" s="166"/>
      <c r="H227" s="166"/>
      <c r="I227" s="166"/>
      <c r="J227" s="166"/>
      <c r="K227" s="33">
        <f>SUM(K226:K226)</f>
        <v>52</v>
      </c>
      <c r="M227" s="124"/>
    </row>
    <row r="228" spans="2:13">
      <c r="C228" s="41"/>
      <c r="D228" s="41"/>
      <c r="E228" s="41"/>
      <c r="F228" s="41"/>
      <c r="G228" s="41"/>
      <c r="H228" s="41"/>
      <c r="I228" s="41"/>
      <c r="J228" s="41"/>
      <c r="K228" s="42"/>
      <c r="M228" s="124"/>
    </row>
    <row r="229" spans="2:13">
      <c r="B229" s="19" t="s">
        <v>734</v>
      </c>
      <c r="C229" s="169" t="str">
        <f>JANDUÍ!D53</f>
        <v>LÂMPADA COMPACTA DE LED 10 W, BASE E27 - FORNECIMENTO E INSTALAÇÃO. AF_02/2020</v>
      </c>
      <c r="D229" s="169"/>
      <c r="E229" s="169"/>
      <c r="F229" s="169"/>
      <c r="G229" s="169"/>
      <c r="H229" s="169"/>
      <c r="I229" s="169"/>
      <c r="J229" s="169"/>
      <c r="K229" s="36" t="str">
        <f>JANDUÍ!E53</f>
        <v>UN</v>
      </c>
      <c r="L229" s="27">
        <f>K232</f>
        <v>20</v>
      </c>
      <c r="M229" s="124"/>
    </row>
    <row r="230" spans="2:13">
      <c r="C230" s="167" t="s">
        <v>113</v>
      </c>
      <c r="D230" s="167"/>
      <c r="E230" s="167"/>
      <c r="F230" s="29" t="s">
        <v>102</v>
      </c>
      <c r="G230" s="28" t="s">
        <v>103</v>
      </c>
      <c r="H230" s="29" t="s">
        <v>104</v>
      </c>
      <c r="I230" s="28" t="s">
        <v>105</v>
      </c>
      <c r="J230" s="28" t="s">
        <v>106</v>
      </c>
      <c r="K230" s="30" t="s">
        <v>107</v>
      </c>
      <c r="M230" s="124"/>
    </row>
    <row r="231" spans="2:13">
      <c r="C231" s="165" t="s">
        <v>122</v>
      </c>
      <c r="D231" s="165"/>
      <c r="E231" s="165"/>
      <c r="F231" s="31">
        <v>20</v>
      </c>
      <c r="G231" s="31"/>
      <c r="H231" s="31"/>
      <c r="I231" s="31"/>
      <c r="J231" s="31"/>
      <c r="K231" s="32">
        <f>F231</f>
        <v>20</v>
      </c>
      <c r="M231" s="124"/>
    </row>
    <row r="232" spans="2:13">
      <c r="C232" s="166" t="s">
        <v>110</v>
      </c>
      <c r="D232" s="166"/>
      <c r="E232" s="166"/>
      <c r="F232" s="166"/>
      <c r="G232" s="166"/>
      <c r="H232" s="166"/>
      <c r="I232" s="166"/>
      <c r="J232" s="166"/>
      <c r="K232" s="33">
        <f>SUM(K231:K231)</f>
        <v>20</v>
      </c>
      <c r="M232" s="124"/>
    </row>
    <row r="233" spans="2:13">
      <c r="C233" s="41"/>
      <c r="D233" s="41"/>
      <c r="E233" s="41"/>
      <c r="F233" s="41"/>
      <c r="G233" s="41"/>
      <c r="H233" s="41"/>
      <c r="I233" s="41"/>
      <c r="J233" s="41"/>
      <c r="K233" s="42"/>
      <c r="M233" s="124"/>
    </row>
    <row r="234" spans="2:13">
      <c r="B234" s="34" t="s">
        <v>735</v>
      </c>
      <c r="C234" s="168" t="str">
        <f>JANDUÍ!D54</f>
        <v>INSTALAÇÕES HIDROSSANITARIAS</v>
      </c>
      <c r="D234" s="168"/>
      <c r="E234" s="168"/>
      <c r="F234" s="168"/>
      <c r="G234" s="168"/>
      <c r="H234" s="168"/>
      <c r="I234" s="168"/>
      <c r="J234" s="168"/>
      <c r="K234" s="168"/>
      <c r="L234" s="168"/>
      <c r="M234" s="124"/>
    </row>
    <row r="235" spans="2:13">
      <c r="B235" s="19" t="s">
        <v>736</v>
      </c>
      <c r="C235" s="169" t="str">
        <f>JANDUÍ!D55</f>
        <v>VASO SANITÁRIO SIFONADO COM CAIXA ACOPLADA LOUÇA BRANCA - PADRÃO MÉDIO, INCLUSO ENGATE FLEXÍVEL EM METAL CROMADO, 1/2  X 40CM - FORNECIMENTO E INSTALAÇÃO. AF_01/2020</v>
      </c>
      <c r="D235" s="169"/>
      <c r="E235" s="169"/>
      <c r="F235" s="169"/>
      <c r="G235" s="169"/>
      <c r="H235" s="169"/>
      <c r="I235" s="169"/>
      <c r="J235" s="169"/>
      <c r="K235" s="36" t="str">
        <f>JANDUÍ!E55</f>
        <v>UN</v>
      </c>
      <c r="L235" s="27">
        <f>K238</f>
        <v>2</v>
      </c>
      <c r="M235" s="124"/>
    </row>
    <row r="236" spans="2:13">
      <c r="C236" s="167" t="s">
        <v>113</v>
      </c>
      <c r="D236" s="167"/>
      <c r="E236" s="167"/>
      <c r="F236" s="29" t="s">
        <v>102</v>
      </c>
      <c r="G236" s="28" t="s">
        <v>103</v>
      </c>
      <c r="H236" s="29" t="s">
        <v>104</v>
      </c>
      <c r="I236" s="28" t="s">
        <v>105</v>
      </c>
      <c r="J236" s="28" t="s">
        <v>115</v>
      </c>
      <c r="K236" s="30" t="s">
        <v>107</v>
      </c>
      <c r="M236" s="124"/>
    </row>
    <row r="237" spans="2:13">
      <c r="C237" s="165" t="s">
        <v>127</v>
      </c>
      <c r="D237" s="165"/>
      <c r="E237" s="165"/>
      <c r="F237" s="31">
        <v>2</v>
      </c>
      <c r="G237" s="31"/>
      <c r="H237" s="31"/>
      <c r="I237" s="31"/>
      <c r="J237" s="31"/>
      <c r="K237" s="32">
        <f>JANDUÍ!F55</f>
        <v>2</v>
      </c>
      <c r="M237" s="124"/>
    </row>
    <row r="238" spans="2:13">
      <c r="C238" s="166" t="s">
        <v>110</v>
      </c>
      <c r="D238" s="166"/>
      <c r="E238" s="166"/>
      <c r="F238" s="166"/>
      <c r="G238" s="166"/>
      <c r="H238" s="166"/>
      <c r="I238" s="166"/>
      <c r="J238" s="166"/>
      <c r="K238" s="33">
        <f>SUM(K237:K237)</f>
        <v>2</v>
      </c>
      <c r="M238" s="124"/>
    </row>
    <row r="239" spans="2:13">
      <c r="M239" s="124"/>
    </row>
    <row r="240" spans="2:13" ht="14.4" customHeight="1">
      <c r="B240" s="19" t="s">
        <v>738</v>
      </c>
      <c r="C240" s="169" t="str">
        <f>JANDUÍ!D56</f>
        <v>VASO SANITARIO SIFONADO CONVENCIONAL PARA PCD SEM FURO FRONTAL COM LOUÇA BRANCA SEM ASSENTO, INCLUSO CONJUNTO DE LIGAÇÃO PARA BACIA SANITÁRIA AJUSTÁVEL - FORNECIMENTO E INSTALAÇÃO. AF_01/2020</v>
      </c>
      <c r="D240" s="169"/>
      <c r="E240" s="169"/>
      <c r="F240" s="169"/>
      <c r="G240" s="169"/>
      <c r="H240" s="169"/>
      <c r="I240" s="169"/>
      <c r="J240" s="169"/>
      <c r="K240" s="36" t="str">
        <f>JANDUÍ!E56</f>
        <v>UN</v>
      </c>
      <c r="L240" s="27">
        <f>K243</f>
        <v>2</v>
      </c>
      <c r="M240" s="124"/>
    </row>
    <row r="241" spans="2:13">
      <c r="C241" s="167" t="s">
        <v>113</v>
      </c>
      <c r="D241" s="167"/>
      <c r="E241" s="167"/>
      <c r="F241" s="29" t="s">
        <v>102</v>
      </c>
      <c r="G241" s="28" t="s">
        <v>103</v>
      </c>
      <c r="H241" s="29" t="s">
        <v>104</v>
      </c>
      <c r="I241" s="28" t="s">
        <v>105</v>
      </c>
      <c r="J241" s="28" t="s">
        <v>115</v>
      </c>
      <c r="K241" s="30" t="s">
        <v>107</v>
      </c>
      <c r="M241" s="124"/>
    </row>
    <row r="242" spans="2:13" ht="14.4" customHeight="1">
      <c r="C242" s="165" t="s">
        <v>127</v>
      </c>
      <c r="D242" s="165"/>
      <c r="E242" s="165"/>
      <c r="F242" s="31">
        <v>2</v>
      </c>
      <c r="G242" s="31"/>
      <c r="H242" s="31"/>
      <c r="I242" s="31"/>
      <c r="J242" s="31"/>
      <c r="K242" s="32">
        <f>JANDUÍ!F56</f>
        <v>2</v>
      </c>
      <c r="M242" s="124"/>
    </row>
    <row r="243" spans="2:13">
      <c r="C243" s="166" t="s">
        <v>110</v>
      </c>
      <c r="D243" s="166"/>
      <c r="E243" s="166"/>
      <c r="F243" s="166"/>
      <c r="G243" s="166"/>
      <c r="H243" s="166"/>
      <c r="I243" s="166"/>
      <c r="J243" s="166"/>
      <c r="K243" s="33">
        <f>SUM(K242:K242)</f>
        <v>2</v>
      </c>
      <c r="M243" s="124"/>
    </row>
    <row r="244" spans="2:13">
      <c r="M244" s="124"/>
    </row>
    <row r="245" spans="2:13" ht="14.4" customHeight="1">
      <c r="B245" s="19" t="s">
        <v>739</v>
      </c>
      <c r="C245" s="169" t="str">
        <f>JANDUÍ!D57</f>
        <v>TORNEIRA CROMADA TUBO MÓVEL, DE MESA, 1/2 OU 3/4, PARA PIA DE COZINHA, PADRÃO ALTO - FORNECIMENTO E INSTALAÇÃO. AF_01/2020</v>
      </c>
      <c r="D245" s="169"/>
      <c r="E245" s="169"/>
      <c r="F245" s="169"/>
      <c r="G245" s="169"/>
      <c r="H245" s="169"/>
      <c r="I245" s="169"/>
      <c r="J245" s="169"/>
      <c r="K245" s="36" t="str">
        <f>JANDUÍ!E57</f>
        <v>UN</v>
      </c>
      <c r="L245" s="27">
        <f>K248</f>
        <v>7</v>
      </c>
      <c r="M245" s="124"/>
    </row>
    <row r="246" spans="2:13">
      <c r="C246" s="167" t="s">
        <v>113</v>
      </c>
      <c r="D246" s="167"/>
      <c r="E246" s="167"/>
      <c r="F246" s="29" t="s">
        <v>102</v>
      </c>
      <c r="G246" s="28" t="s">
        <v>103</v>
      </c>
      <c r="H246" s="29" t="s">
        <v>104</v>
      </c>
      <c r="I246" s="28" t="s">
        <v>105</v>
      </c>
      <c r="J246" s="28" t="s">
        <v>40</v>
      </c>
      <c r="K246" s="30" t="s">
        <v>107</v>
      </c>
      <c r="M246" s="124"/>
    </row>
    <row r="247" spans="2:13">
      <c r="C247" s="165" t="s">
        <v>127</v>
      </c>
      <c r="D247" s="165"/>
      <c r="E247" s="165"/>
      <c r="F247" s="31">
        <v>7</v>
      </c>
      <c r="G247" s="31"/>
      <c r="H247" s="31"/>
      <c r="I247" s="31"/>
      <c r="J247" s="31"/>
      <c r="K247" s="32">
        <f>JANDUÍ!F57</f>
        <v>7</v>
      </c>
      <c r="M247" s="124"/>
    </row>
    <row r="248" spans="2:13">
      <c r="C248" s="166" t="s">
        <v>110</v>
      </c>
      <c r="D248" s="166"/>
      <c r="E248" s="166"/>
      <c r="F248" s="166"/>
      <c r="G248" s="166"/>
      <c r="H248" s="166"/>
      <c r="I248" s="166"/>
      <c r="J248" s="166"/>
      <c r="K248" s="33">
        <f>SUM(K247:K247)</f>
        <v>7</v>
      </c>
      <c r="M248" s="124"/>
    </row>
    <row r="249" spans="2:13">
      <c r="M249" s="124"/>
    </row>
    <row r="250" spans="2:13" ht="14.4" customHeight="1">
      <c r="B250" s="19" t="s">
        <v>740</v>
      </c>
      <c r="C250" s="169" t="str">
        <f>JANDUÍ!D58</f>
        <v>PONTO DE CONSUMO TERMINAL DE ÁGUA FRIA (SUBRAMAL) COM TUBULAÇÃO DE PVC, DN 25 MM, INSTALADO EM RAMAL DE ÁGUA, INCLUSOS RASGO E CHUMBAMENTO EM ALVENARIA. AF_12/2014</v>
      </c>
      <c r="D250" s="169"/>
      <c r="E250" s="169"/>
      <c r="F250" s="169"/>
      <c r="G250" s="169"/>
      <c r="H250" s="169"/>
      <c r="I250" s="169"/>
      <c r="J250" s="169"/>
      <c r="K250" s="36" t="str">
        <f>JANDUÍ!E58</f>
        <v>UN</v>
      </c>
      <c r="L250" s="27">
        <f>K253</f>
        <v>15</v>
      </c>
      <c r="M250" s="124"/>
    </row>
    <row r="251" spans="2:13">
      <c r="C251" s="167" t="s">
        <v>113</v>
      </c>
      <c r="D251" s="167"/>
      <c r="E251" s="167"/>
      <c r="F251" s="29" t="s">
        <v>102</v>
      </c>
      <c r="G251" s="28" t="s">
        <v>103</v>
      </c>
      <c r="H251" s="29" t="s">
        <v>104</v>
      </c>
      <c r="I251" s="28" t="s">
        <v>105</v>
      </c>
      <c r="J251" s="28" t="s">
        <v>40</v>
      </c>
      <c r="K251" s="30" t="s">
        <v>107</v>
      </c>
      <c r="M251" s="124"/>
    </row>
    <row r="252" spans="2:13">
      <c r="C252" s="165" t="s">
        <v>127</v>
      </c>
      <c r="D252" s="165"/>
      <c r="E252" s="165"/>
      <c r="F252" s="31">
        <v>7</v>
      </c>
      <c r="G252" s="31"/>
      <c r="H252" s="31"/>
      <c r="I252" s="31"/>
      <c r="J252" s="31"/>
      <c r="K252" s="32">
        <f>JANDUÍ!F58</f>
        <v>15</v>
      </c>
      <c r="M252" s="124"/>
    </row>
    <row r="253" spans="2:13">
      <c r="C253" s="166" t="s">
        <v>110</v>
      </c>
      <c r="D253" s="166"/>
      <c r="E253" s="166"/>
      <c r="F253" s="166"/>
      <c r="G253" s="166"/>
      <c r="H253" s="166"/>
      <c r="I253" s="166"/>
      <c r="J253" s="166"/>
      <c r="K253" s="33">
        <f>SUM(K252:K252)</f>
        <v>15</v>
      </c>
      <c r="M253" s="124"/>
    </row>
    <row r="254" spans="2:13">
      <c r="M254" s="124"/>
    </row>
    <row r="255" spans="2:13" ht="14.4" customHeight="1">
      <c r="B255" s="19" t="s">
        <v>912</v>
      </c>
      <c r="C255" s="169" t="str">
        <f>JANDUÍ!D59</f>
        <v>SIFÃO DO TIPO FLEXÍVEL EM PVC 1  X 1.1/2  - FORNECIMENTO E INSTALAÇÃO. AF_01/2020</v>
      </c>
      <c r="D255" s="169"/>
      <c r="E255" s="169"/>
      <c r="F255" s="169"/>
      <c r="G255" s="169"/>
      <c r="H255" s="169"/>
      <c r="I255" s="169"/>
      <c r="J255" s="169"/>
      <c r="K255" s="36" t="str">
        <f>JANDUÍ!E60</f>
        <v>UN</v>
      </c>
      <c r="L255" s="27">
        <f>K258</f>
        <v>10</v>
      </c>
      <c r="M255" s="124"/>
    </row>
    <row r="256" spans="2:13">
      <c r="C256" s="167" t="s">
        <v>113</v>
      </c>
      <c r="D256" s="167"/>
      <c r="E256" s="167"/>
      <c r="F256" s="29" t="s">
        <v>102</v>
      </c>
      <c r="G256" s="28" t="s">
        <v>103</v>
      </c>
      <c r="H256" s="29" t="s">
        <v>104</v>
      </c>
      <c r="I256" s="28" t="s">
        <v>105</v>
      </c>
      <c r="J256" s="28" t="s">
        <v>115</v>
      </c>
      <c r="K256" s="30" t="s">
        <v>107</v>
      </c>
      <c r="M256" s="124"/>
    </row>
    <row r="257" spans="2:13">
      <c r="C257" s="165" t="s">
        <v>127</v>
      </c>
      <c r="D257" s="165"/>
      <c r="E257" s="165"/>
      <c r="F257" s="31">
        <v>15</v>
      </c>
      <c r="G257" s="31"/>
      <c r="H257" s="31"/>
      <c r="I257" s="31"/>
      <c r="J257" s="31"/>
      <c r="K257" s="32">
        <f>JANDUÍ!F59</f>
        <v>10</v>
      </c>
      <c r="M257" s="124"/>
    </row>
    <row r="258" spans="2:13">
      <c r="C258" s="166" t="s">
        <v>110</v>
      </c>
      <c r="D258" s="166"/>
      <c r="E258" s="166"/>
      <c r="F258" s="166"/>
      <c r="G258" s="166"/>
      <c r="H258" s="166"/>
      <c r="I258" s="166"/>
      <c r="J258" s="166"/>
      <c r="K258" s="33">
        <f>SUM(K257:K257)</f>
        <v>10</v>
      </c>
      <c r="M258" s="124"/>
    </row>
    <row r="259" spans="2:13">
      <c r="M259" s="124"/>
    </row>
    <row r="260" spans="2:13" ht="14.4" customHeight="1">
      <c r="B260" s="19" t="s">
        <v>913</v>
      </c>
      <c r="C260" s="169" t="str">
        <f>JANDUÍ!D60</f>
        <v>ENGATE FLEXÍVEL EM PLÁSTICO BRANCO, 1/2 X 30CM - FORNECIMENTO E INSTALAÇÃO. AF_01/2020</v>
      </c>
      <c r="D260" s="169"/>
      <c r="E260" s="169"/>
      <c r="F260" s="169"/>
      <c r="G260" s="169"/>
      <c r="H260" s="169"/>
      <c r="I260" s="169"/>
      <c r="J260" s="169"/>
      <c r="K260" s="36" t="str">
        <f>JANDUÍ!E60</f>
        <v>UN</v>
      </c>
      <c r="L260" s="27">
        <f>K263</f>
        <v>15</v>
      </c>
      <c r="M260" s="124"/>
    </row>
    <row r="261" spans="2:13">
      <c r="C261" s="167" t="s">
        <v>113</v>
      </c>
      <c r="D261" s="167"/>
      <c r="E261" s="167"/>
      <c r="F261" s="29" t="s">
        <v>102</v>
      </c>
      <c r="G261" s="28" t="s">
        <v>103</v>
      </c>
      <c r="H261" s="29" t="s">
        <v>104</v>
      </c>
      <c r="I261" s="28" t="s">
        <v>105</v>
      </c>
      <c r="J261" s="28" t="s">
        <v>40</v>
      </c>
      <c r="K261" s="30" t="s">
        <v>107</v>
      </c>
      <c r="M261" s="124"/>
    </row>
    <row r="262" spans="2:13">
      <c r="C262" s="165" t="s">
        <v>127</v>
      </c>
      <c r="D262" s="165"/>
      <c r="E262" s="165"/>
      <c r="F262" s="31">
        <v>10</v>
      </c>
      <c r="G262" s="31"/>
      <c r="H262" s="31"/>
      <c r="I262" s="31"/>
      <c r="J262" s="31"/>
      <c r="K262" s="32">
        <f>JANDUÍ!F60</f>
        <v>15</v>
      </c>
      <c r="M262" s="124"/>
    </row>
    <row r="263" spans="2:13">
      <c r="C263" s="166" t="s">
        <v>110</v>
      </c>
      <c r="D263" s="166"/>
      <c r="E263" s="166"/>
      <c r="F263" s="166"/>
      <c r="G263" s="166"/>
      <c r="H263" s="166"/>
      <c r="I263" s="166"/>
      <c r="J263" s="166"/>
      <c r="K263" s="33">
        <f>SUM(K262:K262)</f>
        <v>15</v>
      </c>
      <c r="M263" s="124"/>
    </row>
    <row r="264" spans="2:13">
      <c r="C264" s="41"/>
      <c r="D264" s="41"/>
      <c r="E264" s="41"/>
      <c r="F264" s="41"/>
      <c r="G264" s="41"/>
      <c r="H264" s="41"/>
      <c r="I264" s="41"/>
      <c r="J264" s="41"/>
      <c r="K264" s="42"/>
      <c r="M264" s="124"/>
    </row>
    <row r="265" spans="2:13" ht="14.4" customHeight="1">
      <c r="B265" s="19" t="s">
        <v>914</v>
      </c>
      <c r="C265" s="169" t="str">
        <f>JANDUÍ!D61</f>
        <v>REVISÃO DE PONTO DE ESGOTO TIPO 3 - 100MM</v>
      </c>
      <c r="D265" s="169"/>
      <c r="E265" s="169"/>
      <c r="F265" s="169"/>
      <c r="G265" s="169"/>
      <c r="H265" s="169"/>
      <c r="I265" s="169"/>
      <c r="J265" s="169"/>
      <c r="K265" s="36" t="str">
        <f>JANDUÍ!E60</f>
        <v>UN</v>
      </c>
      <c r="L265" s="27">
        <f>K268</f>
        <v>5</v>
      </c>
      <c r="M265" s="124"/>
    </row>
    <row r="266" spans="2:13">
      <c r="C266" s="167" t="s">
        <v>113</v>
      </c>
      <c r="D266" s="167"/>
      <c r="E266" s="167"/>
      <c r="F266" s="29" t="s">
        <v>102</v>
      </c>
      <c r="G266" s="28" t="s">
        <v>103</v>
      </c>
      <c r="H266" s="29" t="s">
        <v>104</v>
      </c>
      <c r="I266" s="28" t="s">
        <v>105</v>
      </c>
      <c r="J266" s="28" t="s">
        <v>40</v>
      </c>
      <c r="K266" s="30" t="s">
        <v>107</v>
      </c>
      <c r="M266" s="124"/>
    </row>
    <row r="267" spans="2:13">
      <c r="C267" s="165" t="s">
        <v>127</v>
      </c>
      <c r="D267" s="165"/>
      <c r="E267" s="165"/>
      <c r="F267" s="31">
        <v>15</v>
      </c>
      <c r="G267" s="31"/>
      <c r="H267" s="31"/>
      <c r="I267" s="31"/>
      <c r="J267" s="31"/>
      <c r="K267" s="32">
        <f>JANDUÍ!F61</f>
        <v>5</v>
      </c>
      <c r="M267" s="124"/>
    </row>
    <row r="268" spans="2:13">
      <c r="C268" s="166" t="s">
        <v>110</v>
      </c>
      <c r="D268" s="166"/>
      <c r="E268" s="166"/>
      <c r="F268" s="166"/>
      <c r="G268" s="166"/>
      <c r="H268" s="166"/>
      <c r="I268" s="166"/>
      <c r="J268" s="166"/>
      <c r="K268" s="33">
        <f>SUM(K267:K267)</f>
        <v>5</v>
      </c>
      <c r="M268" s="124"/>
    </row>
    <row r="269" spans="2:13">
      <c r="C269" s="41"/>
      <c r="D269" s="41"/>
      <c r="E269" s="41"/>
      <c r="F269" s="41"/>
      <c r="G269" s="41"/>
      <c r="H269" s="41"/>
      <c r="I269" s="41"/>
      <c r="J269" s="41"/>
      <c r="K269" s="42"/>
      <c r="M269" s="124"/>
    </row>
    <row r="270" spans="2:13" ht="14.4" customHeight="1">
      <c r="B270" s="19" t="s">
        <v>915</v>
      </c>
      <c r="C270" s="169" t="str">
        <f>JANDUÍ!D62</f>
        <v>REVISÃO DE PONTO DE ESGOTO TIPO 2 - 40MM</v>
      </c>
      <c r="D270" s="169"/>
      <c r="E270" s="169"/>
      <c r="F270" s="169"/>
      <c r="G270" s="169"/>
      <c r="H270" s="169"/>
      <c r="I270" s="169"/>
      <c r="J270" s="169"/>
      <c r="K270" s="36" t="str">
        <f>JANDUÍ!E62</f>
        <v>UNIDADE</v>
      </c>
      <c r="L270" s="27">
        <f>K273</f>
        <v>5</v>
      </c>
      <c r="M270" s="124"/>
    </row>
    <row r="271" spans="2:13">
      <c r="C271" s="167" t="s">
        <v>113</v>
      </c>
      <c r="D271" s="167"/>
      <c r="E271" s="167"/>
      <c r="F271" s="29" t="s">
        <v>102</v>
      </c>
      <c r="G271" s="28" t="s">
        <v>103</v>
      </c>
      <c r="H271" s="29" t="s">
        <v>104</v>
      </c>
      <c r="I271" s="28" t="s">
        <v>105</v>
      </c>
      <c r="J271" s="28" t="s">
        <v>40</v>
      </c>
      <c r="K271" s="30" t="s">
        <v>107</v>
      </c>
      <c r="M271" s="124"/>
    </row>
    <row r="272" spans="2:13">
      <c r="C272" s="165" t="s">
        <v>127</v>
      </c>
      <c r="D272" s="165"/>
      <c r="E272" s="165"/>
      <c r="F272" s="31">
        <v>5</v>
      </c>
      <c r="G272" s="31"/>
      <c r="H272" s="31"/>
      <c r="I272" s="31"/>
      <c r="J272" s="31"/>
      <c r="K272" s="32">
        <f>JANDUÍ!F62</f>
        <v>5</v>
      </c>
      <c r="M272" s="124"/>
    </row>
    <row r="273" spans="2:13">
      <c r="C273" s="166" t="s">
        <v>110</v>
      </c>
      <c r="D273" s="166"/>
      <c r="E273" s="166"/>
      <c r="F273" s="166"/>
      <c r="G273" s="166"/>
      <c r="H273" s="166"/>
      <c r="I273" s="166"/>
      <c r="J273" s="166"/>
      <c r="K273" s="33">
        <f>SUM(K272:K272)</f>
        <v>5</v>
      </c>
      <c r="M273" s="124"/>
    </row>
    <row r="274" spans="2:13">
      <c r="C274" s="41"/>
      <c r="D274" s="41"/>
      <c r="E274" s="41"/>
      <c r="F274" s="41"/>
      <c r="G274" s="41"/>
      <c r="H274" s="41"/>
      <c r="I274" s="41"/>
      <c r="J274" s="41"/>
      <c r="K274" s="42"/>
      <c r="M274" s="124"/>
    </row>
    <row r="275" spans="2:13">
      <c r="B275" s="19" t="s">
        <v>916</v>
      </c>
      <c r="C275" s="169" t="str">
        <f>JANDUÍ!D63</f>
        <v>VASO SANITÁRIO INFANTIL LOUÇA BRANCA - FORNECIMENTO E INSTALACAO. AF_01/2020</v>
      </c>
      <c r="D275" s="169"/>
      <c r="E275" s="169"/>
      <c r="F275" s="169"/>
      <c r="G275" s="169"/>
      <c r="H275" s="169"/>
      <c r="I275" s="169"/>
      <c r="J275" s="169"/>
      <c r="K275" s="36" t="str">
        <f>JANDUÍ!E63</f>
        <v>UN</v>
      </c>
      <c r="L275" s="27">
        <f>K278</f>
        <v>2</v>
      </c>
      <c r="M275" s="124"/>
    </row>
    <row r="276" spans="2:13">
      <c r="C276" s="167" t="s">
        <v>113</v>
      </c>
      <c r="D276" s="167"/>
      <c r="E276" s="167"/>
      <c r="F276" s="29" t="s">
        <v>102</v>
      </c>
      <c r="G276" s="28" t="s">
        <v>103</v>
      </c>
      <c r="H276" s="29" t="s">
        <v>104</v>
      </c>
      <c r="I276" s="28" t="s">
        <v>105</v>
      </c>
      <c r="J276" s="28" t="s">
        <v>40</v>
      </c>
      <c r="K276" s="30" t="s">
        <v>107</v>
      </c>
      <c r="M276" s="124"/>
    </row>
    <row r="277" spans="2:13">
      <c r="C277" s="165" t="s">
        <v>127</v>
      </c>
      <c r="D277" s="165"/>
      <c r="E277" s="165"/>
      <c r="F277" s="31">
        <v>5</v>
      </c>
      <c r="G277" s="31"/>
      <c r="H277" s="31"/>
      <c r="I277" s="31"/>
      <c r="J277" s="31"/>
      <c r="K277" s="32">
        <f>JANDUÍ!F63</f>
        <v>2</v>
      </c>
      <c r="M277" s="124"/>
    </row>
    <row r="278" spans="2:13">
      <c r="C278" s="166" t="s">
        <v>110</v>
      </c>
      <c r="D278" s="166"/>
      <c r="E278" s="166"/>
      <c r="F278" s="166"/>
      <c r="G278" s="166"/>
      <c r="H278" s="166"/>
      <c r="I278" s="166"/>
      <c r="J278" s="166"/>
      <c r="K278" s="33">
        <f>SUM(K277:K277)</f>
        <v>2</v>
      </c>
      <c r="M278" s="124"/>
    </row>
    <row r="279" spans="2:13">
      <c r="C279" s="41"/>
      <c r="D279" s="41"/>
      <c r="E279" s="41"/>
      <c r="F279" s="41"/>
      <c r="G279" s="41"/>
      <c r="H279" s="41"/>
      <c r="I279" s="41"/>
      <c r="J279" s="41"/>
      <c r="K279" s="42"/>
      <c r="M279" s="124"/>
    </row>
    <row r="280" spans="2:13">
      <c r="B280" s="19" t="s">
        <v>917</v>
      </c>
      <c r="C280" s="169" t="str">
        <f>JANDUÍ!D64</f>
        <v>REVISÃO DE PONTO DE AGUA FRIA TIPO 2 - 20-32MM</v>
      </c>
      <c r="D280" s="169"/>
      <c r="E280" s="169"/>
      <c r="F280" s="169"/>
      <c r="G280" s="169"/>
      <c r="H280" s="169"/>
      <c r="I280" s="169"/>
      <c r="J280" s="169"/>
      <c r="K280" s="36" t="str">
        <f>JANDUÍ!E64</f>
        <v>UNIDADE</v>
      </c>
      <c r="L280" s="27">
        <f>K283</f>
        <v>5</v>
      </c>
      <c r="M280" s="124"/>
    </row>
    <row r="281" spans="2:13">
      <c r="C281" s="167" t="s">
        <v>113</v>
      </c>
      <c r="D281" s="167"/>
      <c r="E281" s="167"/>
      <c r="F281" s="29" t="s">
        <v>102</v>
      </c>
      <c r="G281" s="28" t="s">
        <v>103</v>
      </c>
      <c r="H281" s="29" t="s">
        <v>104</v>
      </c>
      <c r="I281" s="28" t="s">
        <v>105</v>
      </c>
      <c r="J281" s="28" t="s">
        <v>40</v>
      </c>
      <c r="K281" s="30" t="s">
        <v>107</v>
      </c>
      <c r="M281" s="124"/>
    </row>
    <row r="282" spans="2:13">
      <c r="C282" s="165" t="s">
        <v>127</v>
      </c>
      <c r="D282" s="165"/>
      <c r="E282" s="165"/>
      <c r="F282" s="31">
        <v>2</v>
      </c>
      <c r="G282" s="31"/>
      <c r="H282" s="31"/>
      <c r="I282" s="31"/>
      <c r="J282" s="31"/>
      <c r="K282" s="32">
        <f>JANDUÍ!F64</f>
        <v>5</v>
      </c>
      <c r="M282" s="124"/>
    </row>
    <row r="283" spans="2:13">
      <c r="C283" s="166" t="s">
        <v>110</v>
      </c>
      <c r="D283" s="166"/>
      <c r="E283" s="166"/>
      <c r="F283" s="166"/>
      <c r="G283" s="166"/>
      <c r="H283" s="166"/>
      <c r="I283" s="166"/>
      <c r="J283" s="166"/>
      <c r="K283" s="33">
        <f>SUM(K282:K282)</f>
        <v>5</v>
      </c>
      <c r="M283" s="124"/>
    </row>
    <row r="284" spans="2:13">
      <c r="C284" s="41"/>
      <c r="D284" s="41"/>
      <c r="E284" s="41"/>
      <c r="F284" s="41"/>
      <c r="G284" s="41"/>
      <c r="H284" s="41"/>
      <c r="I284" s="41"/>
      <c r="J284" s="41"/>
      <c r="K284" s="42"/>
      <c r="M284" s="124"/>
    </row>
    <row r="285" spans="2:13">
      <c r="B285" s="34" t="s">
        <v>742</v>
      </c>
      <c r="C285" s="168" t="str">
        <f>JANDUÍ!D65</f>
        <v>COBERTA</v>
      </c>
      <c r="D285" s="168"/>
      <c r="E285" s="168"/>
      <c r="F285" s="168"/>
      <c r="G285" s="168"/>
      <c r="H285" s="168"/>
      <c r="I285" s="168"/>
      <c r="J285" s="168"/>
      <c r="K285" s="168"/>
      <c r="L285" s="168"/>
      <c r="M285" s="124"/>
    </row>
    <row r="286" spans="2:13" ht="27" customHeight="1">
      <c r="B286" s="19" t="s">
        <v>743</v>
      </c>
      <c r="C286" s="169" t="str">
        <f>JANDUÍ!D66</f>
        <v>TRAMA DE MADEIRA COMPOSTA POR RIPAS, CAIBROS E TERÇAS PARA TELHADOS DE ATÉ 2 ÁGUAS PARA TELHA CERÂMICA CAPA-CANAL, INCLUSO TRANSPORTE VERTICAL. AF_07/2019</v>
      </c>
      <c r="D286" s="169"/>
      <c r="E286" s="169"/>
      <c r="F286" s="169"/>
      <c r="G286" s="169"/>
      <c r="H286" s="169"/>
      <c r="I286" s="169"/>
      <c r="J286" s="169"/>
      <c r="K286" s="36" t="str">
        <f>JANDUÍ!E66</f>
        <v>m²</v>
      </c>
      <c r="L286" s="27">
        <f>K289</f>
        <v>735</v>
      </c>
      <c r="M286" s="124"/>
    </row>
    <row r="287" spans="2:13">
      <c r="C287" s="167" t="s">
        <v>113</v>
      </c>
      <c r="D287" s="167"/>
      <c r="E287" s="167"/>
      <c r="F287" s="29" t="s">
        <v>102</v>
      </c>
      <c r="G287" s="28" t="s">
        <v>103</v>
      </c>
      <c r="H287" s="29" t="s">
        <v>104</v>
      </c>
      <c r="I287" s="28" t="s">
        <v>105</v>
      </c>
      <c r="J287" s="28" t="s">
        <v>115</v>
      </c>
      <c r="K287" s="30" t="s">
        <v>107</v>
      </c>
      <c r="M287" s="124"/>
    </row>
    <row r="288" spans="2:13">
      <c r="C288" s="165" t="s">
        <v>893</v>
      </c>
      <c r="D288" s="165"/>
      <c r="E288" s="165"/>
      <c r="F288" s="29"/>
      <c r="G288" s="28"/>
      <c r="H288" s="37"/>
      <c r="I288" s="38"/>
      <c r="J288" s="38">
        <v>735</v>
      </c>
      <c r="K288" s="39">
        <f>J288</f>
        <v>735</v>
      </c>
      <c r="M288" s="124"/>
    </row>
    <row r="289" spans="2:13">
      <c r="C289" s="166" t="s">
        <v>110</v>
      </c>
      <c r="D289" s="166"/>
      <c r="E289" s="166"/>
      <c r="F289" s="166"/>
      <c r="G289" s="166"/>
      <c r="H289" s="166"/>
      <c r="I289" s="166"/>
      <c r="J289" s="166"/>
      <c r="K289" s="33">
        <f>SUM(K288:K288)</f>
        <v>735</v>
      </c>
      <c r="M289" s="124"/>
    </row>
    <row r="290" spans="2:13">
      <c r="M290" s="124"/>
    </row>
    <row r="291" spans="2:13" ht="32.4" customHeight="1">
      <c r="B291" s="19" t="s">
        <v>745</v>
      </c>
      <c r="C291" s="169" t="str">
        <f>JANDUÍ!D67</f>
        <v>TELHAMENTO COM TELHA CERÂMICA CAPA-CANAL, TIPO COLONIAL, COM ATÉ 2 ÁGUAS, INCLUSO TRANSPORTE VERTICAL. AF_07/2019</v>
      </c>
      <c r="D291" s="169"/>
      <c r="E291" s="169"/>
      <c r="F291" s="169"/>
      <c r="G291" s="169"/>
      <c r="H291" s="169"/>
      <c r="I291" s="169"/>
      <c r="J291" s="169"/>
      <c r="K291" s="36" t="str">
        <f>JANDUÍ!E67</f>
        <v>m²</v>
      </c>
      <c r="L291" s="27">
        <f>K294</f>
        <v>735</v>
      </c>
      <c r="M291" s="124"/>
    </row>
    <row r="292" spans="2:13">
      <c r="C292" s="167" t="s">
        <v>113</v>
      </c>
      <c r="D292" s="167"/>
      <c r="E292" s="167"/>
      <c r="F292" s="29" t="s">
        <v>102</v>
      </c>
      <c r="G292" s="28" t="s">
        <v>103</v>
      </c>
      <c r="H292" s="29" t="s">
        <v>104</v>
      </c>
      <c r="I292" s="28" t="s">
        <v>105</v>
      </c>
      <c r="J292" s="28" t="s">
        <v>115</v>
      </c>
      <c r="K292" s="30" t="s">
        <v>107</v>
      </c>
      <c r="M292" s="124"/>
    </row>
    <row r="293" spans="2:13">
      <c r="C293" s="165" t="s">
        <v>893</v>
      </c>
      <c r="D293" s="165"/>
      <c r="E293" s="165"/>
      <c r="F293" s="29"/>
      <c r="G293" s="28"/>
      <c r="H293" s="37"/>
      <c r="I293" s="38"/>
      <c r="J293" s="38">
        <v>735</v>
      </c>
      <c r="K293" s="39">
        <f>J293</f>
        <v>735</v>
      </c>
      <c r="M293" s="124"/>
    </row>
    <row r="294" spans="2:13">
      <c r="C294" s="166" t="s">
        <v>110</v>
      </c>
      <c r="D294" s="166"/>
      <c r="E294" s="166"/>
      <c r="F294" s="166"/>
      <c r="G294" s="166"/>
      <c r="H294" s="166"/>
      <c r="I294" s="166"/>
      <c r="J294" s="166"/>
      <c r="K294" s="33">
        <f>SUM(K293:K293)</f>
        <v>735</v>
      </c>
      <c r="M294" s="124"/>
    </row>
    <row r="295" spans="2:13">
      <c r="M295" s="124"/>
    </row>
    <row r="296" spans="2:13">
      <c r="B296" s="19" t="s">
        <v>746</v>
      </c>
      <c r="C296" s="169" t="str">
        <f>JANDUÍ!D68</f>
        <v>RETIRADA E RECOLOCAÇÃO DE  TELHA CERÂMICA CAPA-CANAL, COM ATÉ DUAS ÁGUAS, INCLUSO IÇAMENTO. AF_07/2019</v>
      </c>
      <c r="D296" s="169"/>
      <c r="E296" s="169"/>
      <c r="F296" s="169"/>
      <c r="G296" s="169"/>
      <c r="H296" s="169"/>
      <c r="I296" s="169"/>
      <c r="J296" s="169"/>
      <c r="K296" s="36" t="str">
        <f>JANDUÍ!E68</f>
        <v>m²</v>
      </c>
      <c r="L296" s="27">
        <f>K299</f>
        <v>1670</v>
      </c>
      <c r="M296" s="124"/>
    </row>
    <row r="297" spans="2:13">
      <c r="C297" s="167" t="s">
        <v>113</v>
      </c>
      <c r="D297" s="167"/>
      <c r="E297" s="167"/>
      <c r="F297" s="29" t="s">
        <v>102</v>
      </c>
      <c r="G297" s="28" t="s">
        <v>103</v>
      </c>
      <c r="H297" s="29" t="s">
        <v>104</v>
      </c>
      <c r="I297" s="28" t="s">
        <v>105</v>
      </c>
      <c r="J297" s="28" t="s">
        <v>115</v>
      </c>
      <c r="K297" s="30" t="s">
        <v>107</v>
      </c>
      <c r="M297" s="124"/>
    </row>
    <row r="298" spans="2:13">
      <c r="C298" s="165" t="s">
        <v>730</v>
      </c>
      <c r="D298" s="165"/>
      <c r="E298" s="165"/>
      <c r="F298" s="31"/>
      <c r="G298" s="31"/>
      <c r="H298" s="31"/>
      <c r="I298" s="31"/>
      <c r="J298" s="31">
        <f>JANDUÍ!F68</f>
        <v>1670</v>
      </c>
      <c r="K298" s="32">
        <f>J298</f>
        <v>1670</v>
      </c>
      <c r="M298" s="124"/>
    </row>
    <row r="299" spans="2:13">
      <c r="C299" s="166" t="s">
        <v>110</v>
      </c>
      <c r="D299" s="166"/>
      <c r="E299" s="166"/>
      <c r="F299" s="166"/>
      <c r="G299" s="166"/>
      <c r="H299" s="166"/>
      <c r="I299" s="166"/>
      <c r="J299" s="166"/>
      <c r="K299" s="33">
        <f>SUM(K298:K298)</f>
        <v>1670</v>
      </c>
      <c r="M299" s="124"/>
    </row>
    <row r="300" spans="2:13">
      <c r="C300" s="41"/>
      <c r="D300" s="41"/>
      <c r="E300" s="41"/>
      <c r="F300" s="41"/>
      <c r="G300" s="41"/>
      <c r="H300" s="41"/>
      <c r="I300" s="41"/>
      <c r="J300" s="41"/>
      <c r="K300" s="42"/>
      <c r="M300" s="124"/>
    </row>
    <row r="301" spans="2:13" ht="31.2" customHeight="1">
      <c r="B301" s="19" t="s">
        <v>748</v>
      </c>
      <c r="C301" s="169" t="str">
        <f>JANDUÍ!D69</f>
        <v>CUMEEIRA E ESPIGÃO PARA TELHA CERÂMICA EMBOÇADA COM ARGAMASSA TRAÇO 1:2:9 (CIMENTO, CAL E AREIA), PARA TELHADOS COM MAIS DE 2 ÁGUAS, INCLUSO TRANSPORTE VERTICAL. AF_07/2019</v>
      </c>
      <c r="D301" s="169"/>
      <c r="E301" s="169"/>
      <c r="F301" s="169"/>
      <c r="G301" s="169"/>
      <c r="H301" s="169"/>
      <c r="I301" s="169"/>
      <c r="J301" s="169"/>
      <c r="K301" s="36" t="str">
        <f>JANDUÍ!E69</f>
        <v>M</v>
      </c>
      <c r="L301" s="27">
        <f>K304</f>
        <v>82</v>
      </c>
      <c r="M301" s="124"/>
    </row>
    <row r="302" spans="2:13">
      <c r="C302" s="167" t="s">
        <v>113</v>
      </c>
      <c r="D302" s="167"/>
      <c r="E302" s="167"/>
      <c r="F302" s="29" t="s">
        <v>102</v>
      </c>
      <c r="G302" s="28" t="s">
        <v>103</v>
      </c>
      <c r="H302" s="29" t="s">
        <v>104</v>
      </c>
      <c r="I302" s="28" t="s">
        <v>105</v>
      </c>
      <c r="J302" s="28" t="s">
        <v>106</v>
      </c>
      <c r="K302" s="30" t="s">
        <v>107</v>
      </c>
      <c r="M302" s="124"/>
    </row>
    <row r="303" spans="2:13">
      <c r="C303" s="165" t="s">
        <v>730</v>
      </c>
      <c r="D303" s="165"/>
      <c r="E303" s="165"/>
      <c r="F303" s="31"/>
      <c r="G303" s="31"/>
      <c r="H303" s="31"/>
      <c r="I303" s="31">
        <v>82</v>
      </c>
      <c r="J303" s="31"/>
      <c r="K303" s="32">
        <f>I303</f>
        <v>82</v>
      </c>
      <c r="M303" s="124"/>
    </row>
    <row r="304" spans="2:13">
      <c r="C304" s="166" t="s">
        <v>110</v>
      </c>
      <c r="D304" s="166"/>
      <c r="E304" s="166"/>
      <c r="F304" s="166"/>
      <c r="G304" s="166"/>
      <c r="H304" s="166"/>
      <c r="I304" s="166"/>
      <c r="J304" s="166"/>
      <c r="K304" s="33">
        <f>SUM(K303:K303)</f>
        <v>82</v>
      </c>
      <c r="M304" s="124"/>
    </row>
    <row r="305" spans="2:13">
      <c r="C305" s="41"/>
      <c r="D305" s="41"/>
      <c r="E305" s="41"/>
      <c r="F305" s="41"/>
      <c r="G305" s="41"/>
      <c r="H305" s="41"/>
      <c r="I305" s="41"/>
      <c r="J305" s="41"/>
      <c r="K305" s="42"/>
      <c r="M305" s="124"/>
    </row>
    <row r="306" spans="2:13" ht="28.95" customHeight="1">
      <c r="B306" s="19" t="s">
        <v>750</v>
      </c>
      <c r="C306" s="169" t="str">
        <f>JANDUÍ!D70</f>
        <v>RETIRADA E RECOLOCAÇÃO DE CAIBRO EM TELHADOS DE ATÉ 2 ÁGUAS COM TELHA CERÂMICA CAPA-CANAL, INCLUSO TRANSPORTE VERTICAL. AF_07/2019</v>
      </c>
      <c r="D306" s="169"/>
      <c r="E306" s="169"/>
      <c r="F306" s="169"/>
      <c r="G306" s="169"/>
      <c r="H306" s="169"/>
      <c r="I306" s="169"/>
      <c r="J306" s="169"/>
      <c r="K306" s="36" t="str">
        <f>JANDUÍ!E70</f>
        <v>m²</v>
      </c>
      <c r="L306" s="27">
        <f>K309</f>
        <v>100</v>
      </c>
      <c r="M306" s="124"/>
    </row>
    <row r="307" spans="2:13">
      <c r="C307" s="167" t="s">
        <v>113</v>
      </c>
      <c r="D307" s="167"/>
      <c r="E307" s="167"/>
      <c r="F307" s="29" t="s">
        <v>102</v>
      </c>
      <c r="G307" s="28" t="s">
        <v>103</v>
      </c>
      <c r="H307" s="29" t="s">
        <v>104</v>
      </c>
      <c r="I307" s="28" t="s">
        <v>105</v>
      </c>
      <c r="J307" s="28" t="s">
        <v>106</v>
      </c>
      <c r="K307" s="30" t="s">
        <v>107</v>
      </c>
      <c r="M307" s="124"/>
    </row>
    <row r="308" spans="2:13">
      <c r="C308" s="165" t="s">
        <v>730</v>
      </c>
      <c r="D308" s="165"/>
      <c r="E308" s="165"/>
      <c r="F308" s="31"/>
      <c r="G308" s="31"/>
      <c r="H308" s="31"/>
      <c r="I308" s="31">
        <v>100</v>
      </c>
      <c r="J308" s="31"/>
      <c r="K308" s="32">
        <f>I308</f>
        <v>100</v>
      </c>
      <c r="M308" s="124"/>
    </row>
    <row r="309" spans="2:13">
      <c r="C309" s="166" t="s">
        <v>110</v>
      </c>
      <c r="D309" s="166"/>
      <c r="E309" s="166"/>
      <c r="F309" s="166"/>
      <c r="G309" s="166"/>
      <c r="H309" s="166"/>
      <c r="I309" s="166"/>
      <c r="J309" s="166"/>
      <c r="K309" s="33">
        <f>SUM(K308:K308)</f>
        <v>100</v>
      </c>
      <c r="M309" s="124"/>
    </row>
    <row r="310" spans="2:13">
      <c r="M310" s="124"/>
    </row>
    <row r="311" spans="2:13" ht="29.4" customHeight="1">
      <c r="B311" s="19" t="s">
        <v>918</v>
      </c>
      <c r="C311" s="169" t="str">
        <f>JANDUÍ!D71</f>
        <v>RETIRADA E RECOLOCAÇÃO DE RIPA EM TELHADOS DE MAIS DE 2 ÁGUAS COM TELHA CERÂMICA CAPA-CANAL, INCLUSO TRANSPORTE VERTICAL. AF_07/2019</v>
      </c>
      <c r="D311" s="169"/>
      <c r="E311" s="169"/>
      <c r="F311" s="169"/>
      <c r="G311" s="169"/>
      <c r="H311" s="169"/>
      <c r="I311" s="169"/>
      <c r="J311" s="169"/>
      <c r="K311" s="36" t="str">
        <f>JANDUÍ!E71</f>
        <v>m²</v>
      </c>
      <c r="L311" s="27">
        <f>K314</f>
        <v>100</v>
      </c>
      <c r="M311" s="124"/>
    </row>
    <row r="312" spans="2:13">
      <c r="C312" s="167" t="s">
        <v>113</v>
      </c>
      <c r="D312" s="167"/>
      <c r="E312" s="167"/>
      <c r="F312" s="29" t="s">
        <v>102</v>
      </c>
      <c r="G312" s="28" t="s">
        <v>103</v>
      </c>
      <c r="H312" s="29" t="s">
        <v>104</v>
      </c>
      <c r="I312" s="28" t="s">
        <v>105</v>
      </c>
      <c r="J312" s="28" t="s">
        <v>40</v>
      </c>
      <c r="K312" s="30" t="s">
        <v>107</v>
      </c>
      <c r="M312" s="124"/>
    </row>
    <row r="313" spans="2:13" ht="14.4" customHeight="1">
      <c r="C313" s="165" t="s">
        <v>730</v>
      </c>
      <c r="D313" s="165"/>
      <c r="E313" s="165"/>
      <c r="F313" s="31"/>
      <c r="G313" s="31"/>
      <c r="H313" s="31"/>
      <c r="I313" s="31">
        <v>100</v>
      </c>
      <c r="J313" s="31"/>
      <c r="K313" s="32">
        <f>I313</f>
        <v>100</v>
      </c>
      <c r="M313" s="124"/>
    </row>
    <row r="314" spans="2:13">
      <c r="C314" s="166" t="s">
        <v>110</v>
      </c>
      <c r="D314" s="166"/>
      <c r="E314" s="166"/>
      <c r="F314" s="166"/>
      <c r="G314" s="166"/>
      <c r="H314" s="166"/>
      <c r="I314" s="166"/>
      <c r="J314" s="166"/>
      <c r="K314" s="33">
        <f>SUM(K313:K313)</f>
        <v>100</v>
      </c>
      <c r="M314" s="124"/>
    </row>
    <row r="315" spans="2:13">
      <c r="M315" s="124"/>
    </row>
    <row r="316" spans="2:13">
      <c r="B316" s="34" t="s">
        <v>751</v>
      </c>
      <c r="C316" s="168" t="str">
        <f>JANDUÍ!D72</f>
        <v>ESQUADRIAS</v>
      </c>
      <c r="D316" s="168"/>
      <c r="E316" s="168"/>
      <c r="F316" s="168"/>
      <c r="G316" s="168"/>
      <c r="H316" s="168"/>
      <c r="I316" s="168"/>
      <c r="J316" s="168"/>
      <c r="K316" s="168"/>
      <c r="L316" s="168"/>
      <c r="M316" s="124"/>
    </row>
    <row r="317" spans="2:13" ht="41.25" customHeight="1">
      <c r="B317" s="19" t="s">
        <v>752</v>
      </c>
      <c r="C317" s="169" t="str">
        <f>JANDUÍ!D73</f>
        <v>KIT DE PORTA DE MADEIRA PARA PINTURA, SEMI-OCA (LEVE OU MÉDIA), PADRÃO MÉDIO, 90X210CM, ESPESSURA DE 3,5CM, ITENS INCLUSOS: DOBRADIÇAS, MONTAGEM E INSTALAÇÃO DO BATENTE, FECHADURA COM EXECUÇÃO DO FURO - FORNECIMENTO E INSTALAÇÃO. AF_12/2019</v>
      </c>
      <c r="D317" s="169"/>
      <c r="E317" s="169"/>
      <c r="F317" s="169"/>
      <c r="G317" s="169"/>
      <c r="H317" s="169"/>
      <c r="I317" s="169"/>
      <c r="J317" s="169"/>
      <c r="K317" s="36" t="str">
        <f>JANDUÍ!E73</f>
        <v>UN</v>
      </c>
      <c r="L317" s="27">
        <f>K320</f>
        <v>12</v>
      </c>
      <c r="M317" s="124"/>
    </row>
    <row r="318" spans="2:13">
      <c r="C318" s="167" t="s">
        <v>113</v>
      </c>
      <c r="D318" s="167"/>
      <c r="E318" s="167"/>
      <c r="F318" s="29" t="s">
        <v>102</v>
      </c>
      <c r="G318" s="28" t="s">
        <v>103</v>
      </c>
      <c r="H318" s="29" t="s">
        <v>104</v>
      </c>
      <c r="I318" s="28" t="s">
        <v>105</v>
      </c>
      <c r="J318" s="28" t="s">
        <v>121</v>
      </c>
      <c r="K318" s="30" t="s">
        <v>107</v>
      </c>
      <c r="M318" s="124"/>
    </row>
    <row r="319" spans="2:13">
      <c r="C319" s="214" t="s">
        <v>919</v>
      </c>
      <c r="D319" s="215"/>
      <c r="E319" s="216"/>
      <c r="F319" s="31">
        <v>12</v>
      </c>
      <c r="G319" s="31"/>
      <c r="H319" s="31"/>
      <c r="I319" s="31"/>
      <c r="J319" s="31"/>
      <c r="K319" s="32">
        <f>F319</f>
        <v>12</v>
      </c>
      <c r="M319" s="124"/>
    </row>
    <row r="320" spans="2:13">
      <c r="C320" s="166" t="s">
        <v>110</v>
      </c>
      <c r="D320" s="166"/>
      <c r="E320" s="166"/>
      <c r="F320" s="166"/>
      <c r="G320" s="166"/>
      <c r="H320" s="166"/>
      <c r="I320" s="166"/>
      <c r="J320" s="166"/>
      <c r="K320" s="33">
        <f>SUM(K319:K319)</f>
        <v>12</v>
      </c>
      <c r="M320" s="124"/>
    </row>
    <row r="321" spans="2:13">
      <c r="M321" s="124"/>
    </row>
    <row r="322" spans="2:13" ht="26.25" customHeight="1">
      <c r="B322" s="19" t="s">
        <v>920</v>
      </c>
      <c r="C322" s="169" t="str">
        <f>JANDUÍ!D74</f>
        <v>KIT DE PORTA DE MADEIRA FRISADA, SEMI-OCA (LEVE OU MÉDIA), PADRÃO MÉDIO, 60X210CM, ESPESSURA DE 3,5CM, ITENS INCLUSOS: DOBRADIÇAS, MONTAGEM E INSTALAÇÃO DE BATENTE, FECHADURA COM EXECUÇÃO DO FURO - FORNECIMENTO E INSTALAÇÃO. AF_12/2019</v>
      </c>
      <c r="D322" s="169"/>
      <c r="E322" s="169"/>
      <c r="F322" s="169"/>
      <c r="G322" s="169"/>
      <c r="H322" s="169"/>
      <c r="I322" s="169"/>
      <c r="J322" s="169"/>
      <c r="K322" s="36" t="str">
        <f>JANDUÍ!E74</f>
        <v>UN</v>
      </c>
      <c r="L322" s="27">
        <f>K325</f>
        <v>5</v>
      </c>
      <c r="M322" s="124"/>
    </row>
    <row r="323" spans="2:13">
      <c r="C323" s="167" t="s">
        <v>113</v>
      </c>
      <c r="D323" s="167"/>
      <c r="E323" s="167"/>
      <c r="F323" s="29" t="s">
        <v>102</v>
      </c>
      <c r="G323" s="28" t="s">
        <v>103</v>
      </c>
      <c r="H323" s="29" t="s">
        <v>104</v>
      </c>
      <c r="I323" s="28" t="s">
        <v>105</v>
      </c>
      <c r="J323" s="28" t="s">
        <v>121</v>
      </c>
      <c r="K323" s="30" t="s">
        <v>107</v>
      </c>
      <c r="M323" s="124"/>
    </row>
    <row r="324" spans="2:13">
      <c r="C324" s="165" t="s">
        <v>122</v>
      </c>
      <c r="D324" s="165"/>
      <c r="E324" s="165"/>
      <c r="F324" s="31">
        <v>5</v>
      </c>
      <c r="G324" s="31"/>
      <c r="H324" s="31"/>
      <c r="I324" s="31"/>
      <c r="J324" s="31"/>
      <c r="K324" s="32">
        <f>F324</f>
        <v>5</v>
      </c>
      <c r="M324" s="124"/>
    </row>
    <row r="325" spans="2:13">
      <c r="C325" s="166" t="s">
        <v>110</v>
      </c>
      <c r="D325" s="166"/>
      <c r="E325" s="166"/>
      <c r="F325" s="166"/>
      <c r="G325" s="166"/>
      <c r="H325" s="166"/>
      <c r="I325" s="166"/>
      <c r="J325" s="166"/>
      <c r="K325" s="33">
        <f>SUM(K324:K324)</f>
        <v>5</v>
      </c>
      <c r="M325" s="124"/>
    </row>
    <row r="326" spans="2:13">
      <c r="M326" s="124"/>
    </row>
    <row r="327" spans="2:13" ht="48.75" customHeight="1">
      <c r="B327" s="19" t="s">
        <v>921</v>
      </c>
      <c r="C327" s="169" t="str">
        <f>JANDUÍ!D75</f>
        <v>KIT DE PORTA DE MADEIRA FRISADA, SEMI-OCA (LEVE OU MÉDIA), PADRÃO MÉDIO, 70X210CM, ESPESSURA DE 3CM, ITENS INCLUSOS: DOBRADIÇAS, MONTAGEM E INSTALAÇÃO DE BATENTE, FECHADURA COM EXECUÇÃO DO FURO - FORNECIMENTO E INSTALAÇÃO. AF_12/2019</v>
      </c>
      <c r="D327" s="169"/>
      <c r="E327" s="169"/>
      <c r="F327" s="169"/>
      <c r="G327" s="169"/>
      <c r="H327" s="169"/>
      <c r="I327" s="169"/>
      <c r="J327" s="169"/>
      <c r="K327" s="36" t="str">
        <f>JANDUÍ!E75</f>
        <v>UN</v>
      </c>
      <c r="L327" s="27">
        <f>K330</f>
        <v>5</v>
      </c>
      <c r="M327" s="124"/>
    </row>
    <row r="328" spans="2:13">
      <c r="C328" s="167" t="s">
        <v>113</v>
      </c>
      <c r="D328" s="167"/>
      <c r="E328" s="167"/>
      <c r="F328" s="29" t="s">
        <v>102</v>
      </c>
      <c r="G328" s="28" t="s">
        <v>103</v>
      </c>
      <c r="H328" s="29" t="s">
        <v>104</v>
      </c>
      <c r="I328" s="28" t="s">
        <v>105</v>
      </c>
      <c r="J328" s="28" t="s">
        <v>121</v>
      </c>
      <c r="K328" s="30" t="s">
        <v>107</v>
      </c>
      <c r="M328" s="124"/>
    </row>
    <row r="329" spans="2:13">
      <c r="C329" s="165" t="s">
        <v>737</v>
      </c>
      <c r="D329" s="165"/>
      <c r="E329" s="165"/>
      <c r="F329" s="31">
        <v>5</v>
      </c>
      <c r="G329" s="31"/>
      <c r="H329" s="31"/>
      <c r="I329" s="31"/>
      <c r="J329" s="31"/>
      <c r="K329" s="32">
        <f>F329</f>
        <v>5</v>
      </c>
      <c r="M329" s="124"/>
    </row>
    <row r="330" spans="2:13">
      <c r="C330" s="166" t="s">
        <v>110</v>
      </c>
      <c r="D330" s="166"/>
      <c r="E330" s="166"/>
      <c r="F330" s="166"/>
      <c r="G330" s="166"/>
      <c r="H330" s="166"/>
      <c r="I330" s="166"/>
      <c r="J330" s="166"/>
      <c r="K330" s="33">
        <f>SUM(K329:K329)</f>
        <v>5</v>
      </c>
      <c r="M330" s="124"/>
    </row>
    <row r="331" spans="2:13">
      <c r="M331" s="124"/>
    </row>
    <row r="332" spans="2:13" ht="45" customHeight="1">
      <c r="B332" s="19" t="s">
        <v>922</v>
      </c>
      <c r="C332" s="169" t="str">
        <f>JANDUÍ!D76</f>
        <v>KIT DE PORTA DE MADEIRA FRISADA, SEMI-OCA (LEVE OU MÉDIA), PADRÃO MÉDIO, 80X210CM, ESPESSURA DE 3,5CM, ITENS INCLUSOS: DOBRADIÇAS, MONTAGEM E INSTALAÇÃO DE BATENTE, FECHADURA COM EXECUÇÃO DO FURO - FORNECIMENTO E INSTALAÇÃO. AF_12/2019</v>
      </c>
      <c r="D332" s="169"/>
      <c r="E332" s="169"/>
      <c r="F332" s="169"/>
      <c r="G332" s="169"/>
      <c r="H332" s="169"/>
      <c r="I332" s="169"/>
      <c r="J332" s="169"/>
      <c r="K332" s="36" t="str">
        <f>JANDUÍ!E76</f>
        <v>UN</v>
      </c>
      <c r="L332" s="27">
        <f>K335</f>
        <v>5</v>
      </c>
      <c r="M332" s="124"/>
    </row>
    <row r="333" spans="2:13">
      <c r="C333" s="167" t="s">
        <v>113</v>
      </c>
      <c r="D333" s="167"/>
      <c r="E333" s="167"/>
      <c r="F333" s="29" t="s">
        <v>102</v>
      </c>
      <c r="G333" s="28" t="s">
        <v>103</v>
      </c>
      <c r="H333" s="29" t="s">
        <v>104</v>
      </c>
      <c r="I333" s="28" t="s">
        <v>105</v>
      </c>
      <c r="J333" s="28" t="s">
        <v>121</v>
      </c>
      <c r="K333" s="30" t="s">
        <v>107</v>
      </c>
      <c r="M333" s="124"/>
    </row>
    <row r="334" spans="2:13">
      <c r="C334" s="165" t="s">
        <v>737</v>
      </c>
      <c r="D334" s="165"/>
      <c r="E334" s="165"/>
      <c r="F334" s="31">
        <v>5</v>
      </c>
      <c r="G334" s="31"/>
      <c r="H334" s="31"/>
      <c r="I334" s="31"/>
      <c r="J334" s="31"/>
      <c r="K334" s="32">
        <f>F334</f>
        <v>5</v>
      </c>
      <c r="M334" s="124"/>
    </row>
    <row r="335" spans="2:13">
      <c r="C335" s="166" t="s">
        <v>110</v>
      </c>
      <c r="D335" s="166"/>
      <c r="E335" s="166"/>
      <c r="F335" s="166"/>
      <c r="G335" s="166"/>
      <c r="H335" s="166"/>
      <c r="I335" s="166"/>
      <c r="J335" s="166"/>
      <c r="K335" s="33">
        <f>SUM(K334:K334)</f>
        <v>5</v>
      </c>
      <c r="M335" s="124"/>
    </row>
    <row r="336" spans="2:13">
      <c r="C336" s="41"/>
      <c r="D336" s="41"/>
      <c r="E336" s="41"/>
      <c r="F336" s="41"/>
      <c r="G336" s="41"/>
      <c r="H336" s="41"/>
      <c r="I336" s="41"/>
      <c r="J336" s="41"/>
      <c r="K336" s="42"/>
      <c r="M336" s="124"/>
    </row>
    <row r="337" spans="2:13" ht="24.75" customHeight="1">
      <c r="B337" s="19" t="s">
        <v>923</v>
      </c>
      <c r="C337" s="169" t="str">
        <f>JANDUÍ!D77</f>
        <v>FECHADURA DE EMBUTIR COM CILINDRO, EXTERNA, COMPLETA, ACABAMENTO PADRÃO MÉDIO, INCLUSO EXECUÇÃO DE FURO - FORNECIMENTO E INSTALAÇÃO. AF_12/2019</v>
      </c>
      <c r="D337" s="169"/>
      <c r="E337" s="169"/>
      <c r="F337" s="169"/>
      <c r="G337" s="169"/>
      <c r="H337" s="169"/>
      <c r="I337" s="169"/>
      <c r="J337" s="169"/>
      <c r="K337" s="36" t="str">
        <f>JANDUÍ!E77</f>
        <v>UN</v>
      </c>
      <c r="L337" s="27">
        <f>K340</f>
        <v>10</v>
      </c>
      <c r="M337" s="124"/>
    </row>
    <row r="338" spans="2:13">
      <c r="C338" s="167" t="s">
        <v>113</v>
      </c>
      <c r="D338" s="167"/>
      <c r="E338" s="167"/>
      <c r="F338" s="29" t="s">
        <v>102</v>
      </c>
      <c r="G338" s="28" t="s">
        <v>103</v>
      </c>
      <c r="H338" s="29" t="s">
        <v>104</v>
      </c>
      <c r="I338" s="28" t="s">
        <v>105</v>
      </c>
      <c r="J338" s="28" t="s">
        <v>121</v>
      </c>
      <c r="K338" s="30" t="s">
        <v>107</v>
      </c>
      <c r="M338" s="124"/>
    </row>
    <row r="339" spans="2:13">
      <c r="C339" s="165" t="s">
        <v>122</v>
      </c>
      <c r="D339" s="165"/>
      <c r="E339" s="165"/>
      <c r="F339" s="31">
        <v>10</v>
      </c>
      <c r="G339" s="31"/>
      <c r="H339" s="31"/>
      <c r="I339" s="31"/>
      <c r="J339" s="31"/>
      <c r="K339" s="32">
        <f>F339</f>
        <v>10</v>
      </c>
      <c r="M339" s="124"/>
    </row>
    <row r="340" spans="2:13">
      <c r="C340" s="166" t="s">
        <v>110</v>
      </c>
      <c r="D340" s="166"/>
      <c r="E340" s="166"/>
      <c r="F340" s="166"/>
      <c r="G340" s="166"/>
      <c r="H340" s="166"/>
      <c r="I340" s="166"/>
      <c r="J340" s="166"/>
      <c r="K340" s="33">
        <f>SUM(K339:K339)</f>
        <v>10</v>
      </c>
      <c r="M340" s="124"/>
    </row>
    <row r="341" spans="2:13">
      <c r="C341" s="41"/>
      <c r="D341" s="41"/>
      <c r="E341" s="41"/>
      <c r="F341" s="41"/>
      <c r="G341" s="41"/>
      <c r="H341" s="41"/>
      <c r="I341" s="41"/>
      <c r="J341" s="41"/>
      <c r="K341" s="42"/>
      <c r="M341" s="124"/>
    </row>
    <row r="342" spans="2:13" ht="24.75" customHeight="1">
      <c r="B342" s="19" t="s">
        <v>924</v>
      </c>
      <c r="C342" s="169" t="str">
        <f>JANDUÍ!D78</f>
        <v>JANELA DE MADEIRA (IMBUIA/CEDRO OU EQUIV.) DE ABRIR COM 4 FOLHAS (4 VENEZIANAS), COM BATENTE, ALIZAR E FERRAGENS FORNECIMENTO E INSTALAÇÃO. AF_12/2019</v>
      </c>
      <c r="D342" s="169"/>
      <c r="E342" s="169"/>
      <c r="F342" s="169"/>
      <c r="G342" s="169"/>
      <c r="H342" s="169"/>
      <c r="I342" s="169"/>
      <c r="J342" s="169"/>
      <c r="K342" s="36" t="str">
        <f>JANDUÍ!E78</f>
        <v>M²</v>
      </c>
      <c r="L342" s="27">
        <f>K345</f>
        <v>40</v>
      </c>
      <c r="M342" s="124"/>
    </row>
    <row r="343" spans="2:13">
      <c r="C343" s="167" t="s">
        <v>113</v>
      </c>
      <c r="D343" s="167"/>
      <c r="E343" s="167"/>
      <c r="F343" s="29" t="s">
        <v>102</v>
      </c>
      <c r="G343" s="28" t="s">
        <v>103</v>
      </c>
      <c r="H343" s="29" t="s">
        <v>104</v>
      </c>
      <c r="I343" s="28" t="s">
        <v>105</v>
      </c>
      <c r="J343" s="28" t="s">
        <v>121</v>
      </c>
      <c r="K343" s="30" t="s">
        <v>107</v>
      </c>
      <c r="M343" s="124"/>
    </row>
    <row r="344" spans="2:13">
      <c r="C344" s="165" t="s">
        <v>741</v>
      </c>
      <c r="D344" s="165"/>
      <c r="E344" s="165"/>
      <c r="F344" s="31">
        <v>20</v>
      </c>
      <c r="G344" s="31">
        <v>1</v>
      </c>
      <c r="H344" s="31">
        <v>2</v>
      </c>
      <c r="I344" s="31"/>
      <c r="J344" s="31"/>
      <c r="K344" s="32">
        <f>H344*G344*F344</f>
        <v>40</v>
      </c>
      <c r="M344" s="124"/>
    </row>
    <row r="345" spans="2:13">
      <c r="C345" s="166" t="s">
        <v>110</v>
      </c>
      <c r="D345" s="166"/>
      <c r="E345" s="166"/>
      <c r="F345" s="166"/>
      <c r="G345" s="166"/>
      <c r="H345" s="166"/>
      <c r="I345" s="166"/>
      <c r="J345" s="166"/>
      <c r="K345" s="33">
        <f>SUM(K344:K344)</f>
        <v>40</v>
      </c>
      <c r="M345" s="124"/>
    </row>
    <row r="346" spans="2:13" ht="15.6" customHeight="1">
      <c r="C346" s="41"/>
      <c r="D346" s="41"/>
      <c r="E346" s="41"/>
      <c r="F346" s="41"/>
      <c r="G346" s="41"/>
      <c r="H346" s="41"/>
      <c r="I346" s="41"/>
      <c r="J346" s="41"/>
      <c r="K346" s="42"/>
      <c r="M346" s="124"/>
    </row>
    <row r="347" spans="2:13">
      <c r="B347" s="34" t="s">
        <v>925</v>
      </c>
      <c r="C347" s="168" t="str">
        <f>JANDUÍ!D79</f>
        <v>DIVERSOS</v>
      </c>
      <c r="D347" s="168"/>
      <c r="E347" s="168"/>
      <c r="F347" s="168"/>
      <c r="G347" s="168"/>
      <c r="H347" s="168"/>
      <c r="I347" s="168"/>
      <c r="J347" s="168"/>
      <c r="K347" s="168"/>
      <c r="L347" s="168"/>
      <c r="M347" s="124"/>
    </row>
    <row r="348" spans="2:13" ht="33" customHeight="1">
      <c r="B348" s="19" t="s">
        <v>926</v>
      </c>
      <c r="C348" s="169" t="str">
        <f>JANDUÍ!D80</f>
        <v>FORRO EM RÉGUAS DE PVC, FRISADO, PARA AMBIENTES COMERCIAIS, INCLUSIVE ESTRUTURA DE FIXAÇÃO. AF_05/2017_PS</v>
      </c>
      <c r="D348" s="169"/>
      <c r="E348" s="169"/>
      <c r="F348" s="169"/>
      <c r="G348" s="169"/>
      <c r="H348" s="169"/>
      <c r="I348" s="169"/>
      <c r="J348" s="169"/>
      <c r="K348" s="36" t="str">
        <f>JANDUÍ!E80</f>
        <v>m²</v>
      </c>
      <c r="L348" s="27">
        <f>K351</f>
        <v>663.71</v>
      </c>
      <c r="M348" s="124"/>
    </row>
    <row r="349" spans="2:13">
      <c r="C349" s="167" t="s">
        <v>113</v>
      </c>
      <c r="D349" s="167"/>
      <c r="E349" s="167"/>
      <c r="F349" s="29" t="s">
        <v>102</v>
      </c>
      <c r="G349" s="28" t="s">
        <v>103</v>
      </c>
      <c r="H349" s="29" t="s">
        <v>104</v>
      </c>
      <c r="I349" s="28" t="s">
        <v>105</v>
      </c>
      <c r="J349" s="28" t="s">
        <v>115</v>
      </c>
      <c r="K349" s="30" t="s">
        <v>107</v>
      </c>
      <c r="M349" s="124"/>
    </row>
    <row r="350" spans="2:13" ht="14.4" customHeight="1">
      <c r="C350" s="165" t="s">
        <v>893</v>
      </c>
      <c r="D350" s="165"/>
      <c r="E350" s="165"/>
      <c r="F350" s="31"/>
      <c r="G350" s="31"/>
      <c r="H350" s="31"/>
      <c r="I350" s="31"/>
      <c r="J350" s="31">
        <f>JANDUÍ!F80</f>
        <v>663.71</v>
      </c>
      <c r="K350" s="32">
        <f>J350</f>
        <v>663.71</v>
      </c>
      <c r="M350" s="124"/>
    </row>
    <row r="351" spans="2:13">
      <c r="C351" s="166" t="s">
        <v>110</v>
      </c>
      <c r="D351" s="166"/>
      <c r="E351" s="166"/>
      <c r="F351" s="166"/>
      <c r="G351" s="166"/>
      <c r="H351" s="166"/>
      <c r="I351" s="166"/>
      <c r="J351" s="166"/>
      <c r="K351" s="33">
        <f>SUM(K350:K350)</f>
        <v>663.71</v>
      </c>
      <c r="M351" s="124"/>
    </row>
    <row r="352" spans="2:13">
      <c r="M352" s="124"/>
    </row>
    <row r="353" spans="2:13" ht="45" customHeight="1">
      <c r="B353" s="19" t="s">
        <v>927</v>
      </c>
      <c r="C353" s="169" t="str">
        <f>JANDUÍ!D81</f>
        <v>GRADIL EM FERRO FIXADO EM VÃOS DE JANELAS, FORMADO POR BARRAS CHATAS DE 25X4,8 MM. AF_04/2019</v>
      </c>
      <c r="D353" s="169"/>
      <c r="E353" s="169"/>
      <c r="F353" s="169"/>
      <c r="G353" s="169"/>
      <c r="H353" s="169"/>
      <c r="I353" s="169"/>
      <c r="J353" s="169"/>
      <c r="K353" s="36" t="str">
        <f>JANDUÍ!E81</f>
        <v>m²</v>
      </c>
      <c r="L353" s="27">
        <f>K356</f>
        <v>110</v>
      </c>
      <c r="M353" s="124"/>
    </row>
    <row r="354" spans="2:13">
      <c r="C354" s="167" t="s">
        <v>113</v>
      </c>
      <c r="D354" s="167"/>
      <c r="E354" s="167"/>
      <c r="F354" s="29" t="s">
        <v>102</v>
      </c>
      <c r="G354" s="28" t="s">
        <v>103</v>
      </c>
      <c r="H354" s="29" t="s">
        <v>104</v>
      </c>
      <c r="I354" s="28" t="s">
        <v>105</v>
      </c>
      <c r="J354" s="28" t="s">
        <v>115</v>
      </c>
      <c r="K354" s="30" t="s">
        <v>107</v>
      </c>
      <c r="M354" s="124"/>
    </row>
    <row r="355" spans="2:13">
      <c r="C355" s="165" t="s">
        <v>719</v>
      </c>
      <c r="D355" s="165"/>
      <c r="E355" s="165"/>
      <c r="F355" s="31">
        <v>1</v>
      </c>
      <c r="G355" s="31"/>
      <c r="H355" s="31"/>
      <c r="I355" s="31"/>
      <c r="J355" s="31">
        <f>JANDUÍ!F81</f>
        <v>110</v>
      </c>
      <c r="K355" s="32">
        <f>J355</f>
        <v>110</v>
      </c>
      <c r="M355" s="124"/>
    </row>
    <row r="356" spans="2:13">
      <c r="C356" s="166" t="s">
        <v>110</v>
      </c>
      <c r="D356" s="166"/>
      <c r="E356" s="166"/>
      <c r="F356" s="166"/>
      <c r="G356" s="166"/>
      <c r="H356" s="166"/>
      <c r="I356" s="166"/>
      <c r="J356" s="166"/>
      <c r="K356" s="33">
        <f>SUM(K355:K355)</f>
        <v>110</v>
      </c>
      <c r="M356" s="124"/>
    </row>
    <row r="357" spans="2:13">
      <c r="C357" s="41"/>
      <c r="D357" s="41"/>
      <c r="E357" s="41"/>
      <c r="F357" s="41"/>
      <c r="G357" s="41"/>
      <c r="H357" s="41"/>
      <c r="I357" s="41"/>
      <c r="J357" s="41"/>
      <c r="K357" s="42"/>
      <c r="M357" s="124"/>
    </row>
    <row r="358" spans="2:13" ht="40.950000000000003" customHeight="1">
      <c r="B358" s="19" t="s">
        <v>928</v>
      </c>
      <c r="C358" s="169" t="str">
        <f>JANDUÍ!D82</f>
        <v>FORRO EM PLACAS DE GESSO, PARA AMBIENTES RESIDENCIAIS. AF_05/2017_PS</v>
      </c>
      <c r="D358" s="169"/>
      <c r="E358" s="169"/>
      <c r="F358" s="169"/>
      <c r="G358" s="169"/>
      <c r="H358" s="169"/>
      <c r="I358" s="169"/>
      <c r="J358" s="169"/>
      <c r="K358" s="36" t="str">
        <f>JANDUÍ!E82</f>
        <v>m²</v>
      </c>
      <c r="L358" s="27">
        <f>K361</f>
        <v>300</v>
      </c>
      <c r="M358" s="124"/>
    </row>
    <row r="359" spans="2:13">
      <c r="C359" s="167" t="s">
        <v>113</v>
      </c>
      <c r="D359" s="167"/>
      <c r="E359" s="167"/>
      <c r="F359" s="29" t="s">
        <v>102</v>
      </c>
      <c r="G359" s="28" t="s">
        <v>103</v>
      </c>
      <c r="H359" s="29" t="s">
        <v>104</v>
      </c>
      <c r="I359" s="28" t="s">
        <v>105</v>
      </c>
      <c r="J359" s="28" t="s">
        <v>115</v>
      </c>
      <c r="K359" s="30" t="s">
        <v>107</v>
      </c>
      <c r="M359" s="124"/>
    </row>
    <row r="360" spans="2:13">
      <c r="C360" s="165" t="s">
        <v>929</v>
      </c>
      <c r="D360" s="165"/>
      <c r="E360" s="165"/>
      <c r="F360" s="31"/>
      <c r="G360" s="31"/>
      <c r="H360" s="31"/>
      <c r="I360" s="31"/>
      <c r="J360" s="31">
        <f>JANDUÍ!F82</f>
        <v>300</v>
      </c>
      <c r="K360" s="32">
        <f>J360</f>
        <v>300</v>
      </c>
      <c r="M360" s="124"/>
    </row>
    <row r="361" spans="2:13">
      <c r="C361" s="166" t="s">
        <v>110</v>
      </c>
      <c r="D361" s="166"/>
      <c r="E361" s="166"/>
      <c r="F361" s="166"/>
      <c r="G361" s="166"/>
      <c r="H361" s="166"/>
      <c r="I361" s="166"/>
      <c r="J361" s="166"/>
      <c r="K361" s="33">
        <f>SUM(K360:K360)</f>
        <v>300</v>
      </c>
      <c r="M361" s="124"/>
    </row>
    <row r="362" spans="2:13">
      <c r="C362" s="41"/>
      <c r="D362" s="41"/>
      <c r="E362" s="41"/>
      <c r="F362" s="41"/>
      <c r="G362" s="41"/>
      <c r="H362" s="41"/>
      <c r="I362" s="41"/>
      <c r="J362" s="41"/>
      <c r="K362" s="42"/>
      <c r="M362" s="124"/>
    </row>
    <row r="363" spans="2:13" ht="14.4" customHeight="1">
      <c r="B363" s="19" t="s">
        <v>930</v>
      </c>
      <c r="C363" s="169" t="str">
        <f>JANDUÍ!D83</f>
        <v>PORTÃO EM TUBO DE AÇO GALVANIZADO COM QUADRO DE DN 1, E VERTICAIS DE DN 1/2</v>
      </c>
      <c r="D363" s="169"/>
      <c r="E363" s="169"/>
      <c r="F363" s="169"/>
      <c r="G363" s="169"/>
      <c r="H363" s="169"/>
      <c r="I363" s="169"/>
      <c r="J363" s="169"/>
      <c r="K363" s="36" t="str">
        <f>JANDUÍ!E83</f>
        <v>M²</v>
      </c>
      <c r="L363" s="27">
        <f>K367</f>
        <v>30</v>
      </c>
      <c r="M363" s="124"/>
    </row>
    <row r="364" spans="2:13">
      <c r="C364" s="167" t="s">
        <v>113</v>
      </c>
      <c r="D364" s="167"/>
      <c r="E364" s="167"/>
      <c r="F364" s="29" t="s">
        <v>102</v>
      </c>
      <c r="G364" s="28" t="s">
        <v>103</v>
      </c>
      <c r="H364" s="29" t="s">
        <v>104</v>
      </c>
      <c r="I364" s="28" t="s">
        <v>105</v>
      </c>
      <c r="J364" s="28" t="s">
        <v>121</v>
      </c>
      <c r="K364" s="30" t="s">
        <v>107</v>
      </c>
      <c r="M364" s="124"/>
    </row>
    <row r="365" spans="2:13">
      <c r="C365" s="165" t="s">
        <v>931</v>
      </c>
      <c r="D365" s="165"/>
      <c r="E365" s="165"/>
      <c r="F365" s="31">
        <v>1</v>
      </c>
      <c r="G365" s="31">
        <v>3</v>
      </c>
      <c r="H365" s="31"/>
      <c r="I365" s="31">
        <v>5</v>
      </c>
      <c r="J365" s="31"/>
      <c r="K365" s="32">
        <f>I365*G365</f>
        <v>15</v>
      </c>
      <c r="M365" s="124"/>
    </row>
    <row r="366" spans="2:13">
      <c r="C366" s="165" t="s">
        <v>932</v>
      </c>
      <c r="D366" s="165"/>
      <c r="E366" s="165"/>
      <c r="F366" s="31">
        <v>1</v>
      </c>
      <c r="G366" s="31">
        <v>3</v>
      </c>
      <c r="H366" s="31"/>
      <c r="I366" s="31">
        <v>5</v>
      </c>
      <c r="J366" s="31"/>
      <c r="K366" s="32">
        <f>I366*G366</f>
        <v>15</v>
      </c>
      <c r="M366" s="124"/>
    </row>
    <row r="367" spans="2:13">
      <c r="C367" s="166" t="s">
        <v>110</v>
      </c>
      <c r="D367" s="166"/>
      <c r="E367" s="166"/>
      <c r="F367" s="166"/>
      <c r="G367" s="166"/>
      <c r="H367" s="166"/>
      <c r="I367" s="166"/>
      <c r="J367" s="166"/>
      <c r="K367" s="33">
        <f>SUM(K365:K366)</f>
        <v>30</v>
      </c>
      <c r="M367" s="124"/>
    </row>
    <row r="368" spans="2:13">
      <c r="C368" s="41"/>
      <c r="D368" s="41"/>
      <c r="E368" s="41"/>
      <c r="F368" s="41"/>
      <c r="G368" s="41"/>
      <c r="H368" s="41"/>
      <c r="I368" s="41"/>
      <c r="J368" s="41"/>
      <c r="K368" s="42"/>
      <c r="M368" s="124"/>
    </row>
    <row r="369" spans="2:13" ht="15" customHeight="1">
      <c r="B369" s="34" t="s">
        <v>933</v>
      </c>
      <c r="C369" s="168" t="str">
        <f>JANDUÍ!D84</f>
        <v>DIVERSOS</v>
      </c>
      <c r="D369" s="168"/>
      <c r="E369" s="168"/>
      <c r="F369" s="168"/>
      <c r="G369" s="168"/>
      <c r="H369" s="168"/>
      <c r="I369" s="168"/>
      <c r="J369" s="168"/>
      <c r="K369" s="168"/>
      <c r="L369" s="168"/>
      <c r="M369" s="124"/>
    </row>
    <row r="370" spans="2:13" ht="31.2" customHeight="1">
      <c r="B370" s="19" t="s">
        <v>934</v>
      </c>
      <c r="C370" s="169" t="str">
        <f>JANDUÍ!D85</f>
        <v>LIMPEZA GERAL</v>
      </c>
      <c r="D370" s="169"/>
      <c r="E370" s="169"/>
      <c r="F370" s="169"/>
      <c r="G370" s="169"/>
      <c r="H370" s="169"/>
      <c r="I370" s="169"/>
      <c r="J370" s="169"/>
      <c r="K370" s="36" t="str">
        <f>JANDUÍ!E85</f>
        <v>M²</v>
      </c>
      <c r="L370" s="27">
        <f>K373</f>
        <v>1538.5</v>
      </c>
      <c r="M370" s="124"/>
    </row>
    <row r="371" spans="2:13">
      <c r="C371" s="167" t="s">
        <v>113</v>
      </c>
      <c r="D371" s="167"/>
      <c r="E371" s="167"/>
      <c r="F371" s="29" t="s">
        <v>102</v>
      </c>
      <c r="G371" s="28" t="s">
        <v>103</v>
      </c>
      <c r="H371" s="29" t="s">
        <v>104</v>
      </c>
      <c r="I371" s="28" t="s">
        <v>105</v>
      </c>
      <c r="J371" s="28" t="s">
        <v>115</v>
      </c>
      <c r="K371" s="30" t="s">
        <v>107</v>
      </c>
      <c r="M371" s="124"/>
    </row>
    <row r="372" spans="2:13">
      <c r="C372" s="165" t="s">
        <v>753</v>
      </c>
      <c r="D372" s="165"/>
      <c r="E372" s="165"/>
      <c r="F372" s="31"/>
      <c r="G372" s="31"/>
      <c r="H372" s="31"/>
      <c r="I372" s="31"/>
      <c r="J372" s="31">
        <f>JANDUÍ!F85</f>
        <v>1538.5</v>
      </c>
      <c r="K372" s="32">
        <f>J372</f>
        <v>1538.5</v>
      </c>
      <c r="M372" s="124"/>
    </row>
    <row r="373" spans="2:13">
      <c r="C373" s="166" t="s">
        <v>110</v>
      </c>
      <c r="D373" s="166"/>
      <c r="E373" s="166"/>
      <c r="F373" s="166"/>
      <c r="G373" s="166"/>
      <c r="H373" s="166"/>
      <c r="I373" s="166"/>
      <c r="J373" s="166"/>
      <c r="K373" s="33">
        <f>SUM(K372:K372)</f>
        <v>1538.5</v>
      </c>
      <c r="M373" s="124"/>
    </row>
    <row r="374" spans="2:13">
      <c r="M374" s="124"/>
    </row>
    <row r="375" spans="2:13">
      <c r="M375" s="124"/>
    </row>
    <row r="376" spans="2:13">
      <c r="M376" s="124"/>
    </row>
    <row r="377" spans="2:13">
      <c r="M377" s="124"/>
    </row>
    <row r="378" spans="2:13">
      <c r="M378" s="124"/>
    </row>
    <row r="379" spans="2:13">
      <c r="M379" s="124"/>
    </row>
    <row r="380" spans="2:13">
      <c r="M380" s="124"/>
    </row>
    <row r="381" spans="2:13">
      <c r="M381" s="124"/>
    </row>
    <row r="382" spans="2:13">
      <c r="M382" s="124"/>
    </row>
    <row r="383" spans="2:13">
      <c r="M383" s="124"/>
    </row>
    <row r="384" spans="2:13">
      <c r="M384" s="124"/>
    </row>
    <row r="385" spans="13:13">
      <c r="M385" s="124"/>
    </row>
    <row r="386" spans="13:13">
      <c r="M386" s="124"/>
    </row>
    <row r="387" spans="13:13">
      <c r="M387" s="124"/>
    </row>
    <row r="388" spans="13:13">
      <c r="M388" s="124"/>
    </row>
    <row r="389" spans="13:13">
      <c r="M389" s="124"/>
    </row>
    <row r="390" spans="13:13">
      <c r="M390" s="124"/>
    </row>
    <row r="391" spans="13:13">
      <c r="M391" s="124"/>
    </row>
  </sheetData>
  <mergeCells count="304">
    <mergeCell ref="B2:C5"/>
    <mergeCell ref="D2:I2"/>
    <mergeCell ref="J2:L5"/>
    <mergeCell ref="D3:I3"/>
    <mergeCell ref="D4:I5"/>
    <mergeCell ref="C13:J13"/>
    <mergeCell ref="C14:E14"/>
    <mergeCell ref="C15:E15"/>
    <mergeCell ref="C16:E16"/>
    <mergeCell ref="C17:J17"/>
    <mergeCell ref="C19:J19"/>
    <mergeCell ref="C7:J7"/>
    <mergeCell ref="C8:J8"/>
    <mergeCell ref="C9:E9"/>
    <mergeCell ref="C10:E10"/>
    <mergeCell ref="C11:J11"/>
    <mergeCell ref="C27:E27"/>
    <mergeCell ref="C28:E28"/>
    <mergeCell ref="C29:J29"/>
    <mergeCell ref="C20:E20"/>
    <mergeCell ref="C21:E21"/>
    <mergeCell ref="C22:E22"/>
    <mergeCell ref="C23:J23"/>
    <mergeCell ref="C25:J25"/>
    <mergeCell ref="C26:E26"/>
    <mergeCell ref="C37:J37"/>
    <mergeCell ref="C38:E38"/>
    <mergeCell ref="C39:E39"/>
    <mergeCell ref="C40:E40"/>
    <mergeCell ref="C41:J41"/>
    <mergeCell ref="C43:J43"/>
    <mergeCell ref="C31:J31"/>
    <mergeCell ref="C32:J32"/>
    <mergeCell ref="C33:E33"/>
    <mergeCell ref="C34:E34"/>
    <mergeCell ref="C35:J35"/>
    <mergeCell ref="C51:J51"/>
    <mergeCell ref="C53:J53"/>
    <mergeCell ref="C54:E54"/>
    <mergeCell ref="C55:E55"/>
    <mergeCell ref="C56:J56"/>
    <mergeCell ref="C58:J58"/>
    <mergeCell ref="C44:E44"/>
    <mergeCell ref="C45:E45"/>
    <mergeCell ref="C46:J46"/>
    <mergeCell ref="C48:J48"/>
    <mergeCell ref="C49:E49"/>
    <mergeCell ref="C50:E50"/>
    <mergeCell ref="C66:J66"/>
    <mergeCell ref="C68:L68"/>
    <mergeCell ref="C69:J69"/>
    <mergeCell ref="C70:E70"/>
    <mergeCell ref="C71:E71"/>
    <mergeCell ref="C72:J72"/>
    <mergeCell ref="C59:E59"/>
    <mergeCell ref="C60:E60"/>
    <mergeCell ref="C61:J61"/>
    <mergeCell ref="C63:J63"/>
    <mergeCell ref="C64:E64"/>
    <mergeCell ref="C65:E65"/>
    <mergeCell ref="C81:E81"/>
    <mergeCell ref="C82:E82"/>
    <mergeCell ref="C83:J83"/>
    <mergeCell ref="C85:J85"/>
    <mergeCell ref="C86:E86"/>
    <mergeCell ref="C87:E87"/>
    <mergeCell ref="C74:J74"/>
    <mergeCell ref="C75:E75"/>
    <mergeCell ref="C76:E76"/>
    <mergeCell ref="C77:J77"/>
    <mergeCell ref="C79:J79"/>
    <mergeCell ref="C80:E80"/>
    <mergeCell ref="C97:J97"/>
    <mergeCell ref="C98:E98"/>
    <mergeCell ref="C99:E99"/>
    <mergeCell ref="C100:E100"/>
    <mergeCell ref="C101:J101"/>
    <mergeCell ref="C103:J103"/>
    <mergeCell ref="C88:J88"/>
    <mergeCell ref="C90:J90"/>
    <mergeCell ref="C91:E91"/>
    <mergeCell ref="C92:E92"/>
    <mergeCell ref="C93:J93"/>
    <mergeCell ref="C96:L96"/>
    <mergeCell ref="C111:E111"/>
    <mergeCell ref="C112:E112"/>
    <mergeCell ref="C113:J113"/>
    <mergeCell ref="C115:J115"/>
    <mergeCell ref="C116:E116"/>
    <mergeCell ref="C117:E117"/>
    <mergeCell ref="C104:E104"/>
    <mergeCell ref="C105:E105"/>
    <mergeCell ref="C106:E106"/>
    <mergeCell ref="C107:J107"/>
    <mergeCell ref="C109:L109"/>
    <mergeCell ref="C110:J110"/>
    <mergeCell ref="C126:J126"/>
    <mergeCell ref="C127:E127"/>
    <mergeCell ref="C128:E128"/>
    <mergeCell ref="C129:E129"/>
    <mergeCell ref="C130:E130"/>
    <mergeCell ref="C131:J131"/>
    <mergeCell ref="C118:J118"/>
    <mergeCell ref="C120:J120"/>
    <mergeCell ref="C121:E121"/>
    <mergeCell ref="C122:E122"/>
    <mergeCell ref="C123:J123"/>
    <mergeCell ref="C125:L125"/>
    <mergeCell ref="C140:J140"/>
    <mergeCell ref="C141:E141"/>
    <mergeCell ref="C142:E142"/>
    <mergeCell ref="C143:J143"/>
    <mergeCell ref="C145:L145"/>
    <mergeCell ref="C146:J146"/>
    <mergeCell ref="C133:J133"/>
    <mergeCell ref="C134:E134"/>
    <mergeCell ref="C135:E135"/>
    <mergeCell ref="C136:E136"/>
    <mergeCell ref="C137:E137"/>
    <mergeCell ref="C138:J138"/>
    <mergeCell ref="C154:J154"/>
    <mergeCell ref="C156:J156"/>
    <mergeCell ref="C157:E157"/>
    <mergeCell ref="C158:E158"/>
    <mergeCell ref="C159:J159"/>
    <mergeCell ref="C147:E147"/>
    <mergeCell ref="C148:E148"/>
    <mergeCell ref="C149:J149"/>
    <mergeCell ref="C151:J151"/>
    <mergeCell ref="C152:E152"/>
    <mergeCell ref="C153:E153"/>
    <mergeCell ref="C168:E168"/>
    <mergeCell ref="C169:E169"/>
    <mergeCell ref="C170:E170"/>
    <mergeCell ref="C171:J171"/>
    <mergeCell ref="C173:J173"/>
    <mergeCell ref="C174:E174"/>
    <mergeCell ref="C161:J161"/>
    <mergeCell ref="C162:E162"/>
    <mergeCell ref="C163:E163"/>
    <mergeCell ref="C164:E164"/>
    <mergeCell ref="C165:J165"/>
    <mergeCell ref="C167:J167"/>
    <mergeCell ref="C183:J183"/>
    <mergeCell ref="C184:E184"/>
    <mergeCell ref="C185:E185"/>
    <mergeCell ref="C186:J186"/>
    <mergeCell ref="C188:J188"/>
    <mergeCell ref="C189:E189"/>
    <mergeCell ref="C175:E175"/>
    <mergeCell ref="C176:J176"/>
    <mergeCell ref="C178:J178"/>
    <mergeCell ref="C179:E179"/>
    <mergeCell ref="C180:E180"/>
    <mergeCell ref="C181:J181"/>
    <mergeCell ref="C197:J197"/>
    <mergeCell ref="C199:J199"/>
    <mergeCell ref="C200:E200"/>
    <mergeCell ref="C201:E201"/>
    <mergeCell ref="C202:J202"/>
    <mergeCell ref="C204:J204"/>
    <mergeCell ref="C190:E190"/>
    <mergeCell ref="C191:J191"/>
    <mergeCell ref="C193:L193"/>
    <mergeCell ref="C194:J194"/>
    <mergeCell ref="C195:E195"/>
    <mergeCell ref="C196:E196"/>
    <mergeCell ref="C212:J212"/>
    <mergeCell ref="C214:J214"/>
    <mergeCell ref="C215:E215"/>
    <mergeCell ref="C216:E216"/>
    <mergeCell ref="C217:J217"/>
    <mergeCell ref="C219:J219"/>
    <mergeCell ref="C205:E205"/>
    <mergeCell ref="C206:E206"/>
    <mergeCell ref="C207:J207"/>
    <mergeCell ref="C209:J209"/>
    <mergeCell ref="C210:E210"/>
    <mergeCell ref="C211:E211"/>
    <mergeCell ref="C227:J227"/>
    <mergeCell ref="C229:J229"/>
    <mergeCell ref="C230:E230"/>
    <mergeCell ref="C231:E231"/>
    <mergeCell ref="C232:J232"/>
    <mergeCell ref="C234:L234"/>
    <mergeCell ref="C220:E220"/>
    <mergeCell ref="C221:E221"/>
    <mergeCell ref="C222:J222"/>
    <mergeCell ref="C224:J224"/>
    <mergeCell ref="C225:E225"/>
    <mergeCell ref="C226:E226"/>
    <mergeCell ref="C242:E242"/>
    <mergeCell ref="C243:J243"/>
    <mergeCell ref="C245:J245"/>
    <mergeCell ref="C246:E246"/>
    <mergeCell ref="C247:E247"/>
    <mergeCell ref="C248:J248"/>
    <mergeCell ref="C235:J235"/>
    <mergeCell ref="C236:E236"/>
    <mergeCell ref="C237:E237"/>
    <mergeCell ref="C238:J238"/>
    <mergeCell ref="C240:J240"/>
    <mergeCell ref="C241:E241"/>
    <mergeCell ref="C257:E257"/>
    <mergeCell ref="C258:J258"/>
    <mergeCell ref="C260:J260"/>
    <mergeCell ref="C261:E261"/>
    <mergeCell ref="C262:E262"/>
    <mergeCell ref="C263:J263"/>
    <mergeCell ref="C250:J250"/>
    <mergeCell ref="C251:E251"/>
    <mergeCell ref="C252:E252"/>
    <mergeCell ref="C253:J253"/>
    <mergeCell ref="C255:J255"/>
    <mergeCell ref="C256:E256"/>
    <mergeCell ref="C272:E272"/>
    <mergeCell ref="C273:J273"/>
    <mergeCell ref="C275:J275"/>
    <mergeCell ref="C276:E276"/>
    <mergeCell ref="C277:E277"/>
    <mergeCell ref="C278:J278"/>
    <mergeCell ref="C265:J265"/>
    <mergeCell ref="C266:E266"/>
    <mergeCell ref="C267:E267"/>
    <mergeCell ref="C268:J268"/>
    <mergeCell ref="C270:J270"/>
    <mergeCell ref="C271:E271"/>
    <mergeCell ref="C285:L285"/>
    <mergeCell ref="C286:J286"/>
    <mergeCell ref="C287:E287"/>
    <mergeCell ref="C288:E288"/>
    <mergeCell ref="C280:J280"/>
    <mergeCell ref="C281:E281"/>
    <mergeCell ref="C282:E282"/>
    <mergeCell ref="C283:J283"/>
    <mergeCell ref="C297:E297"/>
    <mergeCell ref="C298:E298"/>
    <mergeCell ref="C299:J299"/>
    <mergeCell ref="C301:J301"/>
    <mergeCell ref="C302:E302"/>
    <mergeCell ref="C303:E303"/>
    <mergeCell ref="C289:J289"/>
    <mergeCell ref="C291:J291"/>
    <mergeCell ref="C292:E292"/>
    <mergeCell ref="C293:E293"/>
    <mergeCell ref="C294:J294"/>
    <mergeCell ref="C296:J296"/>
    <mergeCell ref="C312:E312"/>
    <mergeCell ref="C313:E313"/>
    <mergeCell ref="C314:J314"/>
    <mergeCell ref="C316:L316"/>
    <mergeCell ref="C317:J317"/>
    <mergeCell ref="C318:E318"/>
    <mergeCell ref="C304:J304"/>
    <mergeCell ref="C306:J306"/>
    <mergeCell ref="C307:E307"/>
    <mergeCell ref="C308:E308"/>
    <mergeCell ref="C309:J309"/>
    <mergeCell ref="C311:J311"/>
    <mergeCell ref="C327:J327"/>
    <mergeCell ref="C328:E328"/>
    <mergeCell ref="C329:E329"/>
    <mergeCell ref="C330:J330"/>
    <mergeCell ref="C332:J332"/>
    <mergeCell ref="C333:E333"/>
    <mergeCell ref="C319:E319"/>
    <mergeCell ref="C320:J320"/>
    <mergeCell ref="C322:J322"/>
    <mergeCell ref="C323:E323"/>
    <mergeCell ref="C324:E324"/>
    <mergeCell ref="C325:J325"/>
    <mergeCell ref="C342:J342"/>
    <mergeCell ref="C343:E343"/>
    <mergeCell ref="C344:E344"/>
    <mergeCell ref="C345:J345"/>
    <mergeCell ref="C347:L347"/>
    <mergeCell ref="C348:J348"/>
    <mergeCell ref="C334:E334"/>
    <mergeCell ref="C335:J335"/>
    <mergeCell ref="C337:J337"/>
    <mergeCell ref="C338:E338"/>
    <mergeCell ref="C339:E339"/>
    <mergeCell ref="C340:J340"/>
    <mergeCell ref="C356:J356"/>
    <mergeCell ref="C358:J358"/>
    <mergeCell ref="C359:E359"/>
    <mergeCell ref="C360:E360"/>
    <mergeCell ref="C361:J361"/>
    <mergeCell ref="C363:J363"/>
    <mergeCell ref="C349:E349"/>
    <mergeCell ref="C350:E350"/>
    <mergeCell ref="C351:J351"/>
    <mergeCell ref="C353:J353"/>
    <mergeCell ref="C354:E354"/>
    <mergeCell ref="C355:E355"/>
    <mergeCell ref="C371:E371"/>
    <mergeCell ref="C372:E372"/>
    <mergeCell ref="C373:J373"/>
    <mergeCell ref="C364:E364"/>
    <mergeCell ref="C365:E365"/>
    <mergeCell ref="C366:E366"/>
    <mergeCell ref="C367:J367"/>
    <mergeCell ref="C369:L369"/>
    <mergeCell ref="C370:J370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C56A-D0FE-499D-908E-B252366BBB10}">
  <dimension ref="B1:Z48"/>
  <sheetViews>
    <sheetView workbookViewId="0">
      <selection activeCell="Q15" sqref="Q15"/>
    </sheetView>
  </sheetViews>
  <sheetFormatPr defaultRowHeight="13.2"/>
  <cols>
    <col min="1" max="1" width="8.19921875" style="78" customWidth="1"/>
    <col min="2" max="3" width="9.59765625" style="78" customWidth="1"/>
    <col min="4" max="10" width="8.796875" style="78"/>
    <col min="11" max="11" width="1.8984375" style="78" customWidth="1"/>
    <col min="12" max="14" width="8.796875" style="78"/>
    <col min="15" max="15" width="4.8984375" style="78" customWidth="1"/>
    <col min="16" max="16" width="8.796875" style="78"/>
    <col min="17" max="17" width="8.19921875" style="78" customWidth="1"/>
    <col min="18" max="18" width="8.796875" style="78"/>
    <col min="19" max="19" width="13.19921875" style="78" customWidth="1"/>
    <col min="20" max="20" width="10.19921875" style="78" bestFit="1" customWidth="1"/>
    <col min="21" max="21" width="13.796875" style="78" customWidth="1"/>
    <col min="22" max="265" width="8.796875" style="78"/>
    <col min="266" max="266" width="1.8984375" style="78" customWidth="1"/>
    <col min="267" max="269" width="8.796875" style="78"/>
    <col min="270" max="270" width="4.8984375" style="78" customWidth="1"/>
    <col min="271" max="273" width="8.796875" style="78"/>
    <col min="274" max="274" width="9.8984375" style="78" customWidth="1"/>
    <col min="275" max="275" width="13.19921875" style="78" customWidth="1"/>
    <col min="276" max="276" width="10.19921875" style="78" bestFit="1" customWidth="1"/>
    <col min="277" max="277" width="13.796875" style="78" customWidth="1"/>
    <col min="278" max="521" width="8.796875" style="78"/>
    <col min="522" max="522" width="1.8984375" style="78" customWidth="1"/>
    <col min="523" max="525" width="8.796875" style="78"/>
    <col min="526" max="526" width="4.8984375" style="78" customWidth="1"/>
    <col min="527" max="529" width="8.796875" style="78"/>
    <col min="530" max="530" width="9.8984375" style="78" customWidth="1"/>
    <col min="531" max="531" width="13.19921875" style="78" customWidth="1"/>
    <col min="532" max="532" width="10.19921875" style="78" bestFit="1" customWidth="1"/>
    <col min="533" max="533" width="13.796875" style="78" customWidth="1"/>
    <col min="534" max="777" width="8.796875" style="78"/>
    <col min="778" max="778" width="1.8984375" style="78" customWidth="1"/>
    <col min="779" max="781" width="8.796875" style="78"/>
    <col min="782" max="782" width="4.8984375" style="78" customWidth="1"/>
    <col min="783" max="785" width="8.796875" style="78"/>
    <col min="786" max="786" width="9.8984375" style="78" customWidth="1"/>
    <col min="787" max="787" width="13.19921875" style="78" customWidth="1"/>
    <col min="788" max="788" width="10.19921875" style="78" bestFit="1" customWidth="1"/>
    <col min="789" max="789" width="13.796875" style="78" customWidth="1"/>
    <col min="790" max="1033" width="8.796875" style="78"/>
    <col min="1034" max="1034" width="1.8984375" style="78" customWidth="1"/>
    <col min="1035" max="1037" width="8.796875" style="78"/>
    <col min="1038" max="1038" width="4.8984375" style="78" customWidth="1"/>
    <col min="1039" max="1041" width="8.796875" style="78"/>
    <col min="1042" max="1042" width="9.8984375" style="78" customWidth="1"/>
    <col min="1043" max="1043" width="13.19921875" style="78" customWidth="1"/>
    <col min="1044" max="1044" width="10.19921875" style="78" bestFit="1" customWidth="1"/>
    <col min="1045" max="1045" width="13.796875" style="78" customWidth="1"/>
    <col min="1046" max="1289" width="8.796875" style="78"/>
    <col min="1290" max="1290" width="1.8984375" style="78" customWidth="1"/>
    <col min="1291" max="1293" width="8.796875" style="78"/>
    <col min="1294" max="1294" width="4.8984375" style="78" customWidth="1"/>
    <col min="1295" max="1297" width="8.796875" style="78"/>
    <col min="1298" max="1298" width="9.8984375" style="78" customWidth="1"/>
    <col min="1299" max="1299" width="13.19921875" style="78" customWidth="1"/>
    <col min="1300" max="1300" width="10.19921875" style="78" bestFit="1" customWidth="1"/>
    <col min="1301" max="1301" width="13.796875" style="78" customWidth="1"/>
    <col min="1302" max="1545" width="8.796875" style="78"/>
    <col min="1546" max="1546" width="1.8984375" style="78" customWidth="1"/>
    <col min="1547" max="1549" width="8.796875" style="78"/>
    <col min="1550" max="1550" width="4.8984375" style="78" customWidth="1"/>
    <col min="1551" max="1553" width="8.796875" style="78"/>
    <col min="1554" max="1554" width="9.8984375" style="78" customWidth="1"/>
    <col min="1555" max="1555" width="13.19921875" style="78" customWidth="1"/>
    <col min="1556" max="1556" width="10.19921875" style="78" bestFit="1" customWidth="1"/>
    <col min="1557" max="1557" width="13.796875" style="78" customWidth="1"/>
    <col min="1558" max="1801" width="8.796875" style="78"/>
    <col min="1802" max="1802" width="1.8984375" style="78" customWidth="1"/>
    <col min="1803" max="1805" width="8.796875" style="78"/>
    <col min="1806" max="1806" width="4.8984375" style="78" customWidth="1"/>
    <col min="1807" max="1809" width="8.796875" style="78"/>
    <col min="1810" max="1810" width="9.8984375" style="78" customWidth="1"/>
    <col min="1811" max="1811" width="13.19921875" style="78" customWidth="1"/>
    <col min="1812" max="1812" width="10.19921875" style="78" bestFit="1" customWidth="1"/>
    <col min="1813" max="1813" width="13.796875" style="78" customWidth="1"/>
    <col min="1814" max="2057" width="8.796875" style="78"/>
    <col min="2058" max="2058" width="1.8984375" style="78" customWidth="1"/>
    <col min="2059" max="2061" width="8.796875" style="78"/>
    <col min="2062" max="2062" width="4.8984375" style="78" customWidth="1"/>
    <col min="2063" max="2065" width="8.796875" style="78"/>
    <col min="2066" max="2066" width="9.8984375" style="78" customWidth="1"/>
    <col min="2067" max="2067" width="13.19921875" style="78" customWidth="1"/>
    <col min="2068" max="2068" width="10.19921875" style="78" bestFit="1" customWidth="1"/>
    <col min="2069" max="2069" width="13.796875" style="78" customWidth="1"/>
    <col min="2070" max="2313" width="8.796875" style="78"/>
    <col min="2314" max="2314" width="1.8984375" style="78" customWidth="1"/>
    <col min="2315" max="2317" width="8.796875" style="78"/>
    <col min="2318" max="2318" width="4.8984375" style="78" customWidth="1"/>
    <col min="2319" max="2321" width="8.796875" style="78"/>
    <col min="2322" max="2322" width="9.8984375" style="78" customWidth="1"/>
    <col min="2323" max="2323" width="13.19921875" style="78" customWidth="1"/>
    <col min="2324" max="2324" width="10.19921875" style="78" bestFit="1" customWidth="1"/>
    <col min="2325" max="2325" width="13.796875" style="78" customWidth="1"/>
    <col min="2326" max="2569" width="8.796875" style="78"/>
    <col min="2570" max="2570" width="1.8984375" style="78" customWidth="1"/>
    <col min="2571" max="2573" width="8.796875" style="78"/>
    <col min="2574" max="2574" width="4.8984375" style="78" customWidth="1"/>
    <col min="2575" max="2577" width="8.796875" style="78"/>
    <col min="2578" max="2578" width="9.8984375" style="78" customWidth="1"/>
    <col min="2579" max="2579" width="13.19921875" style="78" customWidth="1"/>
    <col min="2580" max="2580" width="10.19921875" style="78" bestFit="1" customWidth="1"/>
    <col min="2581" max="2581" width="13.796875" style="78" customWidth="1"/>
    <col min="2582" max="2825" width="8.796875" style="78"/>
    <col min="2826" max="2826" width="1.8984375" style="78" customWidth="1"/>
    <col min="2827" max="2829" width="8.796875" style="78"/>
    <col min="2830" max="2830" width="4.8984375" style="78" customWidth="1"/>
    <col min="2831" max="2833" width="8.796875" style="78"/>
    <col min="2834" max="2834" width="9.8984375" style="78" customWidth="1"/>
    <col min="2835" max="2835" width="13.19921875" style="78" customWidth="1"/>
    <col min="2836" max="2836" width="10.19921875" style="78" bestFit="1" customWidth="1"/>
    <col min="2837" max="2837" width="13.796875" style="78" customWidth="1"/>
    <col min="2838" max="3081" width="8.796875" style="78"/>
    <col min="3082" max="3082" width="1.8984375" style="78" customWidth="1"/>
    <col min="3083" max="3085" width="8.796875" style="78"/>
    <col min="3086" max="3086" width="4.8984375" style="78" customWidth="1"/>
    <col min="3087" max="3089" width="8.796875" style="78"/>
    <col min="3090" max="3090" width="9.8984375" style="78" customWidth="1"/>
    <col min="3091" max="3091" width="13.19921875" style="78" customWidth="1"/>
    <col min="3092" max="3092" width="10.19921875" style="78" bestFit="1" customWidth="1"/>
    <col min="3093" max="3093" width="13.796875" style="78" customWidth="1"/>
    <col min="3094" max="3337" width="8.796875" style="78"/>
    <col min="3338" max="3338" width="1.8984375" style="78" customWidth="1"/>
    <col min="3339" max="3341" width="8.796875" style="78"/>
    <col min="3342" max="3342" width="4.8984375" style="78" customWidth="1"/>
    <col min="3343" max="3345" width="8.796875" style="78"/>
    <col min="3346" max="3346" width="9.8984375" style="78" customWidth="1"/>
    <col min="3347" max="3347" width="13.19921875" style="78" customWidth="1"/>
    <col min="3348" max="3348" width="10.19921875" style="78" bestFit="1" customWidth="1"/>
    <col min="3349" max="3349" width="13.796875" style="78" customWidth="1"/>
    <col min="3350" max="3593" width="8.796875" style="78"/>
    <col min="3594" max="3594" width="1.8984375" style="78" customWidth="1"/>
    <col min="3595" max="3597" width="8.796875" style="78"/>
    <col min="3598" max="3598" width="4.8984375" style="78" customWidth="1"/>
    <col min="3599" max="3601" width="8.796875" style="78"/>
    <col min="3602" max="3602" width="9.8984375" style="78" customWidth="1"/>
    <col min="3603" max="3603" width="13.19921875" style="78" customWidth="1"/>
    <col min="3604" max="3604" width="10.19921875" style="78" bestFit="1" customWidth="1"/>
    <col min="3605" max="3605" width="13.796875" style="78" customWidth="1"/>
    <col min="3606" max="3849" width="8.796875" style="78"/>
    <col min="3850" max="3850" width="1.8984375" style="78" customWidth="1"/>
    <col min="3851" max="3853" width="8.796875" style="78"/>
    <col min="3854" max="3854" width="4.8984375" style="78" customWidth="1"/>
    <col min="3855" max="3857" width="8.796875" style="78"/>
    <col min="3858" max="3858" width="9.8984375" style="78" customWidth="1"/>
    <col min="3859" max="3859" width="13.19921875" style="78" customWidth="1"/>
    <col min="3860" max="3860" width="10.19921875" style="78" bestFit="1" customWidth="1"/>
    <col min="3861" max="3861" width="13.796875" style="78" customWidth="1"/>
    <col min="3862" max="4105" width="8.796875" style="78"/>
    <col min="4106" max="4106" width="1.8984375" style="78" customWidth="1"/>
    <col min="4107" max="4109" width="8.796875" style="78"/>
    <col min="4110" max="4110" width="4.8984375" style="78" customWidth="1"/>
    <col min="4111" max="4113" width="8.796875" style="78"/>
    <col min="4114" max="4114" width="9.8984375" style="78" customWidth="1"/>
    <col min="4115" max="4115" width="13.19921875" style="78" customWidth="1"/>
    <col min="4116" max="4116" width="10.19921875" style="78" bestFit="1" customWidth="1"/>
    <col min="4117" max="4117" width="13.796875" style="78" customWidth="1"/>
    <col min="4118" max="4361" width="8.796875" style="78"/>
    <col min="4362" max="4362" width="1.8984375" style="78" customWidth="1"/>
    <col min="4363" max="4365" width="8.796875" style="78"/>
    <col min="4366" max="4366" width="4.8984375" style="78" customWidth="1"/>
    <col min="4367" max="4369" width="8.796875" style="78"/>
    <col min="4370" max="4370" width="9.8984375" style="78" customWidth="1"/>
    <col min="4371" max="4371" width="13.19921875" style="78" customWidth="1"/>
    <col min="4372" max="4372" width="10.19921875" style="78" bestFit="1" customWidth="1"/>
    <col min="4373" max="4373" width="13.796875" style="78" customWidth="1"/>
    <col min="4374" max="4617" width="8.796875" style="78"/>
    <col min="4618" max="4618" width="1.8984375" style="78" customWidth="1"/>
    <col min="4619" max="4621" width="8.796875" style="78"/>
    <col min="4622" max="4622" width="4.8984375" style="78" customWidth="1"/>
    <col min="4623" max="4625" width="8.796875" style="78"/>
    <col min="4626" max="4626" width="9.8984375" style="78" customWidth="1"/>
    <col min="4627" max="4627" width="13.19921875" style="78" customWidth="1"/>
    <col min="4628" max="4628" width="10.19921875" style="78" bestFit="1" customWidth="1"/>
    <col min="4629" max="4629" width="13.796875" style="78" customWidth="1"/>
    <col min="4630" max="4873" width="8.796875" style="78"/>
    <col min="4874" max="4874" width="1.8984375" style="78" customWidth="1"/>
    <col min="4875" max="4877" width="8.796875" style="78"/>
    <col min="4878" max="4878" width="4.8984375" style="78" customWidth="1"/>
    <col min="4879" max="4881" width="8.796875" style="78"/>
    <col min="4882" max="4882" width="9.8984375" style="78" customWidth="1"/>
    <col min="4883" max="4883" width="13.19921875" style="78" customWidth="1"/>
    <col min="4884" max="4884" width="10.19921875" style="78" bestFit="1" customWidth="1"/>
    <col min="4885" max="4885" width="13.796875" style="78" customWidth="1"/>
    <col min="4886" max="5129" width="8.796875" style="78"/>
    <col min="5130" max="5130" width="1.8984375" style="78" customWidth="1"/>
    <col min="5131" max="5133" width="8.796875" style="78"/>
    <col min="5134" max="5134" width="4.8984375" style="78" customWidth="1"/>
    <col min="5135" max="5137" width="8.796875" style="78"/>
    <col min="5138" max="5138" width="9.8984375" style="78" customWidth="1"/>
    <col min="5139" max="5139" width="13.19921875" style="78" customWidth="1"/>
    <col min="5140" max="5140" width="10.19921875" style="78" bestFit="1" customWidth="1"/>
    <col min="5141" max="5141" width="13.796875" style="78" customWidth="1"/>
    <col min="5142" max="5385" width="8.796875" style="78"/>
    <col min="5386" max="5386" width="1.8984375" style="78" customWidth="1"/>
    <col min="5387" max="5389" width="8.796875" style="78"/>
    <col min="5390" max="5390" width="4.8984375" style="78" customWidth="1"/>
    <col min="5391" max="5393" width="8.796875" style="78"/>
    <col min="5394" max="5394" width="9.8984375" style="78" customWidth="1"/>
    <col min="5395" max="5395" width="13.19921875" style="78" customWidth="1"/>
    <col min="5396" max="5396" width="10.19921875" style="78" bestFit="1" customWidth="1"/>
    <col min="5397" max="5397" width="13.796875" style="78" customWidth="1"/>
    <col min="5398" max="5641" width="8.796875" style="78"/>
    <col min="5642" max="5642" width="1.8984375" style="78" customWidth="1"/>
    <col min="5643" max="5645" width="8.796875" style="78"/>
    <col min="5646" max="5646" width="4.8984375" style="78" customWidth="1"/>
    <col min="5647" max="5649" width="8.796875" style="78"/>
    <col min="5650" max="5650" width="9.8984375" style="78" customWidth="1"/>
    <col min="5651" max="5651" width="13.19921875" style="78" customWidth="1"/>
    <col min="5652" max="5652" width="10.19921875" style="78" bestFit="1" customWidth="1"/>
    <col min="5653" max="5653" width="13.796875" style="78" customWidth="1"/>
    <col min="5654" max="5897" width="8.796875" style="78"/>
    <col min="5898" max="5898" width="1.8984375" style="78" customWidth="1"/>
    <col min="5899" max="5901" width="8.796875" style="78"/>
    <col min="5902" max="5902" width="4.8984375" style="78" customWidth="1"/>
    <col min="5903" max="5905" width="8.796875" style="78"/>
    <col min="5906" max="5906" width="9.8984375" style="78" customWidth="1"/>
    <col min="5907" max="5907" width="13.19921875" style="78" customWidth="1"/>
    <col min="5908" max="5908" width="10.19921875" style="78" bestFit="1" customWidth="1"/>
    <col min="5909" max="5909" width="13.796875" style="78" customWidth="1"/>
    <col min="5910" max="6153" width="8.796875" style="78"/>
    <col min="6154" max="6154" width="1.8984375" style="78" customWidth="1"/>
    <col min="6155" max="6157" width="8.796875" style="78"/>
    <col min="6158" max="6158" width="4.8984375" style="78" customWidth="1"/>
    <col min="6159" max="6161" width="8.796875" style="78"/>
    <col min="6162" max="6162" width="9.8984375" style="78" customWidth="1"/>
    <col min="6163" max="6163" width="13.19921875" style="78" customWidth="1"/>
    <col min="6164" max="6164" width="10.19921875" style="78" bestFit="1" customWidth="1"/>
    <col min="6165" max="6165" width="13.796875" style="78" customWidth="1"/>
    <col min="6166" max="6409" width="8.796875" style="78"/>
    <col min="6410" max="6410" width="1.8984375" style="78" customWidth="1"/>
    <col min="6411" max="6413" width="8.796875" style="78"/>
    <col min="6414" max="6414" width="4.8984375" style="78" customWidth="1"/>
    <col min="6415" max="6417" width="8.796875" style="78"/>
    <col min="6418" max="6418" width="9.8984375" style="78" customWidth="1"/>
    <col min="6419" max="6419" width="13.19921875" style="78" customWidth="1"/>
    <col min="6420" max="6420" width="10.19921875" style="78" bestFit="1" customWidth="1"/>
    <col min="6421" max="6421" width="13.796875" style="78" customWidth="1"/>
    <col min="6422" max="6665" width="8.796875" style="78"/>
    <col min="6666" max="6666" width="1.8984375" style="78" customWidth="1"/>
    <col min="6667" max="6669" width="8.796875" style="78"/>
    <col min="6670" max="6670" width="4.8984375" style="78" customWidth="1"/>
    <col min="6671" max="6673" width="8.796875" style="78"/>
    <col min="6674" max="6674" width="9.8984375" style="78" customWidth="1"/>
    <col min="6675" max="6675" width="13.19921875" style="78" customWidth="1"/>
    <col min="6676" max="6676" width="10.19921875" style="78" bestFit="1" customWidth="1"/>
    <col min="6677" max="6677" width="13.796875" style="78" customWidth="1"/>
    <col min="6678" max="6921" width="8.796875" style="78"/>
    <col min="6922" max="6922" width="1.8984375" style="78" customWidth="1"/>
    <col min="6923" max="6925" width="8.796875" style="78"/>
    <col min="6926" max="6926" width="4.8984375" style="78" customWidth="1"/>
    <col min="6927" max="6929" width="8.796875" style="78"/>
    <col min="6930" max="6930" width="9.8984375" style="78" customWidth="1"/>
    <col min="6931" max="6931" width="13.19921875" style="78" customWidth="1"/>
    <col min="6932" max="6932" width="10.19921875" style="78" bestFit="1" customWidth="1"/>
    <col min="6933" max="6933" width="13.796875" style="78" customWidth="1"/>
    <col min="6934" max="7177" width="8.796875" style="78"/>
    <col min="7178" max="7178" width="1.8984375" style="78" customWidth="1"/>
    <col min="7179" max="7181" width="8.796875" style="78"/>
    <col min="7182" max="7182" width="4.8984375" style="78" customWidth="1"/>
    <col min="7183" max="7185" width="8.796875" style="78"/>
    <col min="7186" max="7186" width="9.8984375" style="78" customWidth="1"/>
    <col min="7187" max="7187" width="13.19921875" style="78" customWidth="1"/>
    <col min="7188" max="7188" width="10.19921875" style="78" bestFit="1" customWidth="1"/>
    <col min="7189" max="7189" width="13.796875" style="78" customWidth="1"/>
    <col min="7190" max="7433" width="8.796875" style="78"/>
    <col min="7434" max="7434" width="1.8984375" style="78" customWidth="1"/>
    <col min="7435" max="7437" width="8.796875" style="78"/>
    <col min="7438" max="7438" width="4.8984375" style="78" customWidth="1"/>
    <col min="7439" max="7441" width="8.796875" style="78"/>
    <col min="7442" max="7442" width="9.8984375" style="78" customWidth="1"/>
    <col min="7443" max="7443" width="13.19921875" style="78" customWidth="1"/>
    <col min="7444" max="7444" width="10.19921875" style="78" bestFit="1" customWidth="1"/>
    <col min="7445" max="7445" width="13.796875" style="78" customWidth="1"/>
    <col min="7446" max="7689" width="8.796875" style="78"/>
    <col min="7690" max="7690" width="1.8984375" style="78" customWidth="1"/>
    <col min="7691" max="7693" width="8.796875" style="78"/>
    <col min="7694" max="7694" width="4.8984375" style="78" customWidth="1"/>
    <col min="7695" max="7697" width="8.796875" style="78"/>
    <col min="7698" max="7698" width="9.8984375" style="78" customWidth="1"/>
    <col min="7699" max="7699" width="13.19921875" style="78" customWidth="1"/>
    <col min="7700" max="7700" width="10.19921875" style="78" bestFit="1" customWidth="1"/>
    <col min="7701" max="7701" width="13.796875" style="78" customWidth="1"/>
    <col min="7702" max="7945" width="8.796875" style="78"/>
    <col min="7946" max="7946" width="1.8984375" style="78" customWidth="1"/>
    <col min="7947" max="7949" width="8.796875" style="78"/>
    <col min="7950" max="7950" width="4.8984375" style="78" customWidth="1"/>
    <col min="7951" max="7953" width="8.796875" style="78"/>
    <col min="7954" max="7954" width="9.8984375" style="78" customWidth="1"/>
    <col min="7955" max="7955" width="13.19921875" style="78" customWidth="1"/>
    <col min="7956" max="7956" width="10.19921875" style="78" bestFit="1" customWidth="1"/>
    <col min="7957" max="7957" width="13.796875" style="78" customWidth="1"/>
    <col min="7958" max="8201" width="8.796875" style="78"/>
    <col min="8202" max="8202" width="1.8984375" style="78" customWidth="1"/>
    <col min="8203" max="8205" width="8.796875" style="78"/>
    <col min="8206" max="8206" width="4.8984375" style="78" customWidth="1"/>
    <col min="8207" max="8209" width="8.796875" style="78"/>
    <col min="8210" max="8210" width="9.8984375" style="78" customWidth="1"/>
    <col min="8211" max="8211" width="13.19921875" style="78" customWidth="1"/>
    <col min="8212" max="8212" width="10.19921875" style="78" bestFit="1" customWidth="1"/>
    <col min="8213" max="8213" width="13.796875" style="78" customWidth="1"/>
    <col min="8214" max="8457" width="8.796875" style="78"/>
    <col min="8458" max="8458" width="1.8984375" style="78" customWidth="1"/>
    <col min="8459" max="8461" width="8.796875" style="78"/>
    <col min="8462" max="8462" width="4.8984375" style="78" customWidth="1"/>
    <col min="8463" max="8465" width="8.796875" style="78"/>
    <col min="8466" max="8466" width="9.8984375" style="78" customWidth="1"/>
    <col min="8467" max="8467" width="13.19921875" style="78" customWidth="1"/>
    <col min="8468" max="8468" width="10.19921875" style="78" bestFit="1" customWidth="1"/>
    <col min="8469" max="8469" width="13.796875" style="78" customWidth="1"/>
    <col min="8470" max="8713" width="8.796875" style="78"/>
    <col min="8714" max="8714" width="1.8984375" style="78" customWidth="1"/>
    <col min="8715" max="8717" width="8.796875" style="78"/>
    <col min="8718" max="8718" width="4.8984375" style="78" customWidth="1"/>
    <col min="8719" max="8721" width="8.796875" style="78"/>
    <col min="8722" max="8722" width="9.8984375" style="78" customWidth="1"/>
    <col min="8723" max="8723" width="13.19921875" style="78" customWidth="1"/>
    <col min="8724" max="8724" width="10.19921875" style="78" bestFit="1" customWidth="1"/>
    <col min="8725" max="8725" width="13.796875" style="78" customWidth="1"/>
    <col min="8726" max="8969" width="8.796875" style="78"/>
    <col min="8970" max="8970" width="1.8984375" style="78" customWidth="1"/>
    <col min="8971" max="8973" width="8.796875" style="78"/>
    <col min="8974" max="8974" width="4.8984375" style="78" customWidth="1"/>
    <col min="8975" max="8977" width="8.796875" style="78"/>
    <col min="8978" max="8978" width="9.8984375" style="78" customWidth="1"/>
    <col min="8979" max="8979" width="13.19921875" style="78" customWidth="1"/>
    <col min="8980" max="8980" width="10.19921875" style="78" bestFit="1" customWidth="1"/>
    <col min="8981" max="8981" width="13.796875" style="78" customWidth="1"/>
    <col min="8982" max="9225" width="8.796875" style="78"/>
    <col min="9226" max="9226" width="1.8984375" style="78" customWidth="1"/>
    <col min="9227" max="9229" width="8.796875" style="78"/>
    <col min="9230" max="9230" width="4.8984375" style="78" customWidth="1"/>
    <col min="9231" max="9233" width="8.796875" style="78"/>
    <col min="9234" max="9234" width="9.8984375" style="78" customWidth="1"/>
    <col min="9235" max="9235" width="13.19921875" style="78" customWidth="1"/>
    <col min="9236" max="9236" width="10.19921875" style="78" bestFit="1" customWidth="1"/>
    <col min="9237" max="9237" width="13.796875" style="78" customWidth="1"/>
    <col min="9238" max="9481" width="8.796875" style="78"/>
    <col min="9482" max="9482" width="1.8984375" style="78" customWidth="1"/>
    <col min="9483" max="9485" width="8.796875" style="78"/>
    <col min="9486" max="9486" width="4.8984375" style="78" customWidth="1"/>
    <col min="9487" max="9489" width="8.796875" style="78"/>
    <col min="9490" max="9490" width="9.8984375" style="78" customWidth="1"/>
    <col min="9491" max="9491" width="13.19921875" style="78" customWidth="1"/>
    <col min="9492" max="9492" width="10.19921875" style="78" bestFit="1" customWidth="1"/>
    <col min="9493" max="9493" width="13.796875" style="78" customWidth="1"/>
    <col min="9494" max="9737" width="8.796875" style="78"/>
    <col min="9738" max="9738" width="1.8984375" style="78" customWidth="1"/>
    <col min="9739" max="9741" width="8.796875" style="78"/>
    <col min="9742" max="9742" width="4.8984375" style="78" customWidth="1"/>
    <col min="9743" max="9745" width="8.796875" style="78"/>
    <col min="9746" max="9746" width="9.8984375" style="78" customWidth="1"/>
    <col min="9747" max="9747" width="13.19921875" style="78" customWidth="1"/>
    <col min="9748" max="9748" width="10.19921875" style="78" bestFit="1" customWidth="1"/>
    <col min="9749" max="9749" width="13.796875" style="78" customWidth="1"/>
    <col min="9750" max="9993" width="8.796875" style="78"/>
    <col min="9994" max="9994" width="1.8984375" style="78" customWidth="1"/>
    <col min="9995" max="9997" width="8.796875" style="78"/>
    <col min="9998" max="9998" width="4.8984375" style="78" customWidth="1"/>
    <col min="9999" max="10001" width="8.796875" style="78"/>
    <col min="10002" max="10002" width="9.8984375" style="78" customWidth="1"/>
    <col min="10003" max="10003" width="13.19921875" style="78" customWidth="1"/>
    <col min="10004" max="10004" width="10.19921875" style="78" bestFit="1" customWidth="1"/>
    <col min="10005" max="10005" width="13.796875" style="78" customWidth="1"/>
    <col min="10006" max="10249" width="8.796875" style="78"/>
    <col min="10250" max="10250" width="1.8984375" style="78" customWidth="1"/>
    <col min="10251" max="10253" width="8.796875" style="78"/>
    <col min="10254" max="10254" width="4.8984375" style="78" customWidth="1"/>
    <col min="10255" max="10257" width="8.796875" style="78"/>
    <col min="10258" max="10258" width="9.8984375" style="78" customWidth="1"/>
    <col min="10259" max="10259" width="13.19921875" style="78" customWidth="1"/>
    <col min="10260" max="10260" width="10.19921875" style="78" bestFit="1" customWidth="1"/>
    <col min="10261" max="10261" width="13.796875" style="78" customWidth="1"/>
    <col min="10262" max="10505" width="8.796875" style="78"/>
    <col min="10506" max="10506" width="1.8984375" style="78" customWidth="1"/>
    <col min="10507" max="10509" width="8.796875" style="78"/>
    <col min="10510" max="10510" width="4.8984375" style="78" customWidth="1"/>
    <col min="10511" max="10513" width="8.796875" style="78"/>
    <col min="10514" max="10514" width="9.8984375" style="78" customWidth="1"/>
    <col min="10515" max="10515" width="13.19921875" style="78" customWidth="1"/>
    <col min="10516" max="10516" width="10.19921875" style="78" bestFit="1" customWidth="1"/>
    <col min="10517" max="10517" width="13.796875" style="78" customWidth="1"/>
    <col min="10518" max="10761" width="8.796875" style="78"/>
    <col min="10762" max="10762" width="1.8984375" style="78" customWidth="1"/>
    <col min="10763" max="10765" width="8.796875" style="78"/>
    <col min="10766" max="10766" width="4.8984375" style="78" customWidth="1"/>
    <col min="10767" max="10769" width="8.796875" style="78"/>
    <col min="10770" max="10770" width="9.8984375" style="78" customWidth="1"/>
    <col min="10771" max="10771" width="13.19921875" style="78" customWidth="1"/>
    <col min="10772" max="10772" width="10.19921875" style="78" bestFit="1" customWidth="1"/>
    <col min="10773" max="10773" width="13.796875" style="78" customWidth="1"/>
    <col min="10774" max="11017" width="8.796875" style="78"/>
    <col min="11018" max="11018" width="1.8984375" style="78" customWidth="1"/>
    <col min="11019" max="11021" width="8.796875" style="78"/>
    <col min="11022" max="11022" width="4.8984375" style="78" customWidth="1"/>
    <col min="11023" max="11025" width="8.796875" style="78"/>
    <col min="11026" max="11026" width="9.8984375" style="78" customWidth="1"/>
    <col min="11027" max="11027" width="13.19921875" style="78" customWidth="1"/>
    <col min="11028" max="11028" width="10.19921875" style="78" bestFit="1" customWidth="1"/>
    <col min="11029" max="11029" width="13.796875" style="78" customWidth="1"/>
    <col min="11030" max="11273" width="8.796875" style="78"/>
    <col min="11274" max="11274" width="1.8984375" style="78" customWidth="1"/>
    <col min="11275" max="11277" width="8.796875" style="78"/>
    <col min="11278" max="11278" width="4.8984375" style="78" customWidth="1"/>
    <col min="11279" max="11281" width="8.796875" style="78"/>
    <col min="11282" max="11282" width="9.8984375" style="78" customWidth="1"/>
    <col min="11283" max="11283" width="13.19921875" style="78" customWidth="1"/>
    <col min="11284" max="11284" width="10.19921875" style="78" bestFit="1" customWidth="1"/>
    <col min="11285" max="11285" width="13.796875" style="78" customWidth="1"/>
    <col min="11286" max="11529" width="8.796875" style="78"/>
    <col min="11530" max="11530" width="1.8984375" style="78" customWidth="1"/>
    <col min="11531" max="11533" width="8.796875" style="78"/>
    <col min="11534" max="11534" width="4.8984375" style="78" customWidth="1"/>
    <col min="11535" max="11537" width="8.796875" style="78"/>
    <col min="11538" max="11538" width="9.8984375" style="78" customWidth="1"/>
    <col min="11539" max="11539" width="13.19921875" style="78" customWidth="1"/>
    <col min="11540" max="11540" width="10.19921875" style="78" bestFit="1" customWidth="1"/>
    <col min="11541" max="11541" width="13.796875" style="78" customWidth="1"/>
    <col min="11542" max="11785" width="8.796875" style="78"/>
    <col min="11786" max="11786" width="1.8984375" style="78" customWidth="1"/>
    <col min="11787" max="11789" width="8.796875" style="78"/>
    <col min="11790" max="11790" width="4.8984375" style="78" customWidth="1"/>
    <col min="11791" max="11793" width="8.796875" style="78"/>
    <col min="11794" max="11794" width="9.8984375" style="78" customWidth="1"/>
    <col min="11795" max="11795" width="13.19921875" style="78" customWidth="1"/>
    <col min="11796" max="11796" width="10.19921875" style="78" bestFit="1" customWidth="1"/>
    <col min="11797" max="11797" width="13.796875" style="78" customWidth="1"/>
    <col min="11798" max="12041" width="8.796875" style="78"/>
    <col min="12042" max="12042" width="1.8984375" style="78" customWidth="1"/>
    <col min="12043" max="12045" width="8.796875" style="78"/>
    <col min="12046" max="12046" width="4.8984375" style="78" customWidth="1"/>
    <col min="12047" max="12049" width="8.796875" style="78"/>
    <col min="12050" max="12050" width="9.8984375" style="78" customWidth="1"/>
    <col min="12051" max="12051" width="13.19921875" style="78" customWidth="1"/>
    <col min="12052" max="12052" width="10.19921875" style="78" bestFit="1" customWidth="1"/>
    <col min="12053" max="12053" width="13.796875" style="78" customWidth="1"/>
    <col min="12054" max="12297" width="8.796875" style="78"/>
    <col min="12298" max="12298" width="1.8984375" style="78" customWidth="1"/>
    <col min="12299" max="12301" width="8.796875" style="78"/>
    <col min="12302" max="12302" width="4.8984375" style="78" customWidth="1"/>
    <col min="12303" max="12305" width="8.796875" style="78"/>
    <col min="12306" max="12306" width="9.8984375" style="78" customWidth="1"/>
    <col min="12307" max="12307" width="13.19921875" style="78" customWidth="1"/>
    <col min="12308" max="12308" width="10.19921875" style="78" bestFit="1" customWidth="1"/>
    <col min="12309" max="12309" width="13.796875" style="78" customWidth="1"/>
    <col min="12310" max="12553" width="8.796875" style="78"/>
    <col min="12554" max="12554" width="1.8984375" style="78" customWidth="1"/>
    <col min="12555" max="12557" width="8.796875" style="78"/>
    <col min="12558" max="12558" width="4.8984375" style="78" customWidth="1"/>
    <col min="12559" max="12561" width="8.796875" style="78"/>
    <col min="12562" max="12562" width="9.8984375" style="78" customWidth="1"/>
    <col min="12563" max="12563" width="13.19921875" style="78" customWidth="1"/>
    <col min="12564" max="12564" width="10.19921875" style="78" bestFit="1" customWidth="1"/>
    <col min="12565" max="12565" width="13.796875" style="78" customWidth="1"/>
    <col min="12566" max="12809" width="8.796875" style="78"/>
    <col min="12810" max="12810" width="1.8984375" style="78" customWidth="1"/>
    <col min="12811" max="12813" width="8.796875" style="78"/>
    <col min="12814" max="12814" width="4.8984375" style="78" customWidth="1"/>
    <col min="12815" max="12817" width="8.796875" style="78"/>
    <col min="12818" max="12818" width="9.8984375" style="78" customWidth="1"/>
    <col min="12819" max="12819" width="13.19921875" style="78" customWidth="1"/>
    <col min="12820" max="12820" width="10.19921875" style="78" bestFit="1" customWidth="1"/>
    <col min="12821" max="12821" width="13.796875" style="78" customWidth="1"/>
    <col min="12822" max="13065" width="8.796875" style="78"/>
    <col min="13066" max="13066" width="1.8984375" style="78" customWidth="1"/>
    <col min="13067" max="13069" width="8.796875" style="78"/>
    <col min="13070" max="13070" width="4.8984375" style="78" customWidth="1"/>
    <col min="13071" max="13073" width="8.796875" style="78"/>
    <col min="13074" max="13074" width="9.8984375" style="78" customWidth="1"/>
    <col min="13075" max="13075" width="13.19921875" style="78" customWidth="1"/>
    <col min="13076" max="13076" width="10.19921875" style="78" bestFit="1" customWidth="1"/>
    <col min="13077" max="13077" width="13.796875" style="78" customWidth="1"/>
    <col min="13078" max="13321" width="8.796875" style="78"/>
    <col min="13322" max="13322" width="1.8984375" style="78" customWidth="1"/>
    <col min="13323" max="13325" width="8.796875" style="78"/>
    <col min="13326" max="13326" width="4.8984375" style="78" customWidth="1"/>
    <col min="13327" max="13329" width="8.796875" style="78"/>
    <col min="13330" max="13330" width="9.8984375" style="78" customWidth="1"/>
    <col min="13331" max="13331" width="13.19921875" style="78" customWidth="1"/>
    <col min="13332" max="13332" width="10.19921875" style="78" bestFit="1" customWidth="1"/>
    <col min="13333" max="13333" width="13.796875" style="78" customWidth="1"/>
    <col min="13334" max="13577" width="8.796875" style="78"/>
    <col min="13578" max="13578" width="1.8984375" style="78" customWidth="1"/>
    <col min="13579" max="13581" width="8.796875" style="78"/>
    <col min="13582" max="13582" width="4.8984375" style="78" customWidth="1"/>
    <col min="13583" max="13585" width="8.796875" style="78"/>
    <col min="13586" max="13586" width="9.8984375" style="78" customWidth="1"/>
    <col min="13587" max="13587" width="13.19921875" style="78" customWidth="1"/>
    <col min="13588" max="13588" width="10.19921875" style="78" bestFit="1" customWidth="1"/>
    <col min="13589" max="13589" width="13.796875" style="78" customWidth="1"/>
    <col min="13590" max="13833" width="8.796875" style="78"/>
    <col min="13834" max="13834" width="1.8984375" style="78" customWidth="1"/>
    <col min="13835" max="13837" width="8.796875" style="78"/>
    <col min="13838" max="13838" width="4.8984375" style="78" customWidth="1"/>
    <col min="13839" max="13841" width="8.796875" style="78"/>
    <col min="13842" max="13842" width="9.8984375" style="78" customWidth="1"/>
    <col min="13843" max="13843" width="13.19921875" style="78" customWidth="1"/>
    <col min="13844" max="13844" width="10.19921875" style="78" bestFit="1" customWidth="1"/>
    <col min="13845" max="13845" width="13.796875" style="78" customWidth="1"/>
    <col min="13846" max="14089" width="8.796875" style="78"/>
    <col min="14090" max="14090" width="1.8984375" style="78" customWidth="1"/>
    <col min="14091" max="14093" width="8.796875" style="78"/>
    <col min="14094" max="14094" width="4.8984375" style="78" customWidth="1"/>
    <col min="14095" max="14097" width="8.796875" style="78"/>
    <col min="14098" max="14098" width="9.8984375" style="78" customWidth="1"/>
    <col min="14099" max="14099" width="13.19921875" style="78" customWidth="1"/>
    <col min="14100" max="14100" width="10.19921875" style="78" bestFit="1" customWidth="1"/>
    <col min="14101" max="14101" width="13.796875" style="78" customWidth="1"/>
    <col min="14102" max="14345" width="8.796875" style="78"/>
    <col min="14346" max="14346" width="1.8984375" style="78" customWidth="1"/>
    <col min="14347" max="14349" width="8.796875" style="78"/>
    <col min="14350" max="14350" width="4.8984375" style="78" customWidth="1"/>
    <col min="14351" max="14353" width="8.796875" style="78"/>
    <col min="14354" max="14354" width="9.8984375" style="78" customWidth="1"/>
    <col min="14355" max="14355" width="13.19921875" style="78" customWidth="1"/>
    <col min="14356" max="14356" width="10.19921875" style="78" bestFit="1" customWidth="1"/>
    <col min="14357" max="14357" width="13.796875" style="78" customWidth="1"/>
    <col min="14358" max="14601" width="8.796875" style="78"/>
    <col min="14602" max="14602" width="1.8984375" style="78" customWidth="1"/>
    <col min="14603" max="14605" width="8.796875" style="78"/>
    <col min="14606" max="14606" width="4.8984375" style="78" customWidth="1"/>
    <col min="14607" max="14609" width="8.796875" style="78"/>
    <col min="14610" max="14610" width="9.8984375" style="78" customWidth="1"/>
    <col min="14611" max="14611" width="13.19921875" style="78" customWidth="1"/>
    <col min="14612" max="14612" width="10.19921875" style="78" bestFit="1" customWidth="1"/>
    <col min="14613" max="14613" width="13.796875" style="78" customWidth="1"/>
    <col min="14614" max="14857" width="8.796875" style="78"/>
    <col min="14858" max="14858" width="1.8984375" style="78" customWidth="1"/>
    <col min="14859" max="14861" width="8.796875" style="78"/>
    <col min="14862" max="14862" width="4.8984375" style="78" customWidth="1"/>
    <col min="14863" max="14865" width="8.796875" style="78"/>
    <col min="14866" max="14866" width="9.8984375" style="78" customWidth="1"/>
    <col min="14867" max="14867" width="13.19921875" style="78" customWidth="1"/>
    <col min="14868" max="14868" width="10.19921875" style="78" bestFit="1" customWidth="1"/>
    <col min="14869" max="14869" width="13.796875" style="78" customWidth="1"/>
    <col min="14870" max="15113" width="8.796875" style="78"/>
    <col min="15114" max="15114" width="1.8984375" style="78" customWidth="1"/>
    <col min="15115" max="15117" width="8.796875" style="78"/>
    <col min="15118" max="15118" width="4.8984375" style="78" customWidth="1"/>
    <col min="15119" max="15121" width="8.796875" style="78"/>
    <col min="15122" max="15122" width="9.8984375" style="78" customWidth="1"/>
    <col min="15123" max="15123" width="13.19921875" style="78" customWidth="1"/>
    <col min="15124" max="15124" width="10.19921875" style="78" bestFit="1" customWidth="1"/>
    <col min="15125" max="15125" width="13.796875" style="78" customWidth="1"/>
    <col min="15126" max="15369" width="8.796875" style="78"/>
    <col min="15370" max="15370" width="1.8984375" style="78" customWidth="1"/>
    <col min="15371" max="15373" width="8.796875" style="78"/>
    <col min="15374" max="15374" width="4.8984375" style="78" customWidth="1"/>
    <col min="15375" max="15377" width="8.796875" style="78"/>
    <col min="15378" max="15378" width="9.8984375" style="78" customWidth="1"/>
    <col min="15379" max="15379" width="13.19921875" style="78" customWidth="1"/>
    <col min="15380" max="15380" width="10.19921875" style="78" bestFit="1" customWidth="1"/>
    <col min="15381" max="15381" width="13.796875" style="78" customWidth="1"/>
    <col min="15382" max="15625" width="8.796875" style="78"/>
    <col min="15626" max="15626" width="1.8984375" style="78" customWidth="1"/>
    <col min="15627" max="15629" width="8.796875" style="78"/>
    <col min="15630" max="15630" width="4.8984375" style="78" customWidth="1"/>
    <col min="15631" max="15633" width="8.796875" style="78"/>
    <col min="15634" max="15634" width="9.8984375" style="78" customWidth="1"/>
    <col min="15635" max="15635" width="13.19921875" style="78" customWidth="1"/>
    <col min="15636" max="15636" width="10.19921875" style="78" bestFit="1" customWidth="1"/>
    <col min="15637" max="15637" width="13.796875" style="78" customWidth="1"/>
    <col min="15638" max="15881" width="8.796875" style="78"/>
    <col min="15882" max="15882" width="1.8984375" style="78" customWidth="1"/>
    <col min="15883" max="15885" width="8.796875" style="78"/>
    <col min="15886" max="15886" width="4.8984375" style="78" customWidth="1"/>
    <col min="15887" max="15889" width="8.796875" style="78"/>
    <col min="15890" max="15890" width="9.8984375" style="78" customWidth="1"/>
    <col min="15891" max="15891" width="13.19921875" style="78" customWidth="1"/>
    <col min="15892" max="15892" width="10.19921875" style="78" bestFit="1" customWidth="1"/>
    <col min="15893" max="15893" width="13.796875" style="78" customWidth="1"/>
    <col min="15894" max="16137" width="8.796875" style="78"/>
    <col min="16138" max="16138" width="1.8984375" style="78" customWidth="1"/>
    <col min="16139" max="16141" width="8.796875" style="78"/>
    <col min="16142" max="16142" width="4.8984375" style="78" customWidth="1"/>
    <col min="16143" max="16145" width="8.796875" style="78"/>
    <col min="16146" max="16146" width="9.8984375" style="78" customWidth="1"/>
    <col min="16147" max="16147" width="13.19921875" style="78" customWidth="1"/>
    <col min="16148" max="16148" width="10.19921875" style="78" bestFit="1" customWidth="1"/>
    <col min="16149" max="16149" width="13.796875" style="78" customWidth="1"/>
    <col min="16150" max="16384" width="8.796875" style="78"/>
  </cols>
  <sheetData>
    <row r="1" spans="2:18" ht="18" customHeight="1" thickBo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2:18" ht="18" customHeight="1">
      <c r="B2" s="297" t="s">
        <v>935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  <c r="P2" s="77"/>
      <c r="Q2" s="77"/>
      <c r="R2" s="77"/>
    </row>
    <row r="3" spans="2:18" ht="18" customHeight="1" thickBot="1">
      <c r="B3" s="300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2"/>
      <c r="P3" s="77"/>
      <c r="Q3" s="77"/>
      <c r="R3" s="77"/>
    </row>
    <row r="4" spans="2:18" ht="9" customHeight="1">
      <c r="B4" s="303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5"/>
      <c r="P4" s="77"/>
      <c r="Q4" s="77"/>
      <c r="R4" s="77"/>
    </row>
    <row r="5" spans="2:18" ht="18" customHeight="1">
      <c r="B5" s="306" t="s">
        <v>936</v>
      </c>
      <c r="C5" s="306"/>
      <c r="D5" s="307" t="s">
        <v>937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77"/>
      <c r="Q5" s="77"/>
      <c r="R5" s="77"/>
    </row>
    <row r="6" spans="2:18" ht="45" customHeight="1">
      <c r="B6" s="308" t="s">
        <v>938</v>
      </c>
      <c r="C6" s="308"/>
      <c r="D6" s="309" t="str">
        <f>[3]CRONOGRAMA!F4</f>
        <v>OBJETO: REFORMA E AMPLIAÇÃO DAS ESCOLAS NO MUNICIPIO DE ITAMBE</v>
      </c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77"/>
      <c r="Q6" s="77"/>
      <c r="R6" s="77"/>
    </row>
    <row r="7" spans="2:18" ht="9" customHeight="1"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77"/>
      <c r="Q7" s="77"/>
      <c r="R7" s="77"/>
    </row>
    <row r="8" spans="2:18" ht="18" customHeight="1">
      <c r="B8" s="246" t="s">
        <v>939</v>
      </c>
      <c r="C8" s="247"/>
      <c r="D8" s="247"/>
      <c r="E8" s="247"/>
      <c r="F8" s="247"/>
      <c r="G8" s="247"/>
      <c r="H8" s="247"/>
      <c r="I8" s="247"/>
      <c r="J8" s="247"/>
      <c r="K8" s="247"/>
      <c r="L8" s="294"/>
      <c r="M8" s="294"/>
      <c r="N8" s="294"/>
      <c r="O8" s="295"/>
      <c r="P8" s="77"/>
      <c r="Q8" s="77"/>
      <c r="R8" s="77"/>
    </row>
    <row r="9" spans="2:18" ht="18" customHeight="1">
      <c r="B9" s="229" t="s">
        <v>940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96"/>
      <c r="P9" s="77"/>
      <c r="Q9" s="77"/>
      <c r="R9" s="77"/>
    </row>
    <row r="10" spans="2:18" ht="18" customHeight="1">
      <c r="B10" s="233" t="s">
        <v>941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83" t="s">
        <v>942</v>
      </c>
      <c r="M10" s="283"/>
      <c r="N10" s="283"/>
      <c r="O10" s="284"/>
      <c r="P10" s="77"/>
      <c r="Q10" s="77"/>
      <c r="R10" s="77"/>
    </row>
    <row r="11" spans="2:18" ht="18" customHeight="1">
      <c r="B11" s="233" t="s">
        <v>943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5">
        <v>0.04</v>
      </c>
      <c r="M11" s="283"/>
      <c r="N11" s="283"/>
      <c r="O11" s="284"/>
      <c r="P11" s="77"/>
      <c r="Q11" s="77"/>
      <c r="R11" s="77"/>
    </row>
    <row r="12" spans="2:18" ht="18" customHeight="1">
      <c r="B12" s="233" t="s">
        <v>944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5">
        <v>8.0000000000000002E-3</v>
      </c>
      <c r="M12" s="283"/>
      <c r="N12" s="283"/>
      <c r="O12" s="284"/>
      <c r="P12" s="77"/>
      <c r="Q12" s="77"/>
      <c r="R12" s="77"/>
    </row>
    <row r="13" spans="2:18" ht="18" customHeight="1">
      <c r="B13" s="233" t="s">
        <v>945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5">
        <v>1.2699999999999999E-2</v>
      </c>
      <c r="M13" s="283"/>
      <c r="N13" s="283"/>
      <c r="O13" s="284"/>
      <c r="P13" s="77"/>
      <c r="Q13" s="77"/>
      <c r="R13" s="77"/>
    </row>
    <row r="14" spans="2:18" ht="18" customHeight="1">
      <c r="B14" s="233" t="s">
        <v>946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5">
        <v>1.23E-2</v>
      </c>
      <c r="M14" s="283"/>
      <c r="N14" s="283"/>
      <c r="O14" s="284"/>
      <c r="P14" s="77"/>
      <c r="Q14" s="77"/>
      <c r="R14" s="77"/>
    </row>
    <row r="15" spans="2:18" ht="18" customHeight="1">
      <c r="B15" s="246" t="s">
        <v>947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92"/>
      <c r="P15" s="77"/>
      <c r="Q15" s="77"/>
      <c r="R15" s="77"/>
    </row>
    <row r="16" spans="2:18" ht="18" customHeight="1">
      <c r="B16" s="233" t="s">
        <v>941</v>
      </c>
      <c r="C16" s="234"/>
      <c r="D16" s="234"/>
      <c r="E16" s="234"/>
      <c r="F16" s="234"/>
      <c r="G16" s="234"/>
      <c r="H16" s="234"/>
      <c r="I16" s="234"/>
      <c r="J16" s="234"/>
      <c r="K16" s="234"/>
      <c r="L16" s="283" t="s">
        <v>942</v>
      </c>
      <c r="M16" s="283"/>
      <c r="N16" s="283"/>
      <c r="O16" s="284"/>
      <c r="P16" s="77"/>
      <c r="Q16" s="77"/>
      <c r="R16" s="77"/>
    </row>
    <row r="17" spans="2:26" ht="18" customHeight="1">
      <c r="B17" s="233" t="s">
        <v>948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1">
        <f>L18+L20+L19</f>
        <v>6.1499999999999999E-2</v>
      </c>
      <c r="M17" s="244"/>
      <c r="N17" s="244"/>
      <c r="O17" s="245"/>
      <c r="P17" s="77"/>
      <c r="Q17" s="77"/>
      <c r="R17" s="77"/>
    </row>
    <row r="18" spans="2:26" ht="18" customHeight="1">
      <c r="B18" s="233" t="s">
        <v>949</v>
      </c>
      <c r="C18" s="234"/>
      <c r="D18" s="234"/>
      <c r="E18" s="234"/>
      <c r="F18" s="234"/>
      <c r="G18" s="234"/>
      <c r="H18" s="234"/>
      <c r="I18" s="234"/>
      <c r="J18" s="234"/>
      <c r="K18" s="234"/>
      <c r="L18" s="235">
        <v>6.4999999999999997E-3</v>
      </c>
      <c r="M18" s="283"/>
      <c r="N18" s="283"/>
      <c r="O18" s="284"/>
      <c r="P18" s="77"/>
      <c r="Q18" s="77"/>
      <c r="R18" s="77"/>
    </row>
    <row r="19" spans="2:26" ht="18" customHeight="1">
      <c r="B19" s="233" t="s">
        <v>950</v>
      </c>
      <c r="C19" s="234"/>
      <c r="D19" s="234"/>
      <c r="E19" s="234"/>
      <c r="F19" s="234"/>
      <c r="G19" s="234"/>
      <c r="H19" s="234"/>
      <c r="I19" s="234"/>
      <c r="J19" s="234"/>
      <c r="K19" s="234"/>
      <c r="L19" s="235">
        <v>0.03</v>
      </c>
      <c r="M19" s="283"/>
      <c r="N19" s="283"/>
      <c r="O19" s="284"/>
      <c r="P19" s="77"/>
      <c r="Q19" s="77"/>
      <c r="R19" s="77"/>
    </row>
    <row r="20" spans="2:26" ht="18" customHeight="1">
      <c r="B20" s="233" t="s">
        <v>951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5">
        <v>2.5000000000000001E-2</v>
      </c>
      <c r="M20" s="283"/>
      <c r="N20" s="283"/>
      <c r="O20" s="284"/>
      <c r="P20" s="77"/>
      <c r="Q20" s="77"/>
      <c r="R20" s="77"/>
    </row>
    <row r="21" spans="2:26" ht="18" customHeight="1">
      <c r="B21" s="233" t="s">
        <v>952</v>
      </c>
      <c r="C21" s="234"/>
      <c r="D21" s="234"/>
      <c r="E21" s="234"/>
      <c r="F21" s="234"/>
      <c r="G21" s="234"/>
      <c r="H21" s="234"/>
      <c r="I21" s="234"/>
      <c r="J21" s="234"/>
      <c r="K21" s="234"/>
      <c r="L21" s="235">
        <v>7.3999999999999996E-2</v>
      </c>
      <c r="M21" s="283"/>
      <c r="N21" s="283"/>
      <c r="O21" s="284"/>
      <c r="P21" s="77"/>
      <c r="Q21" s="77"/>
      <c r="R21" s="77"/>
    </row>
    <row r="22" spans="2:26" ht="18" customHeight="1">
      <c r="B22" s="220"/>
      <c r="C22" s="221"/>
      <c r="D22" s="221"/>
      <c r="E22" s="221"/>
      <c r="F22" s="221"/>
      <c r="G22" s="221"/>
      <c r="H22" s="221"/>
      <c r="I22" s="221"/>
      <c r="J22" s="221"/>
      <c r="K22" s="221"/>
      <c r="L22" s="222"/>
      <c r="M22" s="285"/>
      <c r="N22" s="285"/>
      <c r="O22" s="286"/>
      <c r="P22" s="77"/>
      <c r="Q22" s="77"/>
      <c r="R22" s="77"/>
    </row>
    <row r="23" spans="2:26" ht="18" customHeight="1">
      <c r="B23" s="287" t="s">
        <v>953</v>
      </c>
      <c r="C23" s="288"/>
      <c r="D23" s="288"/>
      <c r="E23" s="288"/>
      <c r="F23" s="288"/>
      <c r="G23" s="288"/>
      <c r="H23" s="288"/>
      <c r="I23" s="288"/>
      <c r="J23" s="289" t="s">
        <v>954</v>
      </c>
      <c r="K23" s="290"/>
      <c r="L23" s="291" t="s">
        <v>955</v>
      </c>
      <c r="M23" s="263"/>
      <c r="N23" s="263"/>
      <c r="O23" s="264"/>
      <c r="P23" s="77"/>
      <c r="Q23" s="77"/>
      <c r="R23" s="79"/>
    </row>
    <row r="24" spans="2:26" ht="22.5" customHeight="1">
      <c r="B24" s="258" t="s">
        <v>956</v>
      </c>
      <c r="C24" s="259"/>
      <c r="D24" s="259"/>
      <c r="E24" s="259"/>
      <c r="F24" s="259"/>
      <c r="G24" s="259"/>
      <c r="H24" s="259"/>
      <c r="I24" s="259"/>
      <c r="J24" s="259"/>
      <c r="K24" s="260"/>
      <c r="L24" s="262" t="s">
        <v>957</v>
      </c>
      <c r="M24" s="263"/>
      <c r="N24" s="263"/>
      <c r="O24" s="264"/>
      <c r="P24" s="77"/>
      <c r="Q24" s="77"/>
      <c r="R24" s="79"/>
      <c r="T24" s="80"/>
    </row>
    <row r="25" spans="2:26" ht="15" customHeight="1">
      <c r="B25" s="261"/>
      <c r="C25" s="259"/>
      <c r="D25" s="259"/>
      <c r="E25" s="259"/>
      <c r="F25" s="259"/>
      <c r="G25" s="259"/>
      <c r="H25" s="259"/>
      <c r="I25" s="259"/>
      <c r="J25" s="259"/>
      <c r="K25" s="260"/>
      <c r="L25" s="265" t="s">
        <v>958</v>
      </c>
      <c r="M25" s="266"/>
      <c r="N25" s="266"/>
      <c r="O25" s="267"/>
      <c r="P25" s="77"/>
      <c r="Q25" s="77"/>
      <c r="R25" s="79"/>
      <c r="S25" s="81"/>
      <c r="T25" s="80"/>
      <c r="U25" s="81"/>
    </row>
    <row r="26" spans="2:26" ht="24.75" customHeight="1">
      <c r="B26" s="261"/>
      <c r="C26" s="259"/>
      <c r="D26" s="259"/>
      <c r="E26" s="259"/>
      <c r="F26" s="259"/>
      <c r="G26" s="259"/>
      <c r="H26" s="259"/>
      <c r="I26" s="259"/>
      <c r="J26" s="259"/>
      <c r="K26" s="260"/>
      <c r="L26" s="268"/>
      <c r="M26" s="269"/>
      <c r="N26" s="269"/>
      <c r="O26" s="270"/>
      <c r="P26" s="77"/>
      <c r="Q26" s="77"/>
      <c r="R26" s="79"/>
      <c r="S26" s="81"/>
      <c r="T26" s="80"/>
      <c r="U26" s="81"/>
    </row>
    <row r="27" spans="2:26" ht="24.75" customHeight="1">
      <c r="B27" s="271" t="s">
        <v>959</v>
      </c>
      <c r="C27" s="272"/>
      <c r="D27" s="272"/>
      <c r="E27" s="272"/>
      <c r="F27" s="272"/>
      <c r="G27" s="272"/>
      <c r="H27" s="272"/>
      <c r="I27" s="272"/>
      <c r="J27" s="272"/>
      <c r="K27" s="273"/>
      <c r="L27" s="277" t="s">
        <v>960</v>
      </c>
      <c r="M27" s="278"/>
      <c r="N27" s="278"/>
      <c r="O27" s="279"/>
      <c r="P27" s="77"/>
      <c r="Q27" s="77"/>
      <c r="R27" s="82"/>
      <c r="S27" s="81"/>
      <c r="T27" s="80"/>
      <c r="U27" s="81"/>
    </row>
    <row r="28" spans="2:26" ht="25.5" customHeight="1">
      <c r="B28" s="271"/>
      <c r="C28" s="272"/>
      <c r="D28" s="272"/>
      <c r="E28" s="272"/>
      <c r="F28" s="272"/>
      <c r="G28" s="272"/>
      <c r="H28" s="272"/>
      <c r="I28" s="272"/>
      <c r="J28" s="272"/>
      <c r="K28" s="273"/>
      <c r="L28" s="277" t="s">
        <v>961</v>
      </c>
      <c r="M28" s="278"/>
      <c r="N28" s="278"/>
      <c r="O28" s="279"/>
      <c r="P28" s="77"/>
      <c r="Q28" s="77"/>
      <c r="R28" s="79"/>
      <c r="S28" s="81"/>
      <c r="T28" s="80"/>
      <c r="U28" s="81"/>
    </row>
    <row r="29" spans="2:26" ht="36.75" customHeight="1">
      <c r="B29" s="274"/>
      <c r="C29" s="275"/>
      <c r="D29" s="275"/>
      <c r="E29" s="275"/>
      <c r="F29" s="275"/>
      <c r="G29" s="275"/>
      <c r="H29" s="275"/>
      <c r="I29" s="275"/>
      <c r="J29" s="275"/>
      <c r="K29" s="276"/>
      <c r="L29" s="280" t="s">
        <v>962</v>
      </c>
      <c r="M29" s="281"/>
      <c r="N29" s="281"/>
      <c r="O29" s="282"/>
      <c r="P29" s="77"/>
      <c r="Q29" s="77"/>
      <c r="R29" s="82"/>
      <c r="S29" s="81"/>
      <c r="T29" s="83"/>
      <c r="U29" s="80"/>
    </row>
    <row r="30" spans="2:26" ht="27.75" customHeight="1">
      <c r="B30" s="246" t="s">
        <v>963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8">
        <f>((((1+L11+L13+L12)*(1+L14)*(1+L21))/(1-L47))-1)</f>
        <v>0.22877342476291962</v>
      </c>
      <c r="M30" s="248"/>
      <c r="N30" s="248"/>
      <c r="O30" s="249"/>
      <c r="P30" s="77"/>
      <c r="Q30" s="77"/>
      <c r="R30" s="79"/>
      <c r="S30" s="81"/>
      <c r="Z30" s="84"/>
    </row>
    <row r="31" spans="2:26" ht="18" customHeight="1">
      <c r="B31" s="246" t="s">
        <v>964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50"/>
      <c r="M31" s="250"/>
      <c r="N31" s="250"/>
      <c r="O31" s="251"/>
      <c r="P31" s="77"/>
      <c r="Q31" s="77"/>
      <c r="R31" s="77"/>
    </row>
    <row r="32" spans="2:26" ht="18" customHeight="1">
      <c r="B32" s="252" t="s">
        <v>965</v>
      </c>
      <c r="C32" s="253"/>
      <c r="D32" s="253"/>
      <c r="E32" s="253"/>
      <c r="F32" s="253"/>
      <c r="G32" s="253"/>
      <c r="H32" s="253"/>
      <c r="I32" s="253"/>
      <c r="J32" s="253"/>
      <c r="K32" s="253"/>
      <c r="L32" s="254"/>
      <c r="M32" s="234" t="s">
        <v>98</v>
      </c>
      <c r="N32" s="234"/>
      <c r="O32" s="239"/>
      <c r="P32" s="77"/>
      <c r="Q32" s="77"/>
      <c r="R32" s="77"/>
      <c r="U32" s="85"/>
    </row>
    <row r="33" spans="2:21" ht="13.5" customHeight="1">
      <c r="B33" s="255"/>
      <c r="C33" s="256"/>
      <c r="D33" s="256"/>
      <c r="E33" s="256"/>
      <c r="F33" s="256"/>
      <c r="G33" s="256"/>
      <c r="H33" s="256"/>
      <c r="I33" s="256"/>
      <c r="J33" s="256"/>
      <c r="K33" s="256"/>
      <c r="L33" s="257"/>
      <c r="M33" s="234"/>
      <c r="N33" s="234"/>
      <c r="O33" s="239"/>
      <c r="P33" s="77"/>
      <c r="Q33" s="77"/>
      <c r="R33" s="77"/>
      <c r="S33" s="86"/>
      <c r="T33" s="86"/>
      <c r="U33" s="83"/>
    </row>
    <row r="34" spans="2:21" ht="13.5" customHeight="1">
      <c r="B34" s="237" t="s">
        <v>966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4" t="s">
        <v>967</v>
      </c>
      <c r="N34" s="234"/>
      <c r="O34" s="239"/>
      <c r="P34" s="77"/>
      <c r="Q34" s="77"/>
      <c r="R34" s="77"/>
    </row>
    <row r="35" spans="2:21" ht="9" customHeight="1">
      <c r="B35" s="8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88"/>
      <c r="P35" s="77"/>
      <c r="Q35" s="77"/>
      <c r="R35" s="77"/>
    </row>
    <row r="36" spans="2:21" ht="9" customHeight="1">
      <c r="B36" s="8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88"/>
      <c r="P36" s="77"/>
      <c r="Q36" s="77"/>
      <c r="R36" s="77"/>
      <c r="T36" s="86"/>
    </row>
    <row r="37" spans="2:21" ht="15.75" hidden="1" customHeight="1">
      <c r="B37" s="8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88"/>
      <c r="P37" s="77"/>
      <c r="Q37" s="77"/>
      <c r="R37" s="77"/>
    </row>
    <row r="38" spans="2:21" ht="18" hidden="1" customHeight="1">
      <c r="B38" s="240" t="s">
        <v>968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2"/>
      <c r="P38" s="77"/>
      <c r="Q38" s="77"/>
      <c r="R38" s="77"/>
    </row>
    <row r="39" spans="2:21" ht="18" customHeight="1">
      <c r="B39" s="243" t="s">
        <v>969</v>
      </c>
      <c r="C39" s="244"/>
      <c r="D39" s="244"/>
      <c r="E39" s="244"/>
      <c r="F39" s="244"/>
      <c r="G39" s="244"/>
      <c r="H39" s="244"/>
      <c r="I39" s="244"/>
      <c r="J39" s="244"/>
      <c r="K39" s="244"/>
      <c r="L39" s="244" t="s">
        <v>970</v>
      </c>
      <c r="M39" s="244"/>
      <c r="N39" s="244"/>
      <c r="O39" s="245"/>
      <c r="P39" s="77"/>
      <c r="Q39" s="77"/>
      <c r="R39" s="77"/>
    </row>
    <row r="40" spans="2:21" ht="18" customHeight="1">
      <c r="B40" s="233" t="s">
        <v>971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5">
        <v>6.4999999999999997E-3</v>
      </c>
      <c r="M40" s="235"/>
      <c r="N40" s="235"/>
      <c r="O40" s="236"/>
      <c r="P40" s="77"/>
      <c r="Q40" s="77"/>
      <c r="R40" s="77"/>
    </row>
    <row r="41" spans="2:21" ht="18" customHeight="1">
      <c r="B41" s="233" t="s">
        <v>972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5">
        <v>0.03</v>
      </c>
      <c r="M41" s="235"/>
      <c r="N41" s="235"/>
      <c r="O41" s="236"/>
      <c r="P41" s="77"/>
      <c r="Q41" s="77"/>
      <c r="R41" s="77"/>
      <c r="S41" s="89"/>
    </row>
    <row r="42" spans="2:21" ht="18" customHeight="1">
      <c r="B42" s="233" t="s">
        <v>973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5">
        <v>2.5000000000000001E-2</v>
      </c>
      <c r="M42" s="235"/>
      <c r="N42" s="235"/>
      <c r="O42" s="236"/>
      <c r="P42" s="77"/>
      <c r="Q42" s="77"/>
      <c r="R42" s="77"/>
      <c r="S42" s="80"/>
    </row>
    <row r="43" spans="2:21" ht="18" customHeight="1">
      <c r="B43" s="229" t="s">
        <v>974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31">
        <f>L42+L41+L40</f>
        <v>6.1499999999999999E-2</v>
      </c>
      <c r="M43" s="231"/>
      <c r="N43" s="231"/>
      <c r="O43" s="232"/>
      <c r="P43" s="90"/>
      <c r="Q43" s="90"/>
      <c r="R43" s="90"/>
      <c r="S43" s="80"/>
    </row>
    <row r="44" spans="2:21" s="91" customFormat="1" ht="18" customHeight="1">
      <c r="B44" s="233" t="s">
        <v>975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5">
        <v>0</v>
      </c>
      <c r="M44" s="235"/>
      <c r="N44" s="235"/>
      <c r="O44" s="236"/>
      <c r="P44" s="77"/>
      <c r="Q44" s="77"/>
      <c r="R44" s="77"/>
    </row>
    <row r="45" spans="2:21" ht="18" customHeight="1">
      <c r="B45" s="229" t="s">
        <v>107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5">
        <f>L44+L43</f>
        <v>6.1499999999999999E-2</v>
      </c>
      <c r="M45" s="235"/>
      <c r="N45" s="235"/>
      <c r="O45" s="236"/>
      <c r="P45" s="77"/>
      <c r="Q45" s="77"/>
      <c r="R45" s="77"/>
      <c r="S45" s="80"/>
      <c r="U45" s="83"/>
    </row>
    <row r="46" spans="2:21" ht="9" customHeight="1">
      <c r="B46" s="220"/>
      <c r="C46" s="221"/>
      <c r="D46" s="221"/>
      <c r="E46" s="221"/>
      <c r="F46" s="221"/>
      <c r="G46" s="221"/>
      <c r="H46" s="221"/>
      <c r="I46" s="221"/>
      <c r="J46" s="221"/>
      <c r="K46" s="221"/>
      <c r="L46" s="222"/>
      <c r="M46" s="222"/>
      <c r="N46" s="222"/>
      <c r="O46" s="223"/>
      <c r="P46" s="77"/>
      <c r="Q46" s="77"/>
      <c r="R46" s="77"/>
      <c r="T46" s="84"/>
    </row>
    <row r="47" spans="2:21" ht="18" customHeight="1" thickBot="1">
      <c r="B47" s="224" t="s">
        <v>976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26">
        <f>L45</f>
        <v>6.1499999999999999E-2</v>
      </c>
      <c r="M47" s="226"/>
      <c r="N47" s="226"/>
      <c r="O47" s="227"/>
      <c r="P47" s="77"/>
      <c r="Q47" s="77"/>
      <c r="R47" s="77"/>
    </row>
    <row r="48" spans="2:21" ht="45" customHeight="1">
      <c r="B48" s="228" t="s">
        <v>977</v>
      </c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</row>
  </sheetData>
  <mergeCells count="74">
    <mergeCell ref="B2:O3"/>
    <mergeCell ref="B4:O4"/>
    <mergeCell ref="B5:C5"/>
    <mergeCell ref="D5:O5"/>
    <mergeCell ref="B6:C6"/>
    <mergeCell ref="D6:O6"/>
    <mergeCell ref="B7:O7"/>
    <mergeCell ref="B8:K8"/>
    <mergeCell ref="L8:O8"/>
    <mergeCell ref="B9:O9"/>
    <mergeCell ref="B10:K10"/>
    <mergeCell ref="L10:O10"/>
    <mergeCell ref="B17:K17"/>
    <mergeCell ref="L17:O17"/>
    <mergeCell ref="B11:K11"/>
    <mergeCell ref="L11:O11"/>
    <mergeCell ref="B12:K12"/>
    <mergeCell ref="L12:O12"/>
    <mergeCell ref="B13:K13"/>
    <mergeCell ref="L13:O13"/>
    <mergeCell ref="B14:K14"/>
    <mergeCell ref="L14:O14"/>
    <mergeCell ref="B15:O15"/>
    <mergeCell ref="B16:K16"/>
    <mergeCell ref="L16:O16"/>
    <mergeCell ref="B18:K18"/>
    <mergeCell ref="L18:O18"/>
    <mergeCell ref="B19:K19"/>
    <mergeCell ref="L19:O19"/>
    <mergeCell ref="B20:K20"/>
    <mergeCell ref="L20:O20"/>
    <mergeCell ref="B21:K21"/>
    <mergeCell ref="L21:O21"/>
    <mergeCell ref="B22:K22"/>
    <mergeCell ref="L22:O22"/>
    <mergeCell ref="B23:I23"/>
    <mergeCell ref="J23:K23"/>
    <mergeCell ref="L23:O23"/>
    <mergeCell ref="B24:K26"/>
    <mergeCell ref="L24:O24"/>
    <mergeCell ref="L25:O26"/>
    <mergeCell ref="B27:K29"/>
    <mergeCell ref="L27:O27"/>
    <mergeCell ref="L28:O28"/>
    <mergeCell ref="L29:O29"/>
    <mergeCell ref="B30:K30"/>
    <mergeCell ref="L30:O30"/>
    <mergeCell ref="B31:K31"/>
    <mergeCell ref="L31:O31"/>
    <mergeCell ref="B32:L33"/>
    <mergeCell ref="M32:O33"/>
    <mergeCell ref="B34:L34"/>
    <mergeCell ref="M34:O34"/>
    <mergeCell ref="B38:K38"/>
    <mergeCell ref="L38:O38"/>
    <mergeCell ref="B39:K39"/>
    <mergeCell ref="L39:O39"/>
    <mergeCell ref="B40:K40"/>
    <mergeCell ref="L40:O40"/>
    <mergeCell ref="B41:K41"/>
    <mergeCell ref="L41:O41"/>
    <mergeCell ref="B42:K42"/>
    <mergeCell ref="L42:O42"/>
    <mergeCell ref="B43:K43"/>
    <mergeCell ref="L43:O43"/>
    <mergeCell ref="B44:K44"/>
    <mergeCell ref="L44:O44"/>
    <mergeCell ref="B45:K45"/>
    <mergeCell ref="L45:O45"/>
    <mergeCell ref="B46:K46"/>
    <mergeCell ref="L46:O46"/>
    <mergeCell ref="B47:K47"/>
    <mergeCell ref="L47:O47"/>
    <mergeCell ref="B48:O4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606A-C709-4B63-9D7B-6FADBA09A928}">
  <dimension ref="B2:F47"/>
  <sheetViews>
    <sheetView topLeftCell="A30" workbookViewId="0">
      <selection activeCell="H21" sqref="H21"/>
    </sheetView>
  </sheetViews>
  <sheetFormatPr defaultRowHeight="14.4"/>
  <cols>
    <col min="1" max="2" width="8.796875" style="93"/>
    <col min="3" max="3" width="46" style="93" bestFit="1" customWidth="1"/>
    <col min="4" max="4" width="12.296875" style="93" customWidth="1"/>
    <col min="5" max="5" width="10.69921875" style="93" bestFit="1" customWidth="1"/>
    <col min="6" max="258" width="8.796875" style="93"/>
    <col min="259" max="259" width="46" style="93" bestFit="1" customWidth="1"/>
    <col min="260" max="260" width="11.796875" style="93" bestFit="1" customWidth="1"/>
    <col min="261" max="261" width="10.296875" style="93" bestFit="1" customWidth="1"/>
    <col min="262" max="514" width="8.796875" style="93"/>
    <col min="515" max="515" width="46" style="93" bestFit="1" customWidth="1"/>
    <col min="516" max="516" width="11.796875" style="93" bestFit="1" customWidth="1"/>
    <col min="517" max="517" width="10.296875" style="93" bestFit="1" customWidth="1"/>
    <col min="518" max="770" width="8.796875" style="93"/>
    <col min="771" max="771" width="46" style="93" bestFit="1" customWidth="1"/>
    <col min="772" max="772" width="11.796875" style="93" bestFit="1" customWidth="1"/>
    <col min="773" max="773" width="10.296875" style="93" bestFit="1" customWidth="1"/>
    <col min="774" max="1026" width="8.796875" style="93"/>
    <col min="1027" max="1027" width="46" style="93" bestFit="1" customWidth="1"/>
    <col min="1028" max="1028" width="11.796875" style="93" bestFit="1" customWidth="1"/>
    <col min="1029" max="1029" width="10.296875" style="93" bestFit="1" customWidth="1"/>
    <col min="1030" max="1282" width="8.796875" style="93"/>
    <col min="1283" max="1283" width="46" style="93" bestFit="1" customWidth="1"/>
    <col min="1284" max="1284" width="11.796875" style="93" bestFit="1" customWidth="1"/>
    <col min="1285" max="1285" width="10.296875" style="93" bestFit="1" customWidth="1"/>
    <col min="1286" max="1538" width="8.796875" style="93"/>
    <col min="1539" max="1539" width="46" style="93" bestFit="1" customWidth="1"/>
    <col min="1540" max="1540" width="11.796875" style="93" bestFit="1" customWidth="1"/>
    <col min="1541" max="1541" width="10.296875" style="93" bestFit="1" customWidth="1"/>
    <col min="1542" max="1794" width="8.796875" style="93"/>
    <col min="1795" max="1795" width="46" style="93" bestFit="1" customWidth="1"/>
    <col min="1796" max="1796" width="11.796875" style="93" bestFit="1" customWidth="1"/>
    <col min="1797" max="1797" width="10.296875" style="93" bestFit="1" customWidth="1"/>
    <col min="1798" max="2050" width="8.796875" style="93"/>
    <col min="2051" max="2051" width="46" style="93" bestFit="1" customWidth="1"/>
    <col min="2052" max="2052" width="11.796875" style="93" bestFit="1" customWidth="1"/>
    <col min="2053" max="2053" width="10.296875" style="93" bestFit="1" customWidth="1"/>
    <col min="2054" max="2306" width="8.796875" style="93"/>
    <col min="2307" max="2307" width="46" style="93" bestFit="1" customWidth="1"/>
    <col min="2308" max="2308" width="11.796875" style="93" bestFit="1" customWidth="1"/>
    <col min="2309" max="2309" width="10.296875" style="93" bestFit="1" customWidth="1"/>
    <col min="2310" max="2562" width="8.796875" style="93"/>
    <col min="2563" max="2563" width="46" style="93" bestFit="1" customWidth="1"/>
    <col min="2564" max="2564" width="11.796875" style="93" bestFit="1" customWidth="1"/>
    <col min="2565" max="2565" width="10.296875" style="93" bestFit="1" customWidth="1"/>
    <col min="2566" max="2818" width="8.796875" style="93"/>
    <col min="2819" max="2819" width="46" style="93" bestFit="1" customWidth="1"/>
    <col min="2820" max="2820" width="11.796875" style="93" bestFit="1" customWidth="1"/>
    <col min="2821" max="2821" width="10.296875" style="93" bestFit="1" customWidth="1"/>
    <col min="2822" max="3074" width="8.796875" style="93"/>
    <col min="3075" max="3075" width="46" style="93" bestFit="1" customWidth="1"/>
    <col min="3076" max="3076" width="11.796875" style="93" bestFit="1" customWidth="1"/>
    <col min="3077" max="3077" width="10.296875" style="93" bestFit="1" customWidth="1"/>
    <col min="3078" max="3330" width="8.796875" style="93"/>
    <col min="3331" max="3331" width="46" style="93" bestFit="1" customWidth="1"/>
    <col min="3332" max="3332" width="11.796875" style="93" bestFit="1" customWidth="1"/>
    <col min="3333" max="3333" width="10.296875" style="93" bestFit="1" customWidth="1"/>
    <col min="3334" max="3586" width="8.796875" style="93"/>
    <col min="3587" max="3587" width="46" style="93" bestFit="1" customWidth="1"/>
    <col min="3588" max="3588" width="11.796875" style="93" bestFit="1" customWidth="1"/>
    <col min="3589" max="3589" width="10.296875" style="93" bestFit="1" customWidth="1"/>
    <col min="3590" max="3842" width="8.796875" style="93"/>
    <col min="3843" max="3843" width="46" style="93" bestFit="1" customWidth="1"/>
    <col min="3844" max="3844" width="11.796875" style="93" bestFit="1" customWidth="1"/>
    <col min="3845" max="3845" width="10.296875" style="93" bestFit="1" customWidth="1"/>
    <col min="3846" max="4098" width="8.796875" style="93"/>
    <col min="4099" max="4099" width="46" style="93" bestFit="1" customWidth="1"/>
    <col min="4100" max="4100" width="11.796875" style="93" bestFit="1" customWidth="1"/>
    <col min="4101" max="4101" width="10.296875" style="93" bestFit="1" customWidth="1"/>
    <col min="4102" max="4354" width="8.796875" style="93"/>
    <col min="4355" max="4355" width="46" style="93" bestFit="1" customWidth="1"/>
    <col min="4356" max="4356" width="11.796875" style="93" bestFit="1" customWidth="1"/>
    <col min="4357" max="4357" width="10.296875" style="93" bestFit="1" customWidth="1"/>
    <col min="4358" max="4610" width="8.796875" style="93"/>
    <col min="4611" max="4611" width="46" style="93" bestFit="1" customWidth="1"/>
    <col min="4612" max="4612" width="11.796875" style="93" bestFit="1" customWidth="1"/>
    <col min="4613" max="4613" width="10.296875" style="93" bestFit="1" customWidth="1"/>
    <col min="4614" max="4866" width="8.796875" style="93"/>
    <col min="4867" max="4867" width="46" style="93" bestFit="1" customWidth="1"/>
    <col min="4868" max="4868" width="11.796875" style="93" bestFit="1" customWidth="1"/>
    <col min="4869" max="4869" width="10.296875" style="93" bestFit="1" customWidth="1"/>
    <col min="4870" max="5122" width="8.796875" style="93"/>
    <col min="5123" max="5123" width="46" style="93" bestFit="1" customWidth="1"/>
    <col min="5124" max="5124" width="11.796875" style="93" bestFit="1" customWidth="1"/>
    <col min="5125" max="5125" width="10.296875" style="93" bestFit="1" customWidth="1"/>
    <col min="5126" max="5378" width="8.796875" style="93"/>
    <col min="5379" max="5379" width="46" style="93" bestFit="1" customWidth="1"/>
    <col min="5380" max="5380" width="11.796875" style="93" bestFit="1" customWidth="1"/>
    <col min="5381" max="5381" width="10.296875" style="93" bestFit="1" customWidth="1"/>
    <col min="5382" max="5634" width="8.796875" style="93"/>
    <col min="5635" max="5635" width="46" style="93" bestFit="1" customWidth="1"/>
    <col min="5636" max="5636" width="11.796875" style="93" bestFit="1" customWidth="1"/>
    <col min="5637" max="5637" width="10.296875" style="93" bestFit="1" customWidth="1"/>
    <col min="5638" max="5890" width="8.796875" style="93"/>
    <col min="5891" max="5891" width="46" style="93" bestFit="1" customWidth="1"/>
    <col min="5892" max="5892" width="11.796875" style="93" bestFit="1" customWidth="1"/>
    <col min="5893" max="5893" width="10.296875" style="93" bestFit="1" customWidth="1"/>
    <col min="5894" max="6146" width="8.796875" style="93"/>
    <col min="6147" max="6147" width="46" style="93" bestFit="1" customWidth="1"/>
    <col min="6148" max="6148" width="11.796875" style="93" bestFit="1" customWidth="1"/>
    <col min="6149" max="6149" width="10.296875" style="93" bestFit="1" customWidth="1"/>
    <col min="6150" max="6402" width="8.796875" style="93"/>
    <col min="6403" max="6403" width="46" style="93" bestFit="1" customWidth="1"/>
    <col min="6404" max="6404" width="11.796875" style="93" bestFit="1" customWidth="1"/>
    <col min="6405" max="6405" width="10.296875" style="93" bestFit="1" customWidth="1"/>
    <col min="6406" max="6658" width="8.796875" style="93"/>
    <col min="6659" max="6659" width="46" style="93" bestFit="1" customWidth="1"/>
    <col min="6660" max="6660" width="11.796875" style="93" bestFit="1" customWidth="1"/>
    <col min="6661" max="6661" width="10.296875" style="93" bestFit="1" customWidth="1"/>
    <col min="6662" max="6914" width="8.796875" style="93"/>
    <col min="6915" max="6915" width="46" style="93" bestFit="1" customWidth="1"/>
    <col min="6916" max="6916" width="11.796875" style="93" bestFit="1" customWidth="1"/>
    <col min="6917" max="6917" width="10.296875" style="93" bestFit="1" customWidth="1"/>
    <col min="6918" max="7170" width="8.796875" style="93"/>
    <col min="7171" max="7171" width="46" style="93" bestFit="1" customWidth="1"/>
    <col min="7172" max="7172" width="11.796875" style="93" bestFit="1" customWidth="1"/>
    <col min="7173" max="7173" width="10.296875" style="93" bestFit="1" customWidth="1"/>
    <col min="7174" max="7426" width="8.796875" style="93"/>
    <col min="7427" max="7427" width="46" style="93" bestFit="1" customWidth="1"/>
    <col min="7428" max="7428" width="11.796875" style="93" bestFit="1" customWidth="1"/>
    <col min="7429" max="7429" width="10.296875" style="93" bestFit="1" customWidth="1"/>
    <col min="7430" max="7682" width="8.796875" style="93"/>
    <col min="7683" max="7683" width="46" style="93" bestFit="1" customWidth="1"/>
    <col min="7684" max="7684" width="11.796875" style="93" bestFit="1" customWidth="1"/>
    <col min="7685" max="7685" width="10.296875" style="93" bestFit="1" customWidth="1"/>
    <col min="7686" max="7938" width="8.796875" style="93"/>
    <col min="7939" max="7939" width="46" style="93" bestFit="1" customWidth="1"/>
    <col min="7940" max="7940" width="11.796875" style="93" bestFit="1" customWidth="1"/>
    <col min="7941" max="7941" width="10.296875" style="93" bestFit="1" customWidth="1"/>
    <col min="7942" max="8194" width="8.796875" style="93"/>
    <col min="8195" max="8195" width="46" style="93" bestFit="1" customWidth="1"/>
    <col min="8196" max="8196" width="11.796875" style="93" bestFit="1" customWidth="1"/>
    <col min="8197" max="8197" width="10.296875" style="93" bestFit="1" customWidth="1"/>
    <col min="8198" max="8450" width="8.796875" style="93"/>
    <col min="8451" max="8451" width="46" style="93" bestFit="1" customWidth="1"/>
    <col min="8452" max="8452" width="11.796875" style="93" bestFit="1" customWidth="1"/>
    <col min="8453" max="8453" width="10.296875" style="93" bestFit="1" customWidth="1"/>
    <col min="8454" max="8706" width="8.796875" style="93"/>
    <col min="8707" max="8707" width="46" style="93" bestFit="1" customWidth="1"/>
    <col min="8708" max="8708" width="11.796875" style="93" bestFit="1" customWidth="1"/>
    <col min="8709" max="8709" width="10.296875" style="93" bestFit="1" customWidth="1"/>
    <col min="8710" max="8962" width="8.796875" style="93"/>
    <col min="8963" max="8963" width="46" style="93" bestFit="1" customWidth="1"/>
    <col min="8964" max="8964" width="11.796875" style="93" bestFit="1" customWidth="1"/>
    <col min="8965" max="8965" width="10.296875" style="93" bestFit="1" customWidth="1"/>
    <col min="8966" max="9218" width="8.796875" style="93"/>
    <col min="9219" max="9219" width="46" style="93" bestFit="1" customWidth="1"/>
    <col min="9220" max="9220" width="11.796875" style="93" bestFit="1" customWidth="1"/>
    <col min="9221" max="9221" width="10.296875" style="93" bestFit="1" customWidth="1"/>
    <col min="9222" max="9474" width="8.796875" style="93"/>
    <col min="9475" max="9475" width="46" style="93" bestFit="1" customWidth="1"/>
    <col min="9476" max="9476" width="11.796875" style="93" bestFit="1" customWidth="1"/>
    <col min="9477" max="9477" width="10.296875" style="93" bestFit="1" customWidth="1"/>
    <col min="9478" max="9730" width="8.796875" style="93"/>
    <col min="9731" max="9731" width="46" style="93" bestFit="1" customWidth="1"/>
    <col min="9732" max="9732" width="11.796875" style="93" bestFit="1" customWidth="1"/>
    <col min="9733" max="9733" width="10.296875" style="93" bestFit="1" customWidth="1"/>
    <col min="9734" max="9986" width="8.796875" style="93"/>
    <col min="9987" max="9987" width="46" style="93" bestFit="1" customWidth="1"/>
    <col min="9988" max="9988" width="11.796875" style="93" bestFit="1" customWidth="1"/>
    <col min="9989" max="9989" width="10.296875" style="93" bestFit="1" customWidth="1"/>
    <col min="9990" max="10242" width="8.796875" style="93"/>
    <col min="10243" max="10243" width="46" style="93" bestFit="1" customWidth="1"/>
    <col min="10244" max="10244" width="11.796875" style="93" bestFit="1" customWidth="1"/>
    <col min="10245" max="10245" width="10.296875" style="93" bestFit="1" customWidth="1"/>
    <col min="10246" max="10498" width="8.796875" style="93"/>
    <col min="10499" max="10499" width="46" style="93" bestFit="1" customWidth="1"/>
    <col min="10500" max="10500" width="11.796875" style="93" bestFit="1" customWidth="1"/>
    <col min="10501" max="10501" width="10.296875" style="93" bestFit="1" customWidth="1"/>
    <col min="10502" max="10754" width="8.796875" style="93"/>
    <col min="10755" max="10755" width="46" style="93" bestFit="1" customWidth="1"/>
    <col min="10756" max="10756" width="11.796875" style="93" bestFit="1" customWidth="1"/>
    <col min="10757" max="10757" width="10.296875" style="93" bestFit="1" customWidth="1"/>
    <col min="10758" max="11010" width="8.796875" style="93"/>
    <col min="11011" max="11011" width="46" style="93" bestFit="1" customWidth="1"/>
    <col min="11012" max="11012" width="11.796875" style="93" bestFit="1" customWidth="1"/>
    <col min="11013" max="11013" width="10.296875" style="93" bestFit="1" customWidth="1"/>
    <col min="11014" max="11266" width="8.796875" style="93"/>
    <col min="11267" max="11267" width="46" style="93" bestFit="1" customWidth="1"/>
    <col min="11268" max="11268" width="11.796875" style="93" bestFit="1" customWidth="1"/>
    <col min="11269" max="11269" width="10.296875" style="93" bestFit="1" customWidth="1"/>
    <col min="11270" max="11522" width="8.796875" style="93"/>
    <col min="11523" max="11523" width="46" style="93" bestFit="1" customWidth="1"/>
    <col min="11524" max="11524" width="11.796875" style="93" bestFit="1" customWidth="1"/>
    <col min="11525" max="11525" width="10.296875" style="93" bestFit="1" customWidth="1"/>
    <col min="11526" max="11778" width="8.796875" style="93"/>
    <col min="11779" max="11779" width="46" style="93" bestFit="1" customWidth="1"/>
    <col min="11780" max="11780" width="11.796875" style="93" bestFit="1" customWidth="1"/>
    <col min="11781" max="11781" width="10.296875" style="93" bestFit="1" customWidth="1"/>
    <col min="11782" max="12034" width="8.796875" style="93"/>
    <col min="12035" max="12035" width="46" style="93" bestFit="1" customWidth="1"/>
    <col min="12036" max="12036" width="11.796875" style="93" bestFit="1" customWidth="1"/>
    <col min="12037" max="12037" width="10.296875" style="93" bestFit="1" customWidth="1"/>
    <col min="12038" max="12290" width="8.796875" style="93"/>
    <col min="12291" max="12291" width="46" style="93" bestFit="1" customWidth="1"/>
    <col min="12292" max="12292" width="11.796875" style="93" bestFit="1" customWidth="1"/>
    <col min="12293" max="12293" width="10.296875" style="93" bestFit="1" customWidth="1"/>
    <col min="12294" max="12546" width="8.796875" style="93"/>
    <col min="12547" max="12547" width="46" style="93" bestFit="1" customWidth="1"/>
    <col min="12548" max="12548" width="11.796875" style="93" bestFit="1" customWidth="1"/>
    <col min="12549" max="12549" width="10.296875" style="93" bestFit="1" customWidth="1"/>
    <col min="12550" max="12802" width="8.796875" style="93"/>
    <col min="12803" max="12803" width="46" style="93" bestFit="1" customWidth="1"/>
    <col min="12804" max="12804" width="11.796875" style="93" bestFit="1" customWidth="1"/>
    <col min="12805" max="12805" width="10.296875" style="93" bestFit="1" customWidth="1"/>
    <col min="12806" max="13058" width="8.796875" style="93"/>
    <col min="13059" max="13059" width="46" style="93" bestFit="1" customWidth="1"/>
    <col min="13060" max="13060" width="11.796875" style="93" bestFit="1" customWidth="1"/>
    <col min="13061" max="13061" width="10.296875" style="93" bestFit="1" customWidth="1"/>
    <col min="13062" max="13314" width="8.796875" style="93"/>
    <col min="13315" max="13315" width="46" style="93" bestFit="1" customWidth="1"/>
    <col min="13316" max="13316" width="11.796875" style="93" bestFit="1" customWidth="1"/>
    <col min="13317" max="13317" width="10.296875" style="93" bestFit="1" customWidth="1"/>
    <col min="13318" max="13570" width="8.796875" style="93"/>
    <col min="13571" max="13571" width="46" style="93" bestFit="1" customWidth="1"/>
    <col min="13572" max="13572" width="11.796875" style="93" bestFit="1" customWidth="1"/>
    <col min="13573" max="13573" width="10.296875" style="93" bestFit="1" customWidth="1"/>
    <col min="13574" max="13826" width="8.796875" style="93"/>
    <col min="13827" max="13827" width="46" style="93" bestFit="1" customWidth="1"/>
    <col min="13828" max="13828" width="11.796875" style="93" bestFit="1" customWidth="1"/>
    <col min="13829" max="13829" width="10.296875" style="93" bestFit="1" customWidth="1"/>
    <col min="13830" max="14082" width="8.796875" style="93"/>
    <col min="14083" max="14083" width="46" style="93" bestFit="1" customWidth="1"/>
    <col min="14084" max="14084" width="11.796875" style="93" bestFit="1" customWidth="1"/>
    <col min="14085" max="14085" width="10.296875" style="93" bestFit="1" customWidth="1"/>
    <col min="14086" max="14338" width="8.796875" style="93"/>
    <col min="14339" max="14339" width="46" style="93" bestFit="1" customWidth="1"/>
    <col min="14340" max="14340" width="11.796875" style="93" bestFit="1" customWidth="1"/>
    <col min="14341" max="14341" width="10.296875" style="93" bestFit="1" customWidth="1"/>
    <col min="14342" max="14594" width="8.796875" style="93"/>
    <col min="14595" max="14595" width="46" style="93" bestFit="1" customWidth="1"/>
    <col min="14596" max="14596" width="11.796875" style="93" bestFit="1" customWidth="1"/>
    <col min="14597" max="14597" width="10.296875" style="93" bestFit="1" customWidth="1"/>
    <col min="14598" max="14850" width="8.796875" style="93"/>
    <col min="14851" max="14851" width="46" style="93" bestFit="1" customWidth="1"/>
    <col min="14852" max="14852" width="11.796875" style="93" bestFit="1" customWidth="1"/>
    <col min="14853" max="14853" width="10.296875" style="93" bestFit="1" customWidth="1"/>
    <col min="14854" max="15106" width="8.796875" style="93"/>
    <col min="15107" max="15107" width="46" style="93" bestFit="1" customWidth="1"/>
    <col min="15108" max="15108" width="11.796875" style="93" bestFit="1" customWidth="1"/>
    <col min="15109" max="15109" width="10.296875" style="93" bestFit="1" customWidth="1"/>
    <col min="15110" max="15362" width="8.796875" style="93"/>
    <col min="15363" max="15363" width="46" style="93" bestFit="1" customWidth="1"/>
    <col min="15364" max="15364" width="11.796875" style="93" bestFit="1" customWidth="1"/>
    <col min="15365" max="15365" width="10.296875" style="93" bestFit="1" customWidth="1"/>
    <col min="15366" max="15618" width="8.796875" style="93"/>
    <col min="15619" max="15619" width="46" style="93" bestFit="1" customWidth="1"/>
    <col min="15620" max="15620" width="11.796875" style="93" bestFit="1" customWidth="1"/>
    <col min="15621" max="15621" width="10.296875" style="93" bestFit="1" customWidth="1"/>
    <col min="15622" max="15874" width="8.796875" style="93"/>
    <col min="15875" max="15875" width="46" style="93" bestFit="1" customWidth="1"/>
    <col min="15876" max="15876" width="11.796875" style="93" bestFit="1" customWidth="1"/>
    <col min="15877" max="15877" width="10.296875" style="93" bestFit="1" customWidth="1"/>
    <col min="15878" max="16130" width="8.796875" style="93"/>
    <col min="16131" max="16131" width="46" style="93" bestFit="1" customWidth="1"/>
    <col min="16132" max="16132" width="11.796875" style="93" bestFit="1" customWidth="1"/>
    <col min="16133" max="16133" width="10.296875" style="93" bestFit="1" customWidth="1"/>
    <col min="16134" max="16384" width="8.796875" style="93"/>
  </cols>
  <sheetData>
    <row r="2" spans="2:6" ht="15" customHeight="1">
      <c r="B2" s="316" t="s">
        <v>978</v>
      </c>
      <c r="C2" s="316"/>
      <c r="D2" s="316"/>
      <c r="E2" s="316"/>
      <c r="F2" s="92"/>
    </row>
    <row r="4" spans="2:6" ht="15" customHeight="1">
      <c r="B4" s="314" t="s">
        <v>979</v>
      </c>
      <c r="C4" s="315"/>
      <c r="D4" s="314" t="s">
        <v>980</v>
      </c>
      <c r="E4" s="315"/>
    </row>
    <row r="5" spans="2:6" ht="15" customHeight="1">
      <c r="B5" s="94" t="s">
        <v>9</v>
      </c>
      <c r="C5" s="94" t="s">
        <v>11</v>
      </c>
      <c r="D5" s="94" t="s">
        <v>981</v>
      </c>
      <c r="E5" s="94" t="s">
        <v>982</v>
      </c>
    </row>
    <row r="6" spans="2:6" ht="15" customHeight="1">
      <c r="B6" s="95" t="s">
        <v>983</v>
      </c>
      <c r="C6" s="96" t="s">
        <v>984</v>
      </c>
      <c r="D6" s="97">
        <v>0.2</v>
      </c>
      <c r="E6" s="97">
        <v>0.2</v>
      </c>
    </row>
    <row r="7" spans="2:6" ht="15" customHeight="1">
      <c r="B7" s="95" t="s">
        <v>985</v>
      </c>
      <c r="C7" s="96" t="s">
        <v>986</v>
      </c>
      <c r="D7" s="97">
        <v>1.4999999999999999E-2</v>
      </c>
      <c r="E7" s="97">
        <v>1.4999999999999999E-2</v>
      </c>
    </row>
    <row r="8" spans="2:6" ht="15" customHeight="1">
      <c r="B8" s="95" t="s">
        <v>987</v>
      </c>
      <c r="C8" s="96" t="s">
        <v>988</v>
      </c>
      <c r="D8" s="97">
        <v>0.01</v>
      </c>
      <c r="E8" s="97">
        <v>0.01</v>
      </c>
    </row>
    <row r="9" spans="2:6" ht="15" customHeight="1">
      <c r="B9" s="95" t="s">
        <v>989</v>
      </c>
      <c r="C9" s="96" t="s">
        <v>990</v>
      </c>
      <c r="D9" s="97">
        <v>2E-3</v>
      </c>
      <c r="E9" s="97">
        <v>2E-3</v>
      </c>
    </row>
    <row r="10" spans="2:6" ht="15" customHeight="1">
      <c r="B10" s="95" t="s">
        <v>991</v>
      </c>
      <c r="C10" s="96" t="s">
        <v>992</v>
      </c>
      <c r="D10" s="97">
        <v>6.0000000000000001E-3</v>
      </c>
      <c r="E10" s="97">
        <v>6.0000000000000001E-3</v>
      </c>
    </row>
    <row r="11" spans="2:6" ht="15" customHeight="1">
      <c r="B11" s="95" t="s">
        <v>993</v>
      </c>
      <c r="C11" s="96" t="s">
        <v>994</v>
      </c>
      <c r="D11" s="97">
        <v>2.5000000000000001E-2</v>
      </c>
      <c r="E11" s="97">
        <v>2.5000000000000001E-2</v>
      </c>
    </row>
    <row r="12" spans="2:6" ht="15" customHeight="1">
      <c r="B12" s="95" t="s">
        <v>995</v>
      </c>
      <c r="C12" s="96" t="s">
        <v>996</v>
      </c>
      <c r="D12" s="97">
        <v>0.03</v>
      </c>
      <c r="E12" s="97">
        <v>0.03</v>
      </c>
    </row>
    <row r="13" spans="2:6" ht="15" customHeight="1">
      <c r="B13" s="95" t="s">
        <v>997</v>
      </c>
      <c r="C13" s="96" t="s">
        <v>998</v>
      </c>
      <c r="D13" s="97">
        <v>0.08</v>
      </c>
      <c r="E13" s="97">
        <v>0.08</v>
      </c>
    </row>
    <row r="14" spans="2:6" ht="15" customHeight="1">
      <c r="B14" s="95" t="s">
        <v>999</v>
      </c>
      <c r="C14" s="96" t="s">
        <v>1000</v>
      </c>
      <c r="D14" s="97">
        <v>0</v>
      </c>
      <c r="E14" s="97">
        <v>0</v>
      </c>
    </row>
    <row r="15" spans="2:6" ht="15" customHeight="1">
      <c r="B15" s="310" t="s">
        <v>1001</v>
      </c>
      <c r="C15" s="311"/>
      <c r="D15" s="98">
        <f>SUM(D6:D14)</f>
        <v>0.36800000000000005</v>
      </c>
      <c r="E15" s="98">
        <f>SUM(E6:E14)</f>
        <v>0.36800000000000005</v>
      </c>
    </row>
    <row r="17" spans="2:5" ht="15" customHeight="1">
      <c r="B17" s="314" t="s">
        <v>1002</v>
      </c>
      <c r="C17" s="315"/>
      <c r="D17" s="314" t="s">
        <v>980</v>
      </c>
      <c r="E17" s="315"/>
    </row>
    <row r="18" spans="2:5">
      <c r="B18" s="94" t="s">
        <v>9</v>
      </c>
      <c r="C18" s="94" t="s">
        <v>11</v>
      </c>
      <c r="D18" s="94" t="s">
        <v>981</v>
      </c>
      <c r="E18" s="94" t="s">
        <v>982</v>
      </c>
    </row>
    <row r="19" spans="2:5">
      <c r="B19" s="94"/>
      <c r="C19" s="94"/>
      <c r="D19" s="94"/>
      <c r="E19" s="94"/>
    </row>
    <row r="20" spans="2:5">
      <c r="B20" s="95" t="s">
        <v>1003</v>
      </c>
      <c r="C20" s="96" t="s">
        <v>1004</v>
      </c>
      <c r="D20" s="97">
        <v>0.18060000000000001</v>
      </c>
      <c r="E20" s="97" t="s">
        <v>1005</v>
      </c>
    </row>
    <row r="21" spans="2:5">
      <c r="B21" s="95" t="s">
        <v>1006</v>
      </c>
      <c r="C21" s="96" t="s">
        <v>1007</v>
      </c>
      <c r="D21" s="97">
        <v>4.3299999999999998E-2</v>
      </c>
      <c r="E21" s="97" t="s">
        <v>1005</v>
      </c>
    </row>
    <row r="22" spans="2:5">
      <c r="B22" s="95" t="s">
        <v>1008</v>
      </c>
      <c r="C22" s="96" t="s">
        <v>1009</v>
      </c>
      <c r="D22" s="97">
        <v>8.8000000000000005E-3</v>
      </c>
      <c r="E22" s="97">
        <v>6.7000000000000002E-3</v>
      </c>
    </row>
    <row r="23" spans="2:5">
      <c r="B23" s="95" t="s">
        <v>1010</v>
      </c>
      <c r="C23" s="96" t="s">
        <v>1011</v>
      </c>
      <c r="D23" s="97">
        <v>0.1087</v>
      </c>
      <c r="E23" s="97">
        <v>8.3299999999999999E-2</v>
      </c>
    </row>
    <row r="24" spans="2:5">
      <c r="B24" s="95" t="s">
        <v>1012</v>
      </c>
      <c r="C24" s="96" t="s">
        <v>1013</v>
      </c>
      <c r="D24" s="97">
        <v>6.9999999999999999E-4</v>
      </c>
      <c r="E24" s="97">
        <v>5.9999999999999995E-4</v>
      </c>
    </row>
    <row r="25" spans="2:5">
      <c r="B25" s="95" t="s">
        <v>1014</v>
      </c>
      <c r="C25" s="96" t="s">
        <v>1015</v>
      </c>
      <c r="D25" s="97">
        <v>7.1999999999999998E-3</v>
      </c>
      <c r="E25" s="97">
        <v>5.5999999999999999E-3</v>
      </c>
    </row>
    <row r="26" spans="2:5">
      <c r="B26" s="95" t="s">
        <v>1016</v>
      </c>
      <c r="C26" s="96" t="s">
        <v>1017</v>
      </c>
      <c r="D26" s="97">
        <v>2.1899999999999999E-2</v>
      </c>
      <c r="E26" s="97" t="s">
        <v>1005</v>
      </c>
    </row>
    <row r="27" spans="2:5">
      <c r="B27" s="95" t="s">
        <v>1018</v>
      </c>
      <c r="C27" s="96" t="s">
        <v>1019</v>
      </c>
      <c r="D27" s="97">
        <v>1.1000000000000001E-3</v>
      </c>
      <c r="E27" s="97">
        <v>8.0000000000000004E-4</v>
      </c>
    </row>
    <row r="28" spans="2:5">
      <c r="B28" s="95" t="s">
        <v>1020</v>
      </c>
      <c r="C28" s="96" t="s">
        <v>1021</v>
      </c>
      <c r="D28" s="97">
        <v>7.9600000000000004E-2</v>
      </c>
      <c r="E28" s="97">
        <v>6.0999999999999999E-2</v>
      </c>
    </row>
    <row r="29" spans="2:5">
      <c r="B29" s="95" t="s">
        <v>1022</v>
      </c>
      <c r="C29" s="99" t="s">
        <v>1023</v>
      </c>
      <c r="D29" s="100">
        <v>2.9999999999999997E-4</v>
      </c>
      <c r="E29" s="100">
        <v>2.9999999999999997E-4</v>
      </c>
    </row>
    <row r="30" spans="2:5">
      <c r="B30" s="310" t="s">
        <v>1024</v>
      </c>
      <c r="C30" s="311"/>
      <c r="D30" s="98">
        <f>SUM(D20:D29)</f>
        <v>0.45219999999999999</v>
      </c>
      <c r="E30" s="98">
        <f>SUM(E20:E29)</f>
        <v>0.15829999999999997</v>
      </c>
    </row>
    <row r="32" spans="2:5">
      <c r="B32" s="314" t="s">
        <v>1025</v>
      </c>
      <c r="C32" s="315"/>
      <c r="D32" s="314" t="s">
        <v>980</v>
      </c>
      <c r="E32" s="315"/>
    </row>
    <row r="33" spans="2:5">
      <c r="B33" s="94" t="s">
        <v>9</v>
      </c>
      <c r="C33" s="94" t="s">
        <v>11</v>
      </c>
      <c r="D33" s="94" t="s">
        <v>981</v>
      </c>
      <c r="E33" s="94" t="s">
        <v>982</v>
      </c>
    </row>
    <row r="34" spans="2:5">
      <c r="B34" s="95" t="s">
        <v>1026</v>
      </c>
      <c r="C34" s="96" t="s">
        <v>1027</v>
      </c>
      <c r="D34" s="97">
        <v>4.7300000000000002E-2</v>
      </c>
      <c r="E34" s="97">
        <v>3.6299999999999999E-2</v>
      </c>
    </row>
    <row r="35" spans="2:5">
      <c r="B35" s="95" t="s">
        <v>1028</v>
      </c>
      <c r="C35" s="96" t="s">
        <v>1029</v>
      </c>
      <c r="D35" s="97">
        <v>1.1000000000000001E-3</v>
      </c>
      <c r="E35" s="97">
        <v>8.9999999999999998E-4</v>
      </c>
    </row>
    <row r="36" spans="2:5">
      <c r="B36" s="95" t="s">
        <v>1030</v>
      </c>
      <c r="C36" s="96" t="s">
        <v>1031</v>
      </c>
      <c r="D36" s="97">
        <v>5.3100000000000001E-2</v>
      </c>
      <c r="E36" s="97">
        <v>4.07E-2</v>
      </c>
    </row>
    <row r="37" spans="2:5">
      <c r="B37" s="95" t="s">
        <v>1032</v>
      </c>
      <c r="C37" s="96" t="s">
        <v>1033</v>
      </c>
      <c r="D37" s="97">
        <v>3.7600000000000001E-2</v>
      </c>
      <c r="E37" s="97">
        <v>2.8799999999999999E-2</v>
      </c>
    </row>
    <row r="38" spans="2:5">
      <c r="B38" s="95" t="s">
        <v>1034</v>
      </c>
      <c r="C38" s="96" t="s">
        <v>1035</v>
      </c>
      <c r="D38" s="97">
        <v>4.0000000000000001E-3</v>
      </c>
      <c r="E38" s="97">
        <v>3.0999999999999999E-3</v>
      </c>
    </row>
    <row r="39" spans="2:5">
      <c r="B39" s="310" t="s">
        <v>1036</v>
      </c>
      <c r="C39" s="311"/>
      <c r="D39" s="98">
        <f>SUM(D34:D38)</f>
        <v>0.1431</v>
      </c>
      <c r="E39" s="98">
        <f>SUM(E34:E38)</f>
        <v>0.10979999999999999</v>
      </c>
    </row>
    <row r="41" spans="2:5">
      <c r="B41" s="314" t="s">
        <v>1037</v>
      </c>
      <c r="C41" s="315"/>
      <c r="D41" s="314" t="s">
        <v>980</v>
      </c>
      <c r="E41" s="315"/>
    </row>
    <row r="42" spans="2:5">
      <c r="B42" s="94" t="s">
        <v>9</v>
      </c>
      <c r="C42" s="94" t="s">
        <v>11</v>
      </c>
      <c r="D42" s="94" t="s">
        <v>981</v>
      </c>
      <c r="E42" s="94" t="s">
        <v>982</v>
      </c>
    </row>
    <row r="43" spans="2:5">
      <c r="B43" s="95" t="s">
        <v>1038</v>
      </c>
      <c r="C43" s="96" t="s">
        <v>1039</v>
      </c>
      <c r="D43" s="97">
        <v>0.16639999999999999</v>
      </c>
      <c r="E43" s="97">
        <v>5.8299999999999998E-2</v>
      </c>
    </row>
    <row r="44" spans="2:5">
      <c r="B44" s="95" t="s">
        <v>1040</v>
      </c>
      <c r="C44" s="96" t="s">
        <v>1041</v>
      </c>
      <c r="D44" s="97">
        <v>4.1999999999999997E-3</v>
      </c>
      <c r="E44" s="97">
        <v>3.2000000000000002E-3</v>
      </c>
    </row>
    <row r="45" spans="2:5">
      <c r="B45" s="310" t="s">
        <v>1042</v>
      </c>
      <c r="C45" s="311"/>
      <c r="D45" s="98">
        <f>SUM(D43:D44)</f>
        <v>0.1706</v>
      </c>
      <c r="E45" s="98">
        <f>SUM(E43:E44)</f>
        <v>6.1499999999999999E-2</v>
      </c>
    </row>
    <row r="46" spans="2:5">
      <c r="B46" s="101"/>
      <c r="C46" s="101"/>
      <c r="D46" s="101"/>
    </row>
    <row r="47" spans="2:5" ht="21">
      <c r="B47" s="312" t="s">
        <v>1043</v>
      </c>
      <c r="C47" s="313"/>
      <c r="D47" s="102">
        <f>D15+D30+D39+D45+0.0044</f>
        <v>1.1383000000000001</v>
      </c>
      <c r="E47" s="102">
        <f>E15+E30+E39+E45</f>
        <v>0.6976</v>
      </c>
    </row>
  </sheetData>
  <mergeCells count="14">
    <mergeCell ref="B2:E2"/>
    <mergeCell ref="B4:C4"/>
    <mergeCell ref="D4:E4"/>
    <mergeCell ref="B15:C15"/>
    <mergeCell ref="B17:C17"/>
    <mergeCell ref="D17:E17"/>
    <mergeCell ref="B45:C45"/>
    <mergeCell ref="B47:C47"/>
    <mergeCell ref="B30:C30"/>
    <mergeCell ref="B32:C32"/>
    <mergeCell ref="D32:E32"/>
    <mergeCell ref="B39:C39"/>
    <mergeCell ref="B41:C41"/>
    <mergeCell ref="D41:E4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35365-E000-4FEB-B53A-C486C102CB8C}">
  <dimension ref="A1:R21"/>
  <sheetViews>
    <sheetView tabSelected="1" topLeftCell="A7" zoomScaleNormal="100" workbookViewId="0">
      <selection activeCell="E19" sqref="E19"/>
    </sheetView>
  </sheetViews>
  <sheetFormatPr defaultRowHeight="13.8"/>
  <cols>
    <col min="2" max="2" width="25.5" customWidth="1"/>
    <col min="3" max="3" width="15.296875" customWidth="1"/>
    <col min="4" max="4" width="11.69921875" customWidth="1"/>
    <col min="5" max="5" width="18.09765625" customWidth="1"/>
    <col min="6" max="6" width="15.796875" customWidth="1"/>
    <col min="7" max="7" width="13.8984375" customWidth="1"/>
    <col min="8" max="8" width="13.796875" customWidth="1"/>
    <col min="9" max="9" width="16.19921875" customWidth="1"/>
    <col min="10" max="10" width="13.8984375" customWidth="1"/>
  </cols>
  <sheetData>
    <row r="1" spans="1:18" ht="13.8" customHeight="1"/>
    <row r="2" spans="1:18" ht="23.4" customHeight="1">
      <c r="E2" s="320" t="s">
        <v>1045</v>
      </c>
      <c r="F2" s="320"/>
      <c r="G2" s="320"/>
      <c r="H2" s="320"/>
      <c r="I2" s="118"/>
      <c r="J2" s="118"/>
      <c r="K2" s="118"/>
      <c r="L2" s="118"/>
      <c r="M2" s="118"/>
    </row>
    <row r="3" spans="1:18" ht="28.8" customHeight="1">
      <c r="D3" s="121" t="s">
        <v>1044</v>
      </c>
      <c r="E3" s="320" t="s">
        <v>1046</v>
      </c>
      <c r="F3" s="320"/>
      <c r="G3" s="320"/>
      <c r="H3" s="320"/>
      <c r="I3" s="322" t="s">
        <v>1048</v>
      </c>
      <c r="J3" s="322"/>
      <c r="K3" s="322"/>
      <c r="L3" s="118"/>
      <c r="M3" s="118"/>
      <c r="N3" s="120"/>
      <c r="O3" s="120"/>
      <c r="P3" s="120"/>
      <c r="Q3" s="120"/>
      <c r="R3" s="120"/>
    </row>
    <row r="4" spans="1:18" ht="63.6" customHeight="1">
      <c r="D4" s="122">
        <v>0.2288</v>
      </c>
      <c r="E4" s="321" t="s">
        <v>1047</v>
      </c>
      <c r="F4" s="321"/>
      <c r="G4" s="321"/>
      <c r="H4" s="321"/>
      <c r="I4" s="322"/>
      <c r="J4" s="322"/>
      <c r="K4" s="322"/>
      <c r="L4" s="119"/>
      <c r="M4" s="119"/>
      <c r="N4" s="120"/>
      <c r="O4" s="120"/>
      <c r="P4" s="120"/>
      <c r="Q4" s="120"/>
      <c r="R4" s="120"/>
    </row>
    <row r="5" spans="1:18" ht="13.8" customHeight="1">
      <c r="A5" s="318" t="s">
        <v>1050</v>
      </c>
      <c r="B5" s="319"/>
      <c r="C5" s="319"/>
      <c r="D5" s="319"/>
      <c r="E5" s="319"/>
      <c r="F5" s="319"/>
      <c r="G5" s="319"/>
      <c r="H5" s="319"/>
      <c r="I5" s="319"/>
      <c r="J5" s="319"/>
      <c r="K5" s="123"/>
      <c r="L5" s="123"/>
      <c r="M5" s="123"/>
      <c r="N5" s="123"/>
      <c r="O5" s="123"/>
      <c r="P5" s="123"/>
      <c r="Q5" s="123"/>
      <c r="R5" s="123"/>
    </row>
    <row r="6" spans="1:18">
      <c r="A6" s="105" t="s">
        <v>1049</v>
      </c>
      <c r="B6" s="105" t="s">
        <v>1051</v>
      </c>
      <c r="C6" s="105" t="s">
        <v>1052</v>
      </c>
      <c r="D6" s="317" t="s">
        <v>1053</v>
      </c>
      <c r="E6" s="317"/>
      <c r="F6" s="317"/>
      <c r="G6" s="317"/>
      <c r="H6" s="317"/>
      <c r="I6" s="317"/>
      <c r="J6" s="317"/>
    </row>
    <row r="7" spans="1:18">
      <c r="A7" s="104"/>
      <c r="B7" s="104"/>
      <c r="C7" s="104"/>
      <c r="D7" s="104"/>
      <c r="E7" s="117">
        <v>1</v>
      </c>
      <c r="F7" s="117">
        <v>2</v>
      </c>
      <c r="G7" s="117">
        <v>3</v>
      </c>
      <c r="H7" s="117">
        <v>4</v>
      </c>
      <c r="I7" s="117">
        <v>5</v>
      </c>
      <c r="J7" s="117">
        <v>6</v>
      </c>
    </row>
    <row r="8" spans="1:18" ht="31.2" customHeight="1">
      <c r="A8" s="323">
        <v>1</v>
      </c>
      <c r="B8" s="324" t="s">
        <v>96</v>
      </c>
      <c r="C8" s="325">
        <f>LAFAYETE!H33</f>
        <v>121769.95</v>
      </c>
      <c r="D8" s="107" t="s">
        <v>1061</v>
      </c>
      <c r="E8" s="108">
        <v>0.33</v>
      </c>
      <c r="F8" s="108">
        <v>0.33</v>
      </c>
      <c r="G8" s="108">
        <v>0.34</v>
      </c>
      <c r="H8" s="105"/>
      <c r="I8" s="105"/>
      <c r="J8" s="105"/>
    </row>
    <row r="9" spans="1:18" ht="27" customHeight="1">
      <c r="A9" s="323"/>
      <c r="B9" s="324"/>
      <c r="C9" s="323"/>
      <c r="D9" s="109" t="s">
        <v>1062</v>
      </c>
      <c r="E9" s="110">
        <f>(C8*E8)</f>
        <v>40184.083500000001</v>
      </c>
      <c r="F9" s="110">
        <f>C8*F8</f>
        <v>40184.083500000001</v>
      </c>
      <c r="G9" s="110">
        <f>C8*G8</f>
        <v>41401.783000000003</v>
      </c>
      <c r="H9" s="105"/>
      <c r="I9" s="105"/>
      <c r="J9" s="105"/>
    </row>
    <row r="10" spans="1:18" ht="28.2" customHeight="1">
      <c r="A10" s="323">
        <v>2</v>
      </c>
      <c r="B10" s="324" t="s">
        <v>1054</v>
      </c>
      <c r="C10" s="326">
        <f>SUM('MOCINHA BARBALHO'!H47:J47)</f>
        <v>82250.58</v>
      </c>
      <c r="D10" s="107" t="s">
        <v>1061</v>
      </c>
      <c r="E10" s="108">
        <v>0.33</v>
      </c>
      <c r="F10" s="108">
        <v>0.33</v>
      </c>
      <c r="G10" s="108">
        <v>0.34</v>
      </c>
      <c r="H10" s="105"/>
      <c r="I10" s="105"/>
      <c r="J10" s="105"/>
    </row>
    <row r="11" spans="1:18" ht="23.4" customHeight="1">
      <c r="A11" s="323"/>
      <c r="B11" s="324"/>
      <c r="C11" s="327"/>
      <c r="D11" s="109" t="s">
        <v>1062</v>
      </c>
      <c r="E11" s="110">
        <f>C10*E10</f>
        <v>27142.691400000003</v>
      </c>
      <c r="F11" s="110">
        <f>C10*F10</f>
        <v>27142.691400000003</v>
      </c>
      <c r="G11" s="110">
        <f>C10*G10</f>
        <v>27965.197200000002</v>
      </c>
      <c r="H11" s="105"/>
      <c r="I11" s="105"/>
      <c r="J11" s="105"/>
    </row>
    <row r="12" spans="1:18" ht="24.6" customHeight="1">
      <c r="A12" s="323">
        <v>3</v>
      </c>
      <c r="B12" s="324" t="s">
        <v>1055</v>
      </c>
      <c r="C12" s="325">
        <f>SUM('VOVÓ PESSOINHA'!H68:J68)</f>
        <v>228460.68000000002</v>
      </c>
      <c r="D12" s="107" t="s">
        <v>1061</v>
      </c>
      <c r="E12" s="108">
        <v>0.33</v>
      </c>
      <c r="F12" s="108">
        <v>0.33</v>
      </c>
      <c r="G12" s="108">
        <v>0.34</v>
      </c>
      <c r="H12" s="105"/>
      <c r="I12" s="105"/>
      <c r="J12" s="105"/>
    </row>
    <row r="13" spans="1:18" ht="18">
      <c r="A13" s="323"/>
      <c r="B13" s="324"/>
      <c r="C13" s="325"/>
      <c r="D13" s="109" t="s">
        <v>1062</v>
      </c>
      <c r="E13" s="110">
        <f>C12*E12</f>
        <v>75392.024400000009</v>
      </c>
      <c r="F13" s="110">
        <f>C12*F12</f>
        <v>75392.024400000009</v>
      </c>
      <c r="G13" s="110">
        <f>C12*G12</f>
        <v>77676.631200000018</v>
      </c>
      <c r="H13" s="105"/>
      <c r="I13" s="105"/>
      <c r="J13" s="105"/>
    </row>
    <row r="14" spans="1:18" ht="24.6" customHeight="1">
      <c r="A14" s="323">
        <v>4</v>
      </c>
      <c r="B14" s="324" t="s">
        <v>1056</v>
      </c>
      <c r="C14" s="325">
        <f>JANDUÍ!H89</f>
        <v>1439156.37</v>
      </c>
      <c r="D14" s="107" t="s">
        <v>1061</v>
      </c>
      <c r="E14" s="111">
        <v>0.1</v>
      </c>
      <c r="F14" s="111">
        <v>0.3</v>
      </c>
      <c r="G14" s="111">
        <v>0.2</v>
      </c>
      <c r="H14" s="111">
        <v>0.2</v>
      </c>
      <c r="I14" s="111">
        <v>0.1</v>
      </c>
      <c r="J14" s="111">
        <v>0.1</v>
      </c>
    </row>
    <row r="15" spans="1:18" ht="18">
      <c r="A15" s="323"/>
      <c r="B15" s="324"/>
      <c r="C15" s="325"/>
      <c r="D15" s="109" t="s">
        <v>1062</v>
      </c>
      <c r="E15" s="115">
        <f>C14*E14</f>
        <v>143915.63700000002</v>
      </c>
      <c r="F15" s="110">
        <f>C14*F14</f>
        <v>431746.91100000002</v>
      </c>
      <c r="G15" s="110">
        <f>C14*G14</f>
        <v>287831.27400000003</v>
      </c>
      <c r="H15" s="110">
        <f>C14*H14</f>
        <v>287831.27400000003</v>
      </c>
      <c r="I15" s="110">
        <f>C14*I14</f>
        <v>143915.63700000002</v>
      </c>
      <c r="J15" s="110">
        <f>C14*J14</f>
        <v>143915.63700000002</v>
      </c>
    </row>
    <row r="16" spans="1:18">
      <c r="A16" s="104"/>
      <c r="B16" s="112" t="s">
        <v>1057</v>
      </c>
      <c r="C16" s="104"/>
      <c r="D16" s="104"/>
      <c r="E16" s="104"/>
      <c r="F16" s="104"/>
      <c r="G16" s="104"/>
      <c r="H16" s="104"/>
      <c r="I16" s="104"/>
      <c r="J16" s="104"/>
    </row>
    <row r="17" spans="1:10">
      <c r="A17" s="104"/>
      <c r="B17" s="112" t="s">
        <v>1058</v>
      </c>
      <c r="C17" s="104"/>
      <c r="D17" s="104"/>
      <c r="E17" s="104"/>
      <c r="F17" s="104"/>
      <c r="G17" s="104"/>
      <c r="H17" s="113"/>
      <c r="I17" s="104"/>
      <c r="J17" s="104"/>
    </row>
    <row r="18" spans="1:10">
      <c r="A18" s="104"/>
      <c r="B18" s="114" t="s">
        <v>1059</v>
      </c>
      <c r="C18" s="104"/>
      <c r="D18" s="104"/>
      <c r="E18" s="104"/>
      <c r="F18" s="113"/>
      <c r="G18" s="104"/>
      <c r="H18" s="104"/>
      <c r="I18" s="104"/>
      <c r="J18" s="104"/>
    </row>
    <row r="19" spans="1:10">
      <c r="A19" s="104"/>
      <c r="B19" s="114" t="s">
        <v>1060</v>
      </c>
      <c r="C19" s="106">
        <f>SUM(C8+C10+C12+C14)</f>
        <v>1871637.58</v>
      </c>
      <c r="D19" s="105"/>
      <c r="E19" s="116">
        <f>SUM(E9+E11+E13+E15)</f>
        <v>286634.43630000006</v>
      </c>
      <c r="F19" s="116">
        <f>SUM(F9+F11+F13+F15)</f>
        <v>574465.71030000004</v>
      </c>
      <c r="G19" s="116">
        <f>SUM(G9+G11+G13+G15)</f>
        <v>434874.88540000003</v>
      </c>
      <c r="H19" s="110">
        <f>H15</f>
        <v>287831.27400000003</v>
      </c>
      <c r="I19" s="110">
        <f>I15</f>
        <v>143915.63700000002</v>
      </c>
      <c r="J19" s="110">
        <f>J15</f>
        <v>143915.63700000002</v>
      </c>
    </row>
    <row r="21" spans="1:10">
      <c r="H21" s="103"/>
    </row>
  </sheetData>
  <mergeCells count="18">
    <mergeCell ref="A14:A15"/>
    <mergeCell ref="B14:B15"/>
    <mergeCell ref="C8:C9"/>
    <mergeCell ref="C10:C11"/>
    <mergeCell ref="C12:C13"/>
    <mergeCell ref="C14:C15"/>
    <mergeCell ref="B8:B9"/>
    <mergeCell ref="A8:A9"/>
    <mergeCell ref="A10:A11"/>
    <mergeCell ref="B10:B11"/>
    <mergeCell ref="B12:B13"/>
    <mergeCell ref="A12:A13"/>
    <mergeCell ref="D6:J6"/>
    <mergeCell ref="A5:J5"/>
    <mergeCell ref="E2:H2"/>
    <mergeCell ref="E3:H3"/>
    <mergeCell ref="E4:H4"/>
    <mergeCell ref="I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6" orientation="landscape" horizontalDpi="360" verticalDpi="360" r:id="rId1"/>
  <colBreaks count="1" manualBreakCount="1">
    <brk id="11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EC76-F716-4848-B4A2-88DB7BFEB5E9}">
  <dimension ref="A1:K177"/>
  <sheetViews>
    <sheetView topLeftCell="A161" zoomScaleNormal="100" workbookViewId="0">
      <selection activeCell="I176" sqref="I176"/>
    </sheetView>
  </sheetViews>
  <sheetFormatPr defaultRowHeight="13.8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  <col min="11" max="11" width="10.3984375" bestFit="1" customWidth="1"/>
  </cols>
  <sheetData>
    <row r="1" spans="1:11">
      <c r="A1" s="43"/>
      <c r="B1" s="43"/>
      <c r="C1" s="163" t="s">
        <v>0</v>
      </c>
      <c r="D1" s="163"/>
      <c r="E1" s="163" t="s">
        <v>1</v>
      </c>
      <c r="F1" s="163"/>
      <c r="G1" s="163" t="s">
        <v>2</v>
      </c>
      <c r="H1" s="163"/>
      <c r="I1" s="163" t="s">
        <v>3</v>
      </c>
      <c r="J1" s="163"/>
    </row>
    <row r="2" spans="1:11" ht="79.95" customHeight="1">
      <c r="A2" s="44"/>
      <c r="B2" s="44"/>
      <c r="C2" s="164" t="s">
        <v>294</v>
      </c>
      <c r="D2" s="164"/>
      <c r="E2" s="154" t="s">
        <v>4</v>
      </c>
      <c r="F2" s="154"/>
      <c r="G2" s="154" t="s">
        <v>5</v>
      </c>
      <c r="H2" s="154"/>
      <c r="I2" s="154" t="s">
        <v>6</v>
      </c>
      <c r="J2" s="154"/>
    </row>
    <row r="3" spans="1:11">
      <c r="A3" s="162" t="s">
        <v>149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1" ht="24" customHeight="1">
      <c r="A4" s="45" t="s">
        <v>18</v>
      </c>
      <c r="B4" s="45"/>
      <c r="C4" s="45"/>
      <c r="D4" s="45" t="s">
        <v>19</v>
      </c>
      <c r="E4" s="45"/>
      <c r="F4" s="158"/>
      <c r="G4" s="158"/>
      <c r="H4" s="46"/>
      <c r="I4" s="45"/>
      <c r="J4" s="130">
        <f>SUM(J9)</f>
        <v>4335.576</v>
      </c>
    </row>
    <row r="5" spans="1:11" ht="18" customHeight="1">
      <c r="A5" s="48" t="s">
        <v>20</v>
      </c>
      <c r="B5" s="49" t="s">
        <v>9</v>
      </c>
      <c r="C5" s="48" t="s">
        <v>10</v>
      </c>
      <c r="D5" s="48" t="s">
        <v>11</v>
      </c>
      <c r="E5" s="159" t="s">
        <v>150</v>
      </c>
      <c r="F5" s="159"/>
      <c r="G5" s="50" t="s">
        <v>12</v>
      </c>
      <c r="H5" s="49" t="s">
        <v>13</v>
      </c>
      <c r="I5" s="49" t="s">
        <v>14</v>
      </c>
      <c r="J5" s="49" t="s">
        <v>16</v>
      </c>
    </row>
    <row r="6" spans="1:11" ht="25.95" customHeight="1">
      <c r="A6" s="51" t="s">
        <v>151</v>
      </c>
      <c r="B6" s="52" t="s">
        <v>21</v>
      </c>
      <c r="C6" s="51" t="s">
        <v>22</v>
      </c>
      <c r="D6" s="51" t="s">
        <v>23</v>
      </c>
      <c r="E6" s="160" t="s">
        <v>152</v>
      </c>
      <c r="F6" s="160"/>
      <c r="G6" s="53" t="s">
        <v>24</v>
      </c>
      <c r="H6" s="54">
        <v>1</v>
      </c>
      <c r="I6" s="55">
        <f>LAFAYETE!G6</f>
        <v>29.85</v>
      </c>
      <c r="J6" s="128">
        <f t="shared" ref="J6:J8" si="0">ROUND(H6*I6,2)</f>
        <v>29.85</v>
      </c>
      <c r="K6" s="143"/>
    </row>
    <row r="7" spans="1:11" ht="24" customHeight="1">
      <c r="A7" s="56" t="s">
        <v>153</v>
      </c>
      <c r="B7" s="57" t="s">
        <v>154</v>
      </c>
      <c r="C7" s="56" t="s">
        <v>29</v>
      </c>
      <c r="D7" s="56" t="s">
        <v>155</v>
      </c>
      <c r="E7" s="161" t="s">
        <v>152</v>
      </c>
      <c r="F7" s="161"/>
      <c r="G7" s="58" t="s">
        <v>24</v>
      </c>
      <c r="H7" s="59">
        <v>0.13</v>
      </c>
      <c r="I7" s="60">
        <v>25.38</v>
      </c>
      <c r="J7" s="128">
        <f t="shared" si="0"/>
        <v>3.3</v>
      </c>
    </row>
    <row r="8" spans="1:11" ht="24" customHeight="1">
      <c r="A8" s="56" t="s">
        <v>153</v>
      </c>
      <c r="B8" s="57" t="s">
        <v>156</v>
      </c>
      <c r="C8" s="56" t="s">
        <v>29</v>
      </c>
      <c r="D8" s="56" t="s">
        <v>157</v>
      </c>
      <c r="E8" s="161" t="s">
        <v>152</v>
      </c>
      <c r="F8" s="161"/>
      <c r="G8" s="58" t="s">
        <v>24</v>
      </c>
      <c r="H8" s="59">
        <v>1.3</v>
      </c>
      <c r="I8" s="60">
        <v>20.420000000000002</v>
      </c>
      <c r="J8" s="128">
        <f t="shared" si="0"/>
        <v>26.55</v>
      </c>
    </row>
    <row r="9" spans="1:11" ht="30" customHeight="1" thickBot="1">
      <c r="A9" s="61"/>
      <c r="B9" s="61"/>
      <c r="C9" s="61"/>
      <c r="D9" s="61"/>
      <c r="E9" s="61"/>
      <c r="F9" s="61"/>
      <c r="G9" s="61" t="s">
        <v>158</v>
      </c>
      <c r="H9" s="62">
        <f>LAFAYETE!F6</f>
        <v>118.2</v>
      </c>
      <c r="I9" s="61" t="s">
        <v>159</v>
      </c>
      <c r="J9" s="127">
        <f>SUM(H9*LAFAYETE!H6)</f>
        <v>4335.576</v>
      </c>
    </row>
    <row r="10" spans="1:11" ht="1.05" customHeight="1" thickTop="1">
      <c r="A10" s="63"/>
      <c r="B10" s="63"/>
      <c r="C10" s="63"/>
      <c r="D10" s="63"/>
      <c r="E10" s="63"/>
      <c r="F10" s="63"/>
      <c r="G10" s="63"/>
      <c r="H10" s="63"/>
      <c r="I10" s="63"/>
      <c r="J10" s="129"/>
    </row>
    <row r="11" spans="1:11" ht="24" customHeight="1">
      <c r="A11" s="45" t="s">
        <v>25</v>
      </c>
      <c r="B11" s="45"/>
      <c r="C11" s="45"/>
      <c r="D11" s="45" t="s">
        <v>26</v>
      </c>
      <c r="E11" s="45"/>
      <c r="F11" s="158"/>
      <c r="G11" s="158"/>
      <c r="H11" s="46"/>
      <c r="I11" s="45"/>
      <c r="J11" s="130">
        <f>SUM(J18,J31)</f>
        <v>12322.948</v>
      </c>
    </row>
    <row r="12" spans="1:11" ht="18" customHeight="1">
      <c r="A12" s="48" t="s">
        <v>27</v>
      </c>
      <c r="B12" s="49" t="s">
        <v>9</v>
      </c>
      <c r="C12" s="48" t="s">
        <v>10</v>
      </c>
      <c r="D12" s="48" t="s">
        <v>11</v>
      </c>
      <c r="E12" s="159" t="s">
        <v>150</v>
      </c>
      <c r="F12" s="159"/>
      <c r="G12" s="50" t="s">
        <v>12</v>
      </c>
      <c r="H12" s="49" t="s">
        <v>13</v>
      </c>
      <c r="I12" s="49" t="s">
        <v>14</v>
      </c>
      <c r="J12" s="49" t="s">
        <v>16</v>
      </c>
    </row>
    <row r="13" spans="1:11" ht="52.05" customHeight="1">
      <c r="A13" s="51" t="s">
        <v>151</v>
      </c>
      <c r="B13" s="52" t="s">
        <v>28</v>
      </c>
      <c r="C13" s="51" t="s">
        <v>29</v>
      </c>
      <c r="D13" s="51" t="s">
        <v>30</v>
      </c>
      <c r="E13" s="160" t="s">
        <v>160</v>
      </c>
      <c r="F13" s="160"/>
      <c r="G13" s="53" t="s">
        <v>31</v>
      </c>
      <c r="H13" s="54">
        <v>1</v>
      </c>
      <c r="I13" s="55">
        <f>LAFAYETE!G8</f>
        <v>52.2</v>
      </c>
      <c r="J13" s="128">
        <f t="shared" ref="J13:J17" si="1">ROUND(H13*I13,2)</f>
        <v>52.2</v>
      </c>
      <c r="K13" s="143"/>
    </row>
    <row r="14" spans="1:11" ht="39" customHeight="1">
      <c r="A14" s="56" t="s">
        <v>153</v>
      </c>
      <c r="B14" s="57" t="s">
        <v>161</v>
      </c>
      <c r="C14" s="56" t="s">
        <v>29</v>
      </c>
      <c r="D14" s="56" t="s">
        <v>162</v>
      </c>
      <c r="E14" s="161" t="s">
        <v>152</v>
      </c>
      <c r="F14" s="161"/>
      <c r="G14" s="58" t="s">
        <v>163</v>
      </c>
      <c r="H14" s="59">
        <v>4.3099999999999999E-2</v>
      </c>
      <c r="I14" s="60">
        <v>717.37</v>
      </c>
      <c r="J14" s="128">
        <f t="shared" si="1"/>
        <v>30.92</v>
      </c>
      <c r="K14" s="143"/>
    </row>
    <row r="15" spans="1:11" ht="24" customHeight="1">
      <c r="A15" s="56" t="s">
        <v>153</v>
      </c>
      <c r="B15" s="57" t="s">
        <v>154</v>
      </c>
      <c r="C15" s="56" t="s">
        <v>29</v>
      </c>
      <c r="D15" s="56" t="s">
        <v>155</v>
      </c>
      <c r="E15" s="161" t="s">
        <v>152</v>
      </c>
      <c r="F15" s="161"/>
      <c r="G15" s="58" t="s">
        <v>24</v>
      </c>
      <c r="H15" s="59">
        <v>0.58899999999999997</v>
      </c>
      <c r="I15" s="60">
        <v>25.38</v>
      </c>
      <c r="J15" s="128">
        <f t="shared" si="1"/>
        <v>14.95</v>
      </c>
    </row>
    <row r="16" spans="1:11" ht="24" customHeight="1">
      <c r="A16" s="56" t="s">
        <v>153</v>
      </c>
      <c r="B16" s="57" t="s">
        <v>156</v>
      </c>
      <c r="C16" s="56" t="s">
        <v>29</v>
      </c>
      <c r="D16" s="56" t="s">
        <v>157</v>
      </c>
      <c r="E16" s="161" t="s">
        <v>152</v>
      </c>
      <c r="F16" s="161"/>
      <c r="G16" s="58" t="s">
        <v>24</v>
      </c>
      <c r="H16" s="59">
        <v>0.29399999999999998</v>
      </c>
      <c r="I16" s="60">
        <v>20.420000000000002</v>
      </c>
      <c r="J16" s="128">
        <f t="shared" si="1"/>
        <v>6</v>
      </c>
    </row>
    <row r="17" spans="1:11" ht="24" customHeight="1">
      <c r="A17" s="64" t="s">
        <v>164</v>
      </c>
      <c r="B17" s="65" t="s">
        <v>165</v>
      </c>
      <c r="C17" s="64" t="s">
        <v>29</v>
      </c>
      <c r="D17" s="64" t="s">
        <v>166</v>
      </c>
      <c r="E17" s="157" t="s">
        <v>167</v>
      </c>
      <c r="F17" s="157"/>
      <c r="G17" s="66" t="s">
        <v>126</v>
      </c>
      <c r="H17" s="67">
        <v>0.5</v>
      </c>
      <c r="I17" s="68">
        <v>0.7</v>
      </c>
      <c r="J17" s="128">
        <f t="shared" si="1"/>
        <v>0.35</v>
      </c>
    </row>
    <row r="18" spans="1:11" ht="30" customHeight="1" thickBot="1">
      <c r="A18" s="61"/>
      <c r="B18" s="61"/>
      <c r="C18" s="61"/>
      <c r="D18" s="61"/>
      <c r="E18" s="61"/>
      <c r="F18" s="61"/>
      <c r="G18" s="61" t="s">
        <v>158</v>
      </c>
      <c r="H18" s="62">
        <f>LAFAYETE!F8</f>
        <v>38.200000000000003</v>
      </c>
      <c r="I18" s="61" t="s">
        <v>159</v>
      </c>
      <c r="J18" s="127">
        <f>SUM(LAFAYETE!H8*H18)</f>
        <v>2450.1480000000001</v>
      </c>
    </row>
    <row r="19" spans="1:11" ht="1.05" customHeight="1" thickTop="1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spans="1:11" ht="18" customHeight="1">
      <c r="A20" s="48" t="s">
        <v>32</v>
      </c>
      <c r="B20" s="49" t="s">
        <v>9</v>
      </c>
      <c r="C20" s="48" t="s">
        <v>10</v>
      </c>
      <c r="D20" s="48" t="s">
        <v>11</v>
      </c>
      <c r="E20" s="159" t="s">
        <v>150</v>
      </c>
      <c r="F20" s="159"/>
      <c r="G20" s="50" t="s">
        <v>12</v>
      </c>
      <c r="H20" s="49" t="s">
        <v>13</v>
      </c>
      <c r="I20" s="49" t="s">
        <v>14</v>
      </c>
      <c r="J20" s="49" t="s">
        <v>16</v>
      </c>
    </row>
    <row r="21" spans="1:11" ht="52.05" customHeight="1">
      <c r="A21" s="51" t="s">
        <v>151</v>
      </c>
      <c r="B21" s="52" t="s">
        <v>33</v>
      </c>
      <c r="C21" s="51" t="s">
        <v>29</v>
      </c>
      <c r="D21" s="51" t="s">
        <v>34</v>
      </c>
      <c r="E21" s="160" t="s">
        <v>160</v>
      </c>
      <c r="F21" s="160"/>
      <c r="G21" s="53" t="s">
        <v>31</v>
      </c>
      <c r="H21" s="54">
        <v>1</v>
      </c>
      <c r="I21" s="55">
        <f>LAFAYETE!G9</f>
        <v>100.43</v>
      </c>
      <c r="J21" s="128">
        <f t="shared" ref="J21:J30" si="2">ROUND(H21*I21,2)</f>
        <v>100.43</v>
      </c>
    </row>
    <row r="22" spans="1:11" ht="24" customHeight="1">
      <c r="A22" s="56" t="s">
        <v>153</v>
      </c>
      <c r="B22" s="57" t="s">
        <v>168</v>
      </c>
      <c r="C22" s="56" t="s">
        <v>29</v>
      </c>
      <c r="D22" s="56" t="s">
        <v>169</v>
      </c>
      <c r="E22" s="161" t="s">
        <v>152</v>
      </c>
      <c r="F22" s="161"/>
      <c r="G22" s="58" t="s">
        <v>24</v>
      </c>
      <c r="H22" s="59">
        <v>0.13009999999999999</v>
      </c>
      <c r="I22" s="60">
        <v>25</v>
      </c>
      <c r="J22" s="128">
        <f t="shared" si="2"/>
        <v>3.25</v>
      </c>
    </row>
    <row r="23" spans="1:11" ht="24" customHeight="1">
      <c r="A23" s="56" t="s">
        <v>153</v>
      </c>
      <c r="B23" s="57" t="s">
        <v>154</v>
      </c>
      <c r="C23" s="56" t="s">
        <v>29</v>
      </c>
      <c r="D23" s="56" t="s">
        <v>155</v>
      </c>
      <c r="E23" s="161" t="s">
        <v>152</v>
      </c>
      <c r="F23" s="161"/>
      <c r="G23" s="58" t="s">
        <v>24</v>
      </c>
      <c r="H23" s="59">
        <v>0.18820000000000001</v>
      </c>
      <c r="I23" s="60">
        <v>25.38</v>
      </c>
      <c r="J23" s="128">
        <f t="shared" si="2"/>
        <v>4.78</v>
      </c>
    </row>
    <row r="24" spans="1:11" ht="24" customHeight="1">
      <c r="A24" s="56" t="s">
        <v>153</v>
      </c>
      <c r="B24" s="57" t="s">
        <v>156</v>
      </c>
      <c r="C24" s="56" t="s">
        <v>29</v>
      </c>
      <c r="D24" s="56" t="s">
        <v>157</v>
      </c>
      <c r="E24" s="161" t="s">
        <v>152</v>
      </c>
      <c r="F24" s="161"/>
      <c r="G24" s="58" t="s">
        <v>24</v>
      </c>
      <c r="H24" s="59">
        <v>0.31830000000000003</v>
      </c>
      <c r="I24" s="60">
        <v>20.420000000000002</v>
      </c>
      <c r="J24" s="128">
        <f t="shared" si="2"/>
        <v>6.5</v>
      </c>
    </row>
    <row r="25" spans="1:11" ht="39" customHeight="1">
      <c r="A25" s="56" t="s">
        <v>153</v>
      </c>
      <c r="B25" s="57" t="s">
        <v>170</v>
      </c>
      <c r="C25" s="56" t="s">
        <v>29</v>
      </c>
      <c r="D25" s="56" t="s">
        <v>171</v>
      </c>
      <c r="E25" s="161" t="s">
        <v>172</v>
      </c>
      <c r="F25" s="161"/>
      <c r="G25" s="58" t="s">
        <v>163</v>
      </c>
      <c r="H25" s="59">
        <v>9.8500000000000004E-2</v>
      </c>
      <c r="I25" s="60">
        <v>474.55</v>
      </c>
      <c r="J25" s="128">
        <f t="shared" si="2"/>
        <v>46.74</v>
      </c>
    </row>
    <row r="26" spans="1:11" ht="25.95" customHeight="1">
      <c r="A26" s="64" t="s">
        <v>164</v>
      </c>
      <c r="B26" s="65" t="s">
        <v>173</v>
      </c>
      <c r="C26" s="64" t="s">
        <v>29</v>
      </c>
      <c r="D26" s="64" t="s">
        <v>174</v>
      </c>
      <c r="E26" s="157" t="s">
        <v>167</v>
      </c>
      <c r="F26" s="157"/>
      <c r="G26" s="66" t="s">
        <v>175</v>
      </c>
      <c r="H26" s="67">
        <v>1.6999999999999999E-3</v>
      </c>
      <c r="I26" s="68">
        <v>7.5</v>
      </c>
      <c r="J26" s="128">
        <f t="shared" si="2"/>
        <v>0.01</v>
      </c>
    </row>
    <row r="27" spans="1:11" ht="25.95" customHeight="1">
      <c r="A27" s="64" t="s">
        <v>164</v>
      </c>
      <c r="B27" s="65" t="s">
        <v>176</v>
      </c>
      <c r="C27" s="64" t="s">
        <v>29</v>
      </c>
      <c r="D27" s="64" t="s">
        <v>177</v>
      </c>
      <c r="E27" s="157" t="s">
        <v>167</v>
      </c>
      <c r="F27" s="157"/>
      <c r="G27" s="66" t="s">
        <v>40</v>
      </c>
      <c r="H27" s="67">
        <v>0.25</v>
      </c>
      <c r="I27" s="68">
        <v>5.0999999999999996</v>
      </c>
      <c r="J27" s="128">
        <f t="shared" si="2"/>
        <v>1.28</v>
      </c>
    </row>
    <row r="28" spans="1:11" ht="25.95" customHeight="1">
      <c r="A28" s="64" t="s">
        <v>164</v>
      </c>
      <c r="B28" s="65" t="s">
        <v>178</v>
      </c>
      <c r="C28" s="64" t="s">
        <v>29</v>
      </c>
      <c r="D28" s="64" t="s">
        <v>179</v>
      </c>
      <c r="E28" s="157" t="s">
        <v>167</v>
      </c>
      <c r="F28" s="157"/>
      <c r="G28" s="66" t="s">
        <v>40</v>
      </c>
      <c r="H28" s="67">
        <v>0.2</v>
      </c>
      <c r="I28" s="68">
        <v>3.52</v>
      </c>
      <c r="J28" s="128">
        <f t="shared" si="2"/>
        <v>0.7</v>
      </c>
    </row>
    <row r="29" spans="1:11" ht="24" customHeight="1">
      <c r="A29" s="64" t="s">
        <v>164</v>
      </c>
      <c r="B29" s="65" t="s">
        <v>180</v>
      </c>
      <c r="C29" s="64" t="s">
        <v>29</v>
      </c>
      <c r="D29" s="64" t="s">
        <v>181</v>
      </c>
      <c r="E29" s="157" t="s">
        <v>167</v>
      </c>
      <c r="F29" s="157"/>
      <c r="G29" s="66" t="s">
        <v>126</v>
      </c>
      <c r="H29" s="67">
        <v>2.4E-2</v>
      </c>
      <c r="I29" s="68">
        <v>22.38</v>
      </c>
      <c r="J29" s="128">
        <f t="shared" si="2"/>
        <v>0.54</v>
      </c>
      <c r="K29" s="143"/>
    </row>
    <row r="30" spans="1:11" ht="39" customHeight="1">
      <c r="A30" s="64" t="s">
        <v>164</v>
      </c>
      <c r="B30" s="65" t="s">
        <v>182</v>
      </c>
      <c r="C30" s="64" t="s">
        <v>29</v>
      </c>
      <c r="D30" s="64" t="s">
        <v>183</v>
      </c>
      <c r="E30" s="157" t="s">
        <v>167</v>
      </c>
      <c r="F30" s="157"/>
      <c r="G30" s="66" t="s">
        <v>31</v>
      </c>
      <c r="H30" s="67">
        <v>1.0815999999999999</v>
      </c>
      <c r="I30" s="68">
        <v>33.909999999999997</v>
      </c>
      <c r="J30" s="128">
        <f t="shared" si="2"/>
        <v>36.68</v>
      </c>
    </row>
    <row r="31" spans="1:11" ht="30" customHeight="1" thickBot="1">
      <c r="A31" s="61"/>
      <c r="B31" s="61"/>
      <c r="C31" s="61"/>
      <c r="D31" s="61"/>
      <c r="E31" s="61"/>
      <c r="F31" s="61"/>
      <c r="G31" s="61" t="s">
        <v>158</v>
      </c>
      <c r="H31" s="62">
        <f>LAFAYETE!F9</f>
        <v>80</v>
      </c>
      <c r="I31" s="61" t="s">
        <v>159</v>
      </c>
      <c r="J31" s="127">
        <f>LAFAYETE!I9</f>
        <v>9872.7999999999993</v>
      </c>
    </row>
    <row r="32" spans="1:11" ht="1.05" customHeight="1" thickTop="1">
      <c r="A32" s="63"/>
      <c r="B32" s="63"/>
      <c r="C32" s="63"/>
      <c r="D32" s="63"/>
      <c r="E32" s="63"/>
      <c r="F32" s="63"/>
      <c r="G32" s="63"/>
      <c r="H32" s="63"/>
      <c r="I32" s="63"/>
      <c r="J32" s="129"/>
    </row>
    <row r="33" spans="1:11" ht="24" customHeight="1">
      <c r="A33" s="45" t="s">
        <v>35</v>
      </c>
      <c r="B33" s="45"/>
      <c r="C33" s="45"/>
      <c r="D33" s="45" t="s">
        <v>36</v>
      </c>
      <c r="E33" s="45"/>
      <c r="F33" s="158"/>
      <c r="G33" s="158"/>
      <c r="H33" s="46"/>
      <c r="I33" s="45"/>
      <c r="J33" s="130">
        <f>SUM(J41)</f>
        <v>1857.4</v>
      </c>
    </row>
    <row r="34" spans="1:11" ht="18" customHeight="1">
      <c r="A34" s="48" t="s">
        <v>37</v>
      </c>
      <c r="B34" s="49" t="s">
        <v>9</v>
      </c>
      <c r="C34" s="48" t="s">
        <v>10</v>
      </c>
      <c r="D34" s="48" t="s">
        <v>11</v>
      </c>
      <c r="E34" s="159" t="s">
        <v>150</v>
      </c>
      <c r="F34" s="159"/>
      <c r="G34" s="50" t="s">
        <v>12</v>
      </c>
      <c r="H34" s="49" t="s">
        <v>13</v>
      </c>
      <c r="I34" s="49" t="s">
        <v>14</v>
      </c>
      <c r="J34" s="49" t="s">
        <v>16</v>
      </c>
    </row>
    <row r="35" spans="1:11" ht="39" customHeight="1">
      <c r="A35" s="51" t="s">
        <v>151</v>
      </c>
      <c r="B35" s="52" t="s">
        <v>38</v>
      </c>
      <c r="C35" s="51" t="s">
        <v>29</v>
      </c>
      <c r="D35" s="51" t="s">
        <v>39</v>
      </c>
      <c r="E35" s="160" t="s">
        <v>184</v>
      </c>
      <c r="F35" s="160"/>
      <c r="G35" s="53" t="s">
        <v>40</v>
      </c>
      <c r="H35" s="54">
        <v>1</v>
      </c>
      <c r="I35" s="55">
        <f>LAFAYETE!G11</f>
        <v>10.210000000000001</v>
      </c>
      <c r="J35" s="128">
        <f t="shared" ref="J35:J40" si="3">ROUND(H35*I35,2)</f>
        <v>10.210000000000001</v>
      </c>
    </row>
    <row r="36" spans="1:11" ht="24" customHeight="1">
      <c r="A36" s="56" t="s">
        <v>153</v>
      </c>
      <c r="B36" s="57" t="s">
        <v>185</v>
      </c>
      <c r="C36" s="56" t="s">
        <v>29</v>
      </c>
      <c r="D36" s="56" t="s">
        <v>186</v>
      </c>
      <c r="E36" s="161" t="s">
        <v>152</v>
      </c>
      <c r="F36" s="161"/>
      <c r="G36" s="58" t="s">
        <v>24</v>
      </c>
      <c r="H36" s="59">
        <v>0.23899999999999999</v>
      </c>
      <c r="I36" s="60">
        <v>26.6</v>
      </c>
      <c r="J36" s="128">
        <f t="shared" si="3"/>
        <v>6.36</v>
      </c>
    </row>
    <row r="37" spans="1:11" ht="24" customHeight="1">
      <c r="A37" s="56" t="s">
        <v>153</v>
      </c>
      <c r="B37" s="57" t="s">
        <v>156</v>
      </c>
      <c r="C37" s="56" t="s">
        <v>29</v>
      </c>
      <c r="D37" s="56" t="s">
        <v>157</v>
      </c>
      <c r="E37" s="161" t="s">
        <v>152</v>
      </c>
      <c r="F37" s="161"/>
      <c r="G37" s="58" t="s">
        <v>24</v>
      </c>
      <c r="H37" s="59">
        <v>0.1</v>
      </c>
      <c r="I37" s="60">
        <v>20.420000000000002</v>
      </c>
      <c r="J37" s="128">
        <f t="shared" si="3"/>
        <v>2.04</v>
      </c>
    </row>
    <row r="38" spans="1:11" ht="24" customHeight="1">
      <c r="A38" s="64" t="s">
        <v>164</v>
      </c>
      <c r="B38" s="65" t="s">
        <v>187</v>
      </c>
      <c r="C38" s="64" t="s">
        <v>29</v>
      </c>
      <c r="D38" s="64" t="s">
        <v>188</v>
      </c>
      <c r="E38" s="157" t="s">
        <v>167</v>
      </c>
      <c r="F38" s="157"/>
      <c r="G38" s="66" t="s">
        <v>175</v>
      </c>
      <c r="H38" s="67">
        <v>3.0000000000000001E-3</v>
      </c>
      <c r="I38" s="68">
        <v>60.17</v>
      </c>
      <c r="J38" s="128">
        <f t="shared" si="3"/>
        <v>0.18</v>
      </c>
    </row>
    <row r="39" spans="1:11" ht="24" customHeight="1">
      <c r="A39" s="64" t="s">
        <v>164</v>
      </c>
      <c r="B39" s="65" t="s">
        <v>189</v>
      </c>
      <c r="C39" s="64" t="s">
        <v>29</v>
      </c>
      <c r="D39" s="64" t="s">
        <v>190</v>
      </c>
      <c r="E39" s="157" t="s">
        <v>167</v>
      </c>
      <c r="F39" s="157"/>
      <c r="G39" s="66" t="s">
        <v>175</v>
      </c>
      <c r="H39" s="67">
        <v>1.6E-2</v>
      </c>
      <c r="I39" s="68">
        <v>77.92</v>
      </c>
      <c r="J39" s="128">
        <f t="shared" si="3"/>
        <v>1.25</v>
      </c>
    </row>
    <row r="40" spans="1:11" ht="24" customHeight="1">
      <c r="A40" s="64" t="s">
        <v>164</v>
      </c>
      <c r="B40" s="65" t="s">
        <v>191</v>
      </c>
      <c r="C40" s="64" t="s">
        <v>29</v>
      </c>
      <c r="D40" s="64" t="s">
        <v>192</v>
      </c>
      <c r="E40" s="157" t="s">
        <v>167</v>
      </c>
      <c r="F40" s="157"/>
      <c r="G40" s="66" t="s">
        <v>59</v>
      </c>
      <c r="H40" s="67">
        <v>0.04</v>
      </c>
      <c r="I40" s="68">
        <v>10.1</v>
      </c>
      <c r="J40" s="128">
        <f t="shared" si="3"/>
        <v>0.4</v>
      </c>
    </row>
    <row r="41" spans="1:11" ht="30" customHeight="1" thickBot="1">
      <c r="A41" s="61"/>
      <c r="B41" s="61"/>
      <c r="C41" s="61"/>
      <c r="D41" s="61"/>
      <c r="E41" s="61"/>
      <c r="F41" s="61"/>
      <c r="G41" s="61" t="s">
        <v>158</v>
      </c>
      <c r="H41" s="62">
        <f>LAFAYETE!F11</f>
        <v>148</v>
      </c>
      <c r="I41" s="61" t="s">
        <v>159</v>
      </c>
      <c r="J41" s="127">
        <f>LAFAYETE!I11</f>
        <v>1857.4</v>
      </c>
    </row>
    <row r="42" spans="1:11" ht="1.05" customHeight="1" thickTop="1">
      <c r="A42" s="63"/>
      <c r="B42" s="63"/>
      <c r="C42" s="63"/>
      <c r="D42" s="63"/>
      <c r="E42" s="63"/>
      <c r="F42" s="63"/>
      <c r="G42" s="63"/>
      <c r="H42" s="63"/>
      <c r="I42" s="63"/>
      <c r="J42" s="129"/>
    </row>
    <row r="43" spans="1:11" ht="24" customHeight="1">
      <c r="A43" s="45" t="s">
        <v>41</v>
      </c>
      <c r="B43" s="45"/>
      <c r="C43" s="45"/>
      <c r="D43" s="45" t="s">
        <v>42</v>
      </c>
      <c r="E43" s="45"/>
      <c r="F43" s="158"/>
      <c r="G43" s="158"/>
      <c r="H43" s="46"/>
      <c r="I43" s="45"/>
      <c r="J43" s="130">
        <f>SUM(J52,J62)</f>
        <v>3025.2</v>
      </c>
    </row>
    <row r="44" spans="1:11" ht="18" customHeight="1">
      <c r="A44" s="48" t="s">
        <v>43</v>
      </c>
      <c r="B44" s="49" t="s">
        <v>9</v>
      </c>
      <c r="C44" s="48" t="s">
        <v>10</v>
      </c>
      <c r="D44" s="48" t="s">
        <v>11</v>
      </c>
      <c r="E44" s="159" t="s">
        <v>150</v>
      </c>
      <c r="F44" s="159"/>
      <c r="G44" s="50" t="s">
        <v>12</v>
      </c>
      <c r="H44" s="49" t="s">
        <v>13</v>
      </c>
      <c r="I44" s="49" t="s">
        <v>14</v>
      </c>
      <c r="J44" s="49" t="s">
        <v>16</v>
      </c>
    </row>
    <row r="45" spans="1:11" ht="25.95" customHeight="1">
      <c r="A45" s="51" t="s">
        <v>151</v>
      </c>
      <c r="B45" s="52" t="s">
        <v>44</v>
      </c>
      <c r="C45" s="51" t="s">
        <v>22</v>
      </c>
      <c r="D45" s="51" t="s">
        <v>45</v>
      </c>
      <c r="E45" s="160" t="s">
        <v>152</v>
      </c>
      <c r="F45" s="160"/>
      <c r="G45" s="53" t="s">
        <v>46</v>
      </c>
      <c r="H45" s="54">
        <v>1</v>
      </c>
      <c r="I45" s="55">
        <f>LAFAYETE!G13</f>
        <v>123.61</v>
      </c>
      <c r="J45" s="128">
        <f t="shared" ref="J45:J51" si="4">ROUND(H45*I45,2)</f>
        <v>123.61</v>
      </c>
      <c r="K45" s="143"/>
    </row>
    <row r="46" spans="1:11" ht="24" customHeight="1">
      <c r="A46" s="56" t="s">
        <v>153</v>
      </c>
      <c r="B46" s="57" t="s">
        <v>193</v>
      </c>
      <c r="C46" s="56" t="s">
        <v>29</v>
      </c>
      <c r="D46" s="56" t="s">
        <v>194</v>
      </c>
      <c r="E46" s="161" t="s">
        <v>152</v>
      </c>
      <c r="F46" s="161"/>
      <c r="G46" s="58" t="s">
        <v>24</v>
      </c>
      <c r="H46" s="59">
        <v>2</v>
      </c>
      <c r="I46" s="60">
        <v>25.69</v>
      </c>
      <c r="J46" s="128">
        <f t="shared" si="4"/>
        <v>51.38</v>
      </c>
      <c r="K46" s="143"/>
    </row>
    <row r="47" spans="1:11" ht="24" customHeight="1">
      <c r="A47" s="56" t="s">
        <v>153</v>
      </c>
      <c r="B47" s="57" t="s">
        <v>156</v>
      </c>
      <c r="C47" s="56" t="s">
        <v>29</v>
      </c>
      <c r="D47" s="56" t="s">
        <v>157</v>
      </c>
      <c r="E47" s="161" t="s">
        <v>152</v>
      </c>
      <c r="F47" s="161"/>
      <c r="G47" s="58" t="s">
        <v>24</v>
      </c>
      <c r="H47" s="59">
        <v>1</v>
      </c>
      <c r="I47" s="60">
        <v>20.420000000000002</v>
      </c>
      <c r="J47" s="128">
        <f t="shared" si="4"/>
        <v>20.420000000000002</v>
      </c>
    </row>
    <row r="48" spans="1:11" ht="25.95" customHeight="1">
      <c r="A48" s="64" t="s">
        <v>164</v>
      </c>
      <c r="B48" s="65" t="s">
        <v>195</v>
      </c>
      <c r="C48" s="64" t="s">
        <v>29</v>
      </c>
      <c r="D48" s="64" t="s">
        <v>196</v>
      </c>
      <c r="E48" s="157" t="s">
        <v>167</v>
      </c>
      <c r="F48" s="157"/>
      <c r="G48" s="66" t="s">
        <v>126</v>
      </c>
      <c r="H48" s="67">
        <v>6.0000000000000001E-3</v>
      </c>
      <c r="I48" s="68">
        <v>27</v>
      </c>
      <c r="J48" s="128">
        <f t="shared" si="4"/>
        <v>0.16</v>
      </c>
    </row>
    <row r="49" spans="1:11" ht="25.95" customHeight="1">
      <c r="A49" s="64" t="s">
        <v>164</v>
      </c>
      <c r="B49" s="65" t="s">
        <v>197</v>
      </c>
      <c r="C49" s="64" t="s">
        <v>29</v>
      </c>
      <c r="D49" s="64" t="s">
        <v>198</v>
      </c>
      <c r="E49" s="157" t="s">
        <v>167</v>
      </c>
      <c r="F49" s="157"/>
      <c r="G49" s="66" t="s">
        <v>40</v>
      </c>
      <c r="H49" s="67">
        <v>12</v>
      </c>
      <c r="I49" s="68">
        <v>2.6</v>
      </c>
      <c r="J49" s="128">
        <f t="shared" si="4"/>
        <v>31.2</v>
      </c>
    </row>
    <row r="50" spans="1:11" ht="25.95" customHeight="1">
      <c r="A50" s="64" t="s">
        <v>164</v>
      </c>
      <c r="B50" s="65" t="s">
        <v>199</v>
      </c>
      <c r="C50" s="64" t="s">
        <v>29</v>
      </c>
      <c r="D50" s="64" t="s">
        <v>200</v>
      </c>
      <c r="E50" s="157" t="s">
        <v>167</v>
      </c>
      <c r="F50" s="157"/>
      <c r="G50" s="66" t="s">
        <v>59</v>
      </c>
      <c r="H50" s="67">
        <v>0.5</v>
      </c>
      <c r="I50" s="68">
        <v>23.96</v>
      </c>
      <c r="J50" s="128">
        <f t="shared" si="4"/>
        <v>11.98</v>
      </c>
    </row>
    <row r="51" spans="1:11" ht="24" customHeight="1">
      <c r="A51" s="64" t="s">
        <v>164</v>
      </c>
      <c r="B51" s="65" t="s">
        <v>201</v>
      </c>
      <c r="C51" s="64" t="s">
        <v>29</v>
      </c>
      <c r="D51" s="64" t="s">
        <v>202</v>
      </c>
      <c r="E51" s="157" t="s">
        <v>167</v>
      </c>
      <c r="F51" s="157"/>
      <c r="G51" s="66" t="s">
        <v>59</v>
      </c>
      <c r="H51" s="67">
        <v>1</v>
      </c>
      <c r="I51" s="68">
        <v>8.4700000000000006</v>
      </c>
      <c r="J51" s="128">
        <f t="shared" si="4"/>
        <v>8.4700000000000006</v>
      </c>
    </row>
    <row r="52" spans="1:11" ht="30" customHeight="1" thickBot="1">
      <c r="A52" s="61"/>
      <c r="B52" s="61"/>
      <c r="C52" s="61"/>
      <c r="D52" s="61"/>
      <c r="E52" s="61"/>
      <c r="F52" s="61"/>
      <c r="G52" s="61" t="s">
        <v>158</v>
      </c>
      <c r="H52" s="62">
        <f>LAFAYETE!F13</f>
        <v>10</v>
      </c>
      <c r="I52" s="61" t="s">
        <v>159</v>
      </c>
      <c r="J52" s="127">
        <f>LAFAYETE!I13</f>
        <v>1518.9</v>
      </c>
    </row>
    <row r="53" spans="1:11" ht="1.05" customHeight="1" thickTop="1">
      <c r="A53" s="63"/>
      <c r="B53" s="63"/>
      <c r="C53" s="63"/>
      <c r="D53" s="63"/>
      <c r="E53" s="63"/>
      <c r="F53" s="63"/>
      <c r="G53" s="63"/>
      <c r="H53" s="63"/>
      <c r="I53" s="63"/>
      <c r="J53" s="63"/>
    </row>
    <row r="54" spans="1:11" ht="18" customHeight="1">
      <c r="A54" s="48" t="s">
        <v>47</v>
      </c>
      <c r="B54" s="49" t="s">
        <v>9</v>
      </c>
      <c r="C54" s="48" t="s">
        <v>10</v>
      </c>
      <c r="D54" s="48" t="s">
        <v>11</v>
      </c>
      <c r="E54" s="159" t="s">
        <v>150</v>
      </c>
      <c r="F54" s="159"/>
      <c r="G54" s="50" t="s">
        <v>12</v>
      </c>
      <c r="H54" s="49" t="s">
        <v>13</v>
      </c>
      <c r="I54" s="49" t="s">
        <v>14</v>
      </c>
      <c r="J54" s="49" t="s">
        <v>16</v>
      </c>
    </row>
    <row r="55" spans="1:11" ht="25.95" customHeight="1">
      <c r="A55" s="51" t="s">
        <v>151</v>
      </c>
      <c r="B55" s="52" t="s">
        <v>48</v>
      </c>
      <c r="C55" s="51" t="s">
        <v>22</v>
      </c>
      <c r="D55" s="51" t="s">
        <v>49</v>
      </c>
      <c r="E55" s="160" t="s">
        <v>152</v>
      </c>
      <c r="F55" s="160"/>
      <c r="G55" s="53" t="s">
        <v>46</v>
      </c>
      <c r="H55" s="54">
        <v>1</v>
      </c>
      <c r="I55" s="55">
        <f>LAFAYETE!G14</f>
        <v>122.58</v>
      </c>
      <c r="J55" s="128">
        <f t="shared" ref="J55:J61" si="5">ROUND(H55*I55,2)</f>
        <v>122.58</v>
      </c>
      <c r="K55" s="143"/>
    </row>
    <row r="56" spans="1:11" ht="24" customHeight="1">
      <c r="A56" s="56" t="s">
        <v>153</v>
      </c>
      <c r="B56" s="57" t="s">
        <v>193</v>
      </c>
      <c r="C56" s="56" t="s">
        <v>29</v>
      </c>
      <c r="D56" s="56" t="s">
        <v>194</v>
      </c>
      <c r="E56" s="161" t="s">
        <v>152</v>
      </c>
      <c r="F56" s="161"/>
      <c r="G56" s="58" t="s">
        <v>24</v>
      </c>
      <c r="H56" s="59">
        <v>2</v>
      </c>
      <c r="I56" s="60">
        <v>25.69</v>
      </c>
      <c r="J56" s="128">
        <f t="shared" si="5"/>
        <v>51.38</v>
      </c>
      <c r="K56" s="143"/>
    </row>
    <row r="57" spans="1:11" ht="24" customHeight="1">
      <c r="A57" s="56" t="s">
        <v>153</v>
      </c>
      <c r="B57" s="57" t="s">
        <v>156</v>
      </c>
      <c r="C57" s="56" t="s">
        <v>29</v>
      </c>
      <c r="D57" s="56" t="s">
        <v>157</v>
      </c>
      <c r="E57" s="161" t="s">
        <v>152</v>
      </c>
      <c r="F57" s="161"/>
      <c r="G57" s="58" t="s">
        <v>24</v>
      </c>
      <c r="H57" s="59">
        <v>1</v>
      </c>
      <c r="I57" s="60">
        <v>20.420000000000002</v>
      </c>
      <c r="J57" s="128">
        <f t="shared" si="5"/>
        <v>20.420000000000002</v>
      </c>
    </row>
    <row r="58" spans="1:11" ht="25.95" customHeight="1">
      <c r="A58" s="64" t="s">
        <v>164</v>
      </c>
      <c r="B58" s="65" t="s">
        <v>195</v>
      </c>
      <c r="C58" s="64" t="s">
        <v>29</v>
      </c>
      <c r="D58" s="64" t="s">
        <v>196</v>
      </c>
      <c r="E58" s="157" t="s">
        <v>167</v>
      </c>
      <c r="F58" s="157"/>
      <c r="G58" s="66" t="s">
        <v>126</v>
      </c>
      <c r="H58" s="67">
        <v>6.0000000000000001E-3</v>
      </c>
      <c r="I58" s="68">
        <v>27</v>
      </c>
      <c r="J58" s="128">
        <f t="shared" si="5"/>
        <v>0.16</v>
      </c>
    </row>
    <row r="59" spans="1:11" ht="25.95" customHeight="1">
      <c r="A59" s="64" t="s">
        <v>164</v>
      </c>
      <c r="B59" s="65" t="s">
        <v>197</v>
      </c>
      <c r="C59" s="64" t="s">
        <v>29</v>
      </c>
      <c r="D59" s="64" t="s">
        <v>198</v>
      </c>
      <c r="E59" s="157" t="s">
        <v>167</v>
      </c>
      <c r="F59" s="157"/>
      <c r="G59" s="66" t="s">
        <v>40</v>
      </c>
      <c r="H59" s="67">
        <v>12</v>
      </c>
      <c r="I59" s="68">
        <v>2.6</v>
      </c>
      <c r="J59" s="128">
        <f t="shared" si="5"/>
        <v>31.2</v>
      </c>
    </row>
    <row r="60" spans="1:11" ht="25.95" customHeight="1">
      <c r="A60" s="64" t="s">
        <v>164</v>
      </c>
      <c r="B60" s="65" t="s">
        <v>199</v>
      </c>
      <c r="C60" s="64" t="s">
        <v>29</v>
      </c>
      <c r="D60" s="64" t="s">
        <v>200</v>
      </c>
      <c r="E60" s="157" t="s">
        <v>167</v>
      </c>
      <c r="F60" s="157"/>
      <c r="G60" s="66" t="s">
        <v>59</v>
      </c>
      <c r="H60" s="67">
        <v>0.5</v>
      </c>
      <c r="I60" s="68">
        <v>23.96</v>
      </c>
      <c r="J60" s="128">
        <f t="shared" si="5"/>
        <v>11.98</v>
      </c>
    </row>
    <row r="61" spans="1:11" ht="24" customHeight="1">
      <c r="A61" s="64" t="s">
        <v>164</v>
      </c>
      <c r="B61" s="65" t="s">
        <v>203</v>
      </c>
      <c r="C61" s="64" t="s">
        <v>29</v>
      </c>
      <c r="D61" s="64" t="s">
        <v>204</v>
      </c>
      <c r="E61" s="157" t="s">
        <v>167</v>
      </c>
      <c r="F61" s="157"/>
      <c r="G61" s="66" t="s">
        <v>59</v>
      </c>
      <c r="H61" s="67">
        <v>1</v>
      </c>
      <c r="I61" s="68">
        <v>7.44</v>
      </c>
      <c r="J61" s="128">
        <f t="shared" si="5"/>
        <v>7.44</v>
      </c>
    </row>
    <row r="62" spans="1:11" ht="30" customHeight="1" thickBot="1">
      <c r="A62" s="61"/>
      <c r="B62" s="61"/>
      <c r="C62" s="61"/>
      <c r="D62" s="61"/>
      <c r="E62" s="61"/>
      <c r="F62" s="61"/>
      <c r="G62" s="61" t="s">
        <v>158</v>
      </c>
      <c r="H62" s="62">
        <f>LAFAYETE!F14</f>
        <v>10</v>
      </c>
      <c r="I62" s="61" t="s">
        <v>159</v>
      </c>
      <c r="J62" s="127">
        <f>LAFAYETE!I14</f>
        <v>1506.3</v>
      </c>
    </row>
    <row r="63" spans="1:11" ht="1.05" customHeight="1" thickTop="1">
      <c r="A63" s="63"/>
      <c r="B63" s="63"/>
      <c r="C63" s="63"/>
      <c r="D63" s="63"/>
      <c r="E63" s="63"/>
      <c r="F63" s="63"/>
      <c r="G63" s="63"/>
      <c r="H63" s="63"/>
      <c r="I63" s="63"/>
      <c r="J63" s="129"/>
    </row>
    <row r="64" spans="1:11" ht="24" customHeight="1">
      <c r="A64" s="45" t="s">
        <v>50</v>
      </c>
      <c r="B64" s="45"/>
      <c r="C64" s="45"/>
      <c r="D64" s="45" t="s">
        <v>51</v>
      </c>
      <c r="E64" s="45"/>
      <c r="F64" s="158"/>
      <c r="G64" s="158"/>
      <c r="H64" s="46"/>
      <c r="I64" s="45"/>
      <c r="J64" s="130">
        <f>SUM(J72,J80,J88,J96)</f>
        <v>1450.6</v>
      </c>
    </row>
    <row r="65" spans="1:11" ht="18" customHeight="1">
      <c r="A65" s="48" t="s">
        <v>52</v>
      </c>
      <c r="B65" s="49" t="s">
        <v>9</v>
      </c>
      <c r="C65" s="48" t="s">
        <v>10</v>
      </c>
      <c r="D65" s="48" t="s">
        <v>11</v>
      </c>
      <c r="E65" s="159" t="s">
        <v>150</v>
      </c>
      <c r="F65" s="159"/>
      <c r="G65" s="50" t="s">
        <v>12</v>
      </c>
      <c r="H65" s="49" t="s">
        <v>13</v>
      </c>
      <c r="I65" s="49" t="s">
        <v>14</v>
      </c>
      <c r="J65" s="49" t="s">
        <v>16</v>
      </c>
    </row>
    <row r="66" spans="1:11" ht="25.95" customHeight="1">
      <c r="A66" s="51" t="s">
        <v>151</v>
      </c>
      <c r="B66" s="52" t="s">
        <v>53</v>
      </c>
      <c r="C66" s="51" t="s">
        <v>22</v>
      </c>
      <c r="D66" s="51" t="s">
        <v>54</v>
      </c>
      <c r="E66" s="160" t="s">
        <v>205</v>
      </c>
      <c r="F66" s="160"/>
      <c r="G66" s="53" t="s">
        <v>55</v>
      </c>
      <c r="H66" s="54">
        <v>1</v>
      </c>
      <c r="I66" s="55">
        <f>LAFAYETE!G16</f>
        <v>81.709999999999994</v>
      </c>
      <c r="J66" s="128">
        <f t="shared" ref="J66:J71" si="6">ROUND(H66*I66,2)</f>
        <v>81.709999999999994</v>
      </c>
      <c r="K66" s="143"/>
    </row>
    <row r="67" spans="1:11" ht="24" customHeight="1">
      <c r="A67" s="56" t="s">
        <v>153</v>
      </c>
      <c r="B67" s="57" t="s">
        <v>156</v>
      </c>
      <c r="C67" s="56" t="s">
        <v>29</v>
      </c>
      <c r="D67" s="56" t="s">
        <v>157</v>
      </c>
      <c r="E67" s="161" t="s">
        <v>152</v>
      </c>
      <c r="F67" s="161"/>
      <c r="G67" s="58" t="s">
        <v>24</v>
      </c>
      <c r="H67" s="59">
        <v>1</v>
      </c>
      <c r="I67" s="60">
        <v>20.420000000000002</v>
      </c>
      <c r="J67" s="128">
        <f t="shared" si="6"/>
        <v>20.420000000000002</v>
      </c>
      <c r="K67" s="143"/>
    </row>
    <row r="68" spans="1:11" ht="25.95" customHeight="1">
      <c r="A68" s="64" t="s">
        <v>164</v>
      </c>
      <c r="B68" s="65" t="s">
        <v>206</v>
      </c>
      <c r="C68" s="64" t="s">
        <v>29</v>
      </c>
      <c r="D68" s="64" t="s">
        <v>207</v>
      </c>
      <c r="E68" s="157" t="s">
        <v>167</v>
      </c>
      <c r="F68" s="157"/>
      <c r="G68" s="66" t="s">
        <v>59</v>
      </c>
      <c r="H68" s="67">
        <v>1</v>
      </c>
      <c r="I68" s="68">
        <v>5.68</v>
      </c>
      <c r="J68" s="128">
        <f t="shared" si="6"/>
        <v>5.68</v>
      </c>
    </row>
    <row r="69" spans="1:11" ht="25.95" customHeight="1">
      <c r="A69" s="64" t="s">
        <v>164</v>
      </c>
      <c r="B69" s="65" t="s">
        <v>208</v>
      </c>
      <c r="C69" s="64" t="s">
        <v>209</v>
      </c>
      <c r="D69" s="64" t="s">
        <v>210</v>
      </c>
      <c r="E69" s="157" t="s">
        <v>167</v>
      </c>
      <c r="F69" s="157"/>
      <c r="G69" s="66" t="s">
        <v>211</v>
      </c>
      <c r="H69" s="67">
        <v>1</v>
      </c>
      <c r="I69" s="68">
        <v>7.84</v>
      </c>
      <c r="J69" s="128">
        <f t="shared" si="6"/>
        <v>7.84</v>
      </c>
    </row>
    <row r="70" spans="1:11" ht="39" customHeight="1">
      <c r="A70" s="64" t="s">
        <v>164</v>
      </c>
      <c r="B70" s="65" t="s">
        <v>212</v>
      </c>
      <c r="C70" s="64" t="s">
        <v>29</v>
      </c>
      <c r="D70" s="64" t="s">
        <v>213</v>
      </c>
      <c r="E70" s="157" t="s">
        <v>167</v>
      </c>
      <c r="F70" s="157"/>
      <c r="G70" s="66" t="s">
        <v>59</v>
      </c>
      <c r="H70" s="67">
        <v>1</v>
      </c>
      <c r="I70" s="68">
        <v>43.95</v>
      </c>
      <c r="J70" s="128">
        <f t="shared" si="6"/>
        <v>43.95</v>
      </c>
    </row>
    <row r="71" spans="1:11" ht="25.95" customHeight="1">
      <c r="A71" s="64" t="s">
        <v>164</v>
      </c>
      <c r="B71" s="65" t="s">
        <v>214</v>
      </c>
      <c r="C71" s="64" t="s">
        <v>29</v>
      </c>
      <c r="D71" s="64" t="s">
        <v>215</v>
      </c>
      <c r="E71" s="157" t="s">
        <v>167</v>
      </c>
      <c r="F71" s="157"/>
      <c r="G71" s="66" t="s">
        <v>59</v>
      </c>
      <c r="H71" s="67">
        <v>1</v>
      </c>
      <c r="I71" s="68">
        <v>3.82</v>
      </c>
      <c r="J71" s="128">
        <f t="shared" si="6"/>
        <v>3.82</v>
      </c>
    </row>
    <row r="72" spans="1:11" ht="30" customHeight="1" thickBot="1">
      <c r="A72" s="61"/>
      <c r="B72" s="61"/>
      <c r="C72" s="61"/>
      <c r="D72" s="61"/>
      <c r="E72" s="61"/>
      <c r="F72" s="61"/>
      <c r="G72" s="61" t="s">
        <v>158</v>
      </c>
      <c r="H72" s="62">
        <f>LAFAYETE!F16</f>
        <v>8</v>
      </c>
      <c r="I72" s="61" t="s">
        <v>159</v>
      </c>
      <c r="J72" s="127">
        <f>LAFAYETE!I16</f>
        <v>803.28</v>
      </c>
    </row>
    <row r="73" spans="1:11" ht="1.05" customHeight="1" thickTop="1">
      <c r="A73" s="63"/>
      <c r="B73" s="63"/>
      <c r="C73" s="63"/>
      <c r="D73" s="63"/>
      <c r="E73" s="63"/>
      <c r="F73" s="63"/>
      <c r="G73" s="63"/>
      <c r="H73" s="63"/>
      <c r="I73" s="63"/>
      <c r="J73" s="63"/>
    </row>
    <row r="74" spans="1:11" ht="18" customHeight="1">
      <c r="A74" s="48" t="s">
        <v>56</v>
      </c>
      <c r="B74" s="49" t="s">
        <v>9</v>
      </c>
      <c r="C74" s="48" t="s">
        <v>10</v>
      </c>
      <c r="D74" s="48" t="s">
        <v>11</v>
      </c>
      <c r="E74" s="159" t="s">
        <v>150</v>
      </c>
      <c r="F74" s="159"/>
      <c r="G74" s="50" t="s">
        <v>12</v>
      </c>
      <c r="H74" s="49" t="s">
        <v>13</v>
      </c>
      <c r="I74" s="49" t="s">
        <v>14</v>
      </c>
      <c r="J74" s="49" t="s">
        <v>16</v>
      </c>
    </row>
    <row r="75" spans="1:11" ht="25.95" customHeight="1">
      <c r="A75" s="51" t="s">
        <v>151</v>
      </c>
      <c r="B75" s="52" t="s">
        <v>57</v>
      </c>
      <c r="C75" s="51" t="s">
        <v>29</v>
      </c>
      <c r="D75" s="51" t="s">
        <v>58</v>
      </c>
      <c r="E75" s="160" t="s">
        <v>216</v>
      </c>
      <c r="F75" s="160"/>
      <c r="G75" s="53" t="s">
        <v>59</v>
      </c>
      <c r="H75" s="54">
        <v>1</v>
      </c>
      <c r="I75" s="55">
        <f>LAFAYETE!G17</f>
        <v>12.12</v>
      </c>
      <c r="J75" s="128">
        <f t="shared" ref="J75:J79" si="7">ROUND(H75*I75,2)</f>
        <v>12.12</v>
      </c>
    </row>
    <row r="76" spans="1:11" ht="25.95" customHeight="1">
      <c r="A76" s="56" t="s">
        <v>153</v>
      </c>
      <c r="B76" s="57" t="s">
        <v>217</v>
      </c>
      <c r="C76" s="56" t="s">
        <v>29</v>
      </c>
      <c r="D76" s="56" t="s">
        <v>218</v>
      </c>
      <c r="E76" s="161" t="s">
        <v>152</v>
      </c>
      <c r="F76" s="161"/>
      <c r="G76" s="58" t="s">
        <v>24</v>
      </c>
      <c r="H76" s="59">
        <v>8.4500000000000006E-2</v>
      </c>
      <c r="I76" s="60">
        <v>24.63</v>
      </c>
      <c r="J76" s="128">
        <f t="shared" si="7"/>
        <v>2.08</v>
      </c>
    </row>
    <row r="77" spans="1:11" ht="24" customHeight="1">
      <c r="A77" s="56" t="s">
        <v>153</v>
      </c>
      <c r="B77" s="57" t="s">
        <v>156</v>
      </c>
      <c r="C77" s="56" t="s">
        <v>29</v>
      </c>
      <c r="D77" s="56" t="s">
        <v>157</v>
      </c>
      <c r="E77" s="161" t="s">
        <v>152</v>
      </c>
      <c r="F77" s="161"/>
      <c r="G77" s="58" t="s">
        <v>24</v>
      </c>
      <c r="H77" s="59">
        <v>2.6599999999999999E-2</v>
      </c>
      <c r="I77" s="60">
        <v>20.420000000000002</v>
      </c>
      <c r="J77" s="128">
        <f t="shared" si="7"/>
        <v>0.54</v>
      </c>
    </row>
    <row r="78" spans="1:11" ht="24" customHeight="1">
      <c r="A78" s="64" t="s">
        <v>164</v>
      </c>
      <c r="B78" s="65" t="s">
        <v>219</v>
      </c>
      <c r="C78" s="64" t="s">
        <v>29</v>
      </c>
      <c r="D78" s="64" t="s">
        <v>220</v>
      </c>
      <c r="E78" s="157" t="s">
        <v>167</v>
      </c>
      <c r="F78" s="157"/>
      <c r="G78" s="66" t="s">
        <v>59</v>
      </c>
      <c r="H78" s="67">
        <v>3.32E-2</v>
      </c>
      <c r="I78" s="68">
        <v>3.1</v>
      </c>
      <c r="J78" s="128">
        <f t="shared" si="7"/>
        <v>0.1</v>
      </c>
    </row>
    <row r="79" spans="1:11" ht="39" customHeight="1">
      <c r="A79" s="64" t="s">
        <v>164</v>
      </c>
      <c r="B79" s="65" t="s">
        <v>221</v>
      </c>
      <c r="C79" s="64" t="s">
        <v>29</v>
      </c>
      <c r="D79" s="64" t="s">
        <v>222</v>
      </c>
      <c r="E79" s="157" t="s">
        <v>167</v>
      </c>
      <c r="F79" s="157"/>
      <c r="G79" s="66" t="s">
        <v>59</v>
      </c>
      <c r="H79" s="67">
        <v>1</v>
      </c>
      <c r="I79" s="68">
        <v>9.4</v>
      </c>
      <c r="J79" s="128">
        <f t="shared" si="7"/>
        <v>9.4</v>
      </c>
    </row>
    <row r="80" spans="1:11" ht="30" customHeight="1" thickBot="1">
      <c r="A80" s="61"/>
      <c r="B80" s="61"/>
      <c r="C80" s="61"/>
      <c r="D80" s="61"/>
      <c r="E80" s="61"/>
      <c r="F80" s="61"/>
      <c r="G80" s="61" t="s">
        <v>158</v>
      </c>
      <c r="H80" s="62">
        <f>LAFAYETE!F17</f>
        <v>4</v>
      </c>
      <c r="I80" s="61" t="s">
        <v>159</v>
      </c>
      <c r="J80" s="127">
        <f>LAFAYETE!I17</f>
        <v>59.56</v>
      </c>
    </row>
    <row r="81" spans="1:11" ht="1.05" customHeight="1" thickTop="1">
      <c r="A81" s="63"/>
      <c r="B81" s="63"/>
      <c r="C81" s="63"/>
      <c r="D81" s="63"/>
      <c r="E81" s="63"/>
      <c r="F81" s="63"/>
      <c r="G81" s="63"/>
      <c r="H81" s="63"/>
      <c r="I81" s="63"/>
      <c r="J81" s="63"/>
    </row>
    <row r="82" spans="1:11" ht="18" customHeight="1">
      <c r="A82" s="48" t="s">
        <v>60</v>
      </c>
      <c r="B82" s="49" t="s">
        <v>9</v>
      </c>
      <c r="C82" s="48" t="s">
        <v>10</v>
      </c>
      <c r="D82" s="48" t="s">
        <v>11</v>
      </c>
      <c r="E82" s="159" t="s">
        <v>150</v>
      </c>
      <c r="F82" s="159"/>
      <c r="G82" s="50" t="s">
        <v>12</v>
      </c>
      <c r="H82" s="49" t="s">
        <v>13</v>
      </c>
      <c r="I82" s="49" t="s">
        <v>14</v>
      </c>
      <c r="J82" s="49" t="s">
        <v>16</v>
      </c>
    </row>
    <row r="83" spans="1:11" ht="25.95" customHeight="1">
      <c r="A83" s="51" t="s">
        <v>151</v>
      </c>
      <c r="B83" s="52" t="s">
        <v>61</v>
      </c>
      <c r="C83" s="51" t="s">
        <v>29</v>
      </c>
      <c r="D83" s="51" t="s">
        <v>62</v>
      </c>
      <c r="E83" s="160" t="s">
        <v>216</v>
      </c>
      <c r="F83" s="160"/>
      <c r="G83" s="53" t="s">
        <v>59</v>
      </c>
      <c r="H83" s="54">
        <v>1</v>
      </c>
      <c r="I83" s="55">
        <f>LAFAYETE!G18</f>
        <v>10.47</v>
      </c>
      <c r="J83" s="128">
        <f t="shared" ref="J83:J87" si="8">ROUND(H83*I83,2)</f>
        <v>10.47</v>
      </c>
    </row>
    <row r="84" spans="1:11" ht="25.95" customHeight="1">
      <c r="A84" s="56" t="s">
        <v>153</v>
      </c>
      <c r="B84" s="57" t="s">
        <v>217</v>
      </c>
      <c r="C84" s="56" t="s">
        <v>29</v>
      </c>
      <c r="D84" s="56" t="s">
        <v>218</v>
      </c>
      <c r="E84" s="161" t="s">
        <v>152</v>
      </c>
      <c r="F84" s="161"/>
      <c r="G84" s="58" t="s">
        <v>24</v>
      </c>
      <c r="H84" s="59">
        <v>0.1525</v>
      </c>
      <c r="I84" s="60">
        <v>24.63</v>
      </c>
      <c r="J84" s="128">
        <f t="shared" si="8"/>
        <v>3.76</v>
      </c>
    </row>
    <row r="85" spans="1:11" ht="24" customHeight="1">
      <c r="A85" s="56" t="s">
        <v>153</v>
      </c>
      <c r="B85" s="57" t="s">
        <v>156</v>
      </c>
      <c r="C85" s="56" t="s">
        <v>29</v>
      </c>
      <c r="D85" s="56" t="s">
        <v>157</v>
      </c>
      <c r="E85" s="161" t="s">
        <v>152</v>
      </c>
      <c r="F85" s="161"/>
      <c r="G85" s="58" t="s">
        <v>24</v>
      </c>
      <c r="H85" s="59">
        <v>4.8099999999999997E-2</v>
      </c>
      <c r="I85" s="60">
        <v>20.420000000000002</v>
      </c>
      <c r="J85" s="128">
        <f t="shared" si="8"/>
        <v>0.98</v>
      </c>
    </row>
    <row r="86" spans="1:11" ht="24" customHeight="1">
      <c r="A86" s="64" t="s">
        <v>164</v>
      </c>
      <c r="B86" s="65" t="s">
        <v>219</v>
      </c>
      <c r="C86" s="64" t="s">
        <v>29</v>
      </c>
      <c r="D86" s="64" t="s">
        <v>220</v>
      </c>
      <c r="E86" s="157" t="s">
        <v>167</v>
      </c>
      <c r="F86" s="157"/>
      <c r="G86" s="66" t="s">
        <v>59</v>
      </c>
      <c r="H86" s="67">
        <v>2.1000000000000001E-2</v>
      </c>
      <c r="I86" s="68">
        <v>3.1</v>
      </c>
      <c r="J86" s="128">
        <f t="shared" si="8"/>
        <v>7.0000000000000007E-2</v>
      </c>
    </row>
    <row r="87" spans="1:11" ht="25.95" customHeight="1">
      <c r="A87" s="64" t="s">
        <v>164</v>
      </c>
      <c r="B87" s="65" t="s">
        <v>206</v>
      </c>
      <c r="C87" s="64" t="s">
        <v>29</v>
      </c>
      <c r="D87" s="64" t="s">
        <v>207</v>
      </c>
      <c r="E87" s="157" t="s">
        <v>167</v>
      </c>
      <c r="F87" s="157"/>
      <c r="G87" s="66" t="s">
        <v>59</v>
      </c>
      <c r="H87" s="67">
        <v>1</v>
      </c>
      <c r="I87" s="68">
        <v>5.68</v>
      </c>
      <c r="J87" s="128">
        <f t="shared" si="8"/>
        <v>5.68</v>
      </c>
    </row>
    <row r="88" spans="1:11" ht="30" customHeight="1" thickBot="1">
      <c r="A88" s="61"/>
      <c r="B88" s="61"/>
      <c r="C88" s="61"/>
      <c r="D88" s="61"/>
      <c r="E88" s="61"/>
      <c r="F88" s="61"/>
      <c r="G88" s="61" t="s">
        <v>158</v>
      </c>
      <c r="H88" s="62">
        <f>LAFAYETE!F18</f>
        <v>8</v>
      </c>
      <c r="I88" s="61" t="s">
        <v>159</v>
      </c>
      <c r="J88" s="127">
        <f>LAFAYETE!I18</f>
        <v>102.96</v>
      </c>
    </row>
    <row r="89" spans="1:11" ht="1.05" customHeight="1" thickTop="1">
      <c r="A89" s="63"/>
      <c r="B89" s="63"/>
      <c r="C89" s="63"/>
      <c r="D89" s="63"/>
      <c r="E89" s="63"/>
      <c r="F89" s="63"/>
      <c r="G89" s="63"/>
      <c r="H89" s="63"/>
      <c r="I89" s="63"/>
      <c r="J89" s="63"/>
    </row>
    <row r="90" spans="1:11" ht="18" customHeight="1">
      <c r="A90" s="48" t="s">
        <v>63</v>
      </c>
      <c r="B90" s="49" t="s">
        <v>9</v>
      </c>
      <c r="C90" s="48" t="s">
        <v>10</v>
      </c>
      <c r="D90" s="48" t="s">
        <v>11</v>
      </c>
      <c r="E90" s="159" t="s">
        <v>150</v>
      </c>
      <c r="F90" s="159"/>
      <c r="G90" s="50" t="s">
        <v>12</v>
      </c>
      <c r="H90" s="49" t="s">
        <v>13</v>
      </c>
      <c r="I90" s="49" t="s">
        <v>14</v>
      </c>
      <c r="J90" s="49" t="s">
        <v>16</v>
      </c>
    </row>
    <row r="91" spans="1:11" ht="39" customHeight="1">
      <c r="A91" s="51" t="s">
        <v>151</v>
      </c>
      <c r="B91" s="52" t="s">
        <v>64</v>
      </c>
      <c r="C91" s="51" t="s">
        <v>29</v>
      </c>
      <c r="D91" s="51" t="s">
        <v>65</v>
      </c>
      <c r="E91" s="160" t="s">
        <v>216</v>
      </c>
      <c r="F91" s="160"/>
      <c r="G91" s="53" t="s">
        <v>59</v>
      </c>
      <c r="H91" s="54">
        <v>1</v>
      </c>
      <c r="I91" s="55">
        <f>LAFAYETE!G19</f>
        <v>78.91</v>
      </c>
      <c r="J91" s="128">
        <f t="shared" ref="J91:J95" si="9">ROUND(H91*I91,2)</f>
        <v>78.91</v>
      </c>
    </row>
    <row r="92" spans="1:11" ht="25.95" customHeight="1">
      <c r="A92" s="56" t="s">
        <v>153</v>
      </c>
      <c r="B92" s="57" t="s">
        <v>217</v>
      </c>
      <c r="C92" s="56" t="s">
        <v>29</v>
      </c>
      <c r="D92" s="56" t="s">
        <v>218</v>
      </c>
      <c r="E92" s="161" t="s">
        <v>152</v>
      </c>
      <c r="F92" s="161"/>
      <c r="G92" s="58" t="s">
        <v>24</v>
      </c>
      <c r="H92" s="59">
        <v>0.1164</v>
      </c>
      <c r="I92" s="60">
        <v>24.63</v>
      </c>
      <c r="J92" s="128">
        <f t="shared" si="9"/>
        <v>2.87</v>
      </c>
      <c r="K92" s="143"/>
    </row>
    <row r="93" spans="1:11" ht="24" customHeight="1">
      <c r="A93" s="56" t="s">
        <v>153</v>
      </c>
      <c r="B93" s="57" t="s">
        <v>156</v>
      </c>
      <c r="C93" s="56" t="s">
        <v>29</v>
      </c>
      <c r="D93" s="56" t="s">
        <v>157</v>
      </c>
      <c r="E93" s="161" t="s">
        <v>152</v>
      </c>
      <c r="F93" s="161"/>
      <c r="G93" s="58" t="s">
        <v>24</v>
      </c>
      <c r="H93" s="59">
        <v>3.6700000000000003E-2</v>
      </c>
      <c r="I93" s="60">
        <v>20.420000000000002</v>
      </c>
      <c r="J93" s="128">
        <f t="shared" si="9"/>
        <v>0.75</v>
      </c>
    </row>
    <row r="94" spans="1:11" ht="24" customHeight="1">
      <c r="A94" s="64" t="s">
        <v>164</v>
      </c>
      <c r="B94" s="65" t="s">
        <v>219</v>
      </c>
      <c r="C94" s="64" t="s">
        <v>29</v>
      </c>
      <c r="D94" s="64" t="s">
        <v>220</v>
      </c>
      <c r="E94" s="157" t="s">
        <v>167</v>
      </c>
      <c r="F94" s="157"/>
      <c r="G94" s="66" t="s">
        <v>59</v>
      </c>
      <c r="H94" s="67">
        <v>2.1000000000000001E-2</v>
      </c>
      <c r="I94" s="68">
        <v>3.1</v>
      </c>
      <c r="J94" s="128">
        <f t="shared" si="9"/>
        <v>7.0000000000000007E-2</v>
      </c>
    </row>
    <row r="95" spans="1:11" ht="39" customHeight="1">
      <c r="A95" s="64" t="s">
        <v>164</v>
      </c>
      <c r="B95" s="65" t="s">
        <v>223</v>
      </c>
      <c r="C95" s="64" t="s">
        <v>29</v>
      </c>
      <c r="D95" s="64" t="s">
        <v>224</v>
      </c>
      <c r="E95" s="157" t="s">
        <v>167</v>
      </c>
      <c r="F95" s="157"/>
      <c r="G95" s="66" t="s">
        <v>59</v>
      </c>
      <c r="H95" s="67">
        <v>1</v>
      </c>
      <c r="I95" s="68">
        <v>75.25</v>
      </c>
      <c r="J95" s="128">
        <f t="shared" si="9"/>
        <v>75.25</v>
      </c>
    </row>
    <row r="96" spans="1:11" ht="30" customHeight="1" thickBot="1">
      <c r="A96" s="61"/>
      <c r="B96" s="61"/>
      <c r="C96" s="61"/>
      <c r="D96" s="61"/>
      <c r="E96" s="61"/>
      <c r="F96" s="61"/>
      <c r="G96" s="61" t="s">
        <v>158</v>
      </c>
      <c r="H96" s="62">
        <f>LAFAYETE!F19</f>
        <v>5</v>
      </c>
      <c r="I96" s="61" t="s">
        <v>159</v>
      </c>
      <c r="J96" s="127">
        <f>LAFAYETE!I19</f>
        <v>484.8</v>
      </c>
    </row>
    <row r="97" spans="1:11" ht="1.05" customHeight="1" thickTop="1">
      <c r="A97" s="63"/>
      <c r="B97" s="63"/>
      <c r="C97" s="63"/>
      <c r="D97" s="63"/>
      <c r="E97" s="63"/>
      <c r="F97" s="63"/>
      <c r="G97" s="63"/>
      <c r="H97" s="63"/>
      <c r="I97" s="63"/>
      <c r="J97" s="129"/>
    </row>
    <row r="98" spans="1:11" ht="24" customHeight="1">
      <c r="A98" s="45" t="s">
        <v>66</v>
      </c>
      <c r="B98" s="45"/>
      <c r="C98" s="45"/>
      <c r="D98" s="45" t="s">
        <v>67</v>
      </c>
      <c r="E98" s="45"/>
      <c r="F98" s="158"/>
      <c r="G98" s="158"/>
      <c r="H98" s="46"/>
      <c r="I98" s="45"/>
      <c r="J98" s="130">
        <f>SUM(J108,J119,J131,J142)</f>
        <v>69830.350000000006</v>
      </c>
    </row>
    <row r="99" spans="1:11" ht="18" customHeight="1">
      <c r="A99" s="48" t="s">
        <v>68</v>
      </c>
      <c r="B99" s="49" t="s">
        <v>9</v>
      </c>
      <c r="C99" s="48" t="s">
        <v>10</v>
      </c>
      <c r="D99" s="48" t="s">
        <v>11</v>
      </c>
      <c r="E99" s="159" t="s">
        <v>150</v>
      </c>
      <c r="F99" s="159"/>
      <c r="G99" s="50" t="s">
        <v>12</v>
      </c>
      <c r="H99" s="49" t="s">
        <v>13</v>
      </c>
      <c r="I99" s="49" t="s">
        <v>14</v>
      </c>
      <c r="J99" s="49" t="s">
        <v>16</v>
      </c>
    </row>
    <row r="100" spans="1:11" ht="64.95" customHeight="1">
      <c r="A100" s="51" t="s">
        <v>151</v>
      </c>
      <c r="B100" s="52" t="s">
        <v>69</v>
      </c>
      <c r="C100" s="51" t="s">
        <v>22</v>
      </c>
      <c r="D100" s="51" t="s">
        <v>70</v>
      </c>
      <c r="E100" s="160" t="s">
        <v>205</v>
      </c>
      <c r="F100" s="160"/>
      <c r="G100" s="53" t="s">
        <v>71</v>
      </c>
      <c r="H100" s="54">
        <v>1</v>
      </c>
      <c r="I100" s="55">
        <f>LAFAYETE!G21</f>
        <v>160.78</v>
      </c>
      <c r="J100" s="128">
        <f t="shared" ref="J100:J107" si="10">ROUND(H100*I100,2)</f>
        <v>160.78</v>
      </c>
      <c r="K100" s="143"/>
    </row>
    <row r="101" spans="1:11" ht="24" customHeight="1">
      <c r="A101" s="56" t="s">
        <v>153</v>
      </c>
      <c r="B101" s="57" t="s">
        <v>225</v>
      </c>
      <c r="C101" s="56" t="s">
        <v>29</v>
      </c>
      <c r="D101" s="56" t="s">
        <v>226</v>
      </c>
      <c r="E101" s="161" t="s">
        <v>152</v>
      </c>
      <c r="F101" s="161"/>
      <c r="G101" s="58" t="s">
        <v>24</v>
      </c>
      <c r="H101" s="59">
        <v>0.5</v>
      </c>
      <c r="I101" s="60">
        <v>25.18</v>
      </c>
      <c r="J101" s="128">
        <f t="shared" si="10"/>
        <v>12.59</v>
      </c>
    </row>
    <row r="102" spans="1:11" ht="24" customHeight="1">
      <c r="A102" s="56" t="s">
        <v>153</v>
      </c>
      <c r="B102" s="57" t="s">
        <v>156</v>
      </c>
      <c r="C102" s="56" t="s">
        <v>29</v>
      </c>
      <c r="D102" s="56" t="s">
        <v>157</v>
      </c>
      <c r="E102" s="161" t="s">
        <v>152</v>
      </c>
      <c r="F102" s="161"/>
      <c r="G102" s="58" t="s">
        <v>24</v>
      </c>
      <c r="H102" s="59">
        <v>1</v>
      </c>
      <c r="I102" s="60">
        <v>20.420000000000002</v>
      </c>
      <c r="J102" s="128">
        <f t="shared" si="10"/>
        <v>20.420000000000002</v>
      </c>
    </row>
    <row r="103" spans="1:11" ht="39" customHeight="1">
      <c r="A103" s="64" t="s">
        <v>164</v>
      </c>
      <c r="B103" s="65" t="s">
        <v>227</v>
      </c>
      <c r="C103" s="64" t="s">
        <v>29</v>
      </c>
      <c r="D103" s="64" t="s">
        <v>228</v>
      </c>
      <c r="E103" s="157" t="s">
        <v>167</v>
      </c>
      <c r="F103" s="157"/>
      <c r="G103" s="66" t="s">
        <v>31</v>
      </c>
      <c r="H103" s="67">
        <v>1.1000000000000001</v>
      </c>
      <c r="I103" s="68">
        <v>61.73</v>
      </c>
      <c r="J103" s="128">
        <f t="shared" si="10"/>
        <v>67.900000000000006</v>
      </c>
    </row>
    <row r="104" spans="1:11" ht="25.95" customHeight="1">
      <c r="A104" s="64" t="s">
        <v>164</v>
      </c>
      <c r="B104" s="65" t="s">
        <v>229</v>
      </c>
      <c r="C104" s="64" t="s">
        <v>29</v>
      </c>
      <c r="D104" s="64" t="s">
        <v>230</v>
      </c>
      <c r="E104" s="157" t="s">
        <v>167</v>
      </c>
      <c r="F104" s="157"/>
      <c r="G104" s="66" t="s">
        <v>126</v>
      </c>
      <c r="H104" s="67">
        <v>4.2999999999999997E-2</v>
      </c>
      <c r="I104" s="68">
        <v>27.38</v>
      </c>
      <c r="J104" s="128">
        <f t="shared" si="10"/>
        <v>1.18</v>
      </c>
    </row>
    <row r="105" spans="1:11" ht="39" customHeight="1">
      <c r="A105" s="64" t="s">
        <v>164</v>
      </c>
      <c r="B105" s="65" t="s">
        <v>231</v>
      </c>
      <c r="C105" s="64" t="s">
        <v>29</v>
      </c>
      <c r="D105" s="64" t="s">
        <v>232</v>
      </c>
      <c r="E105" s="157" t="s">
        <v>167</v>
      </c>
      <c r="F105" s="157"/>
      <c r="G105" s="66" t="s">
        <v>40</v>
      </c>
      <c r="H105" s="67">
        <v>0.4</v>
      </c>
      <c r="I105" s="68">
        <v>50.3</v>
      </c>
      <c r="J105" s="128">
        <f t="shared" si="10"/>
        <v>20.12</v>
      </c>
    </row>
    <row r="106" spans="1:11" ht="25.95" customHeight="1">
      <c r="A106" s="64" t="s">
        <v>164</v>
      </c>
      <c r="B106" s="65" t="s">
        <v>233</v>
      </c>
      <c r="C106" s="64" t="s">
        <v>29</v>
      </c>
      <c r="D106" s="64" t="s">
        <v>234</v>
      </c>
      <c r="E106" s="157" t="s">
        <v>167</v>
      </c>
      <c r="F106" s="157"/>
      <c r="G106" s="66" t="s">
        <v>40</v>
      </c>
      <c r="H106" s="67">
        <v>0.34</v>
      </c>
      <c r="I106" s="68">
        <v>105.51</v>
      </c>
      <c r="J106" s="128">
        <f t="shared" si="10"/>
        <v>35.869999999999997</v>
      </c>
    </row>
    <row r="107" spans="1:11" ht="25.95" customHeight="1">
      <c r="A107" s="64" t="s">
        <v>164</v>
      </c>
      <c r="B107" s="65" t="s">
        <v>235</v>
      </c>
      <c r="C107" s="64" t="s">
        <v>29</v>
      </c>
      <c r="D107" s="64" t="s">
        <v>236</v>
      </c>
      <c r="E107" s="157" t="s">
        <v>167</v>
      </c>
      <c r="F107" s="157"/>
      <c r="G107" s="66" t="s">
        <v>126</v>
      </c>
      <c r="H107" s="67">
        <v>0.1</v>
      </c>
      <c r="I107" s="68">
        <v>27</v>
      </c>
      <c r="J107" s="128">
        <f t="shared" si="10"/>
        <v>2.7</v>
      </c>
    </row>
    <row r="108" spans="1:11" ht="30" customHeight="1" thickBot="1">
      <c r="A108" s="61"/>
      <c r="B108" s="61"/>
      <c r="C108" s="61"/>
      <c r="D108" s="61"/>
      <c r="E108" s="61"/>
      <c r="F108" s="61"/>
      <c r="G108" s="61" t="s">
        <v>158</v>
      </c>
      <c r="H108" s="62">
        <f>LAFAYETE!F21</f>
        <v>250.8</v>
      </c>
      <c r="I108" s="61" t="s">
        <v>159</v>
      </c>
      <c r="J108" s="127">
        <f>LAFAYETE!I21</f>
        <v>49550.559999999998</v>
      </c>
    </row>
    <row r="109" spans="1:11" ht="1.05" customHeight="1" thickTop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</row>
    <row r="110" spans="1:11" ht="18" customHeight="1">
      <c r="A110" s="48" t="s">
        <v>72</v>
      </c>
      <c r="B110" s="49" t="s">
        <v>9</v>
      </c>
      <c r="C110" s="48" t="s">
        <v>10</v>
      </c>
      <c r="D110" s="48" t="s">
        <v>11</v>
      </c>
      <c r="E110" s="159" t="s">
        <v>150</v>
      </c>
      <c r="F110" s="159"/>
      <c r="G110" s="50" t="s">
        <v>12</v>
      </c>
      <c r="H110" s="49" t="s">
        <v>13</v>
      </c>
      <c r="I110" s="49" t="s">
        <v>14</v>
      </c>
      <c r="J110" s="49" t="s">
        <v>16</v>
      </c>
    </row>
    <row r="111" spans="1:11" ht="25.95" customHeight="1">
      <c r="A111" s="51" t="s">
        <v>151</v>
      </c>
      <c r="B111" s="52" t="s">
        <v>73</v>
      </c>
      <c r="C111" s="51" t="s">
        <v>22</v>
      </c>
      <c r="D111" s="51" t="s">
        <v>74</v>
      </c>
      <c r="E111" s="160" t="s">
        <v>205</v>
      </c>
      <c r="F111" s="160"/>
      <c r="G111" s="53" t="s">
        <v>71</v>
      </c>
      <c r="H111" s="54">
        <v>1</v>
      </c>
      <c r="I111" s="55">
        <f>LAFAYETE!G22</f>
        <v>93.21</v>
      </c>
      <c r="J111" s="128">
        <f t="shared" ref="J111:J118" si="11">ROUND(H111*I111,2)</f>
        <v>93.21</v>
      </c>
      <c r="K111" s="143"/>
    </row>
    <row r="112" spans="1:11" ht="24" customHeight="1">
      <c r="A112" s="56" t="s">
        <v>153</v>
      </c>
      <c r="B112" s="57" t="s">
        <v>237</v>
      </c>
      <c r="C112" s="56" t="s">
        <v>29</v>
      </c>
      <c r="D112" s="56" t="s">
        <v>238</v>
      </c>
      <c r="E112" s="161" t="s">
        <v>152</v>
      </c>
      <c r="F112" s="161"/>
      <c r="G112" s="58" t="s">
        <v>24</v>
      </c>
      <c r="H112" s="59">
        <v>0.5</v>
      </c>
      <c r="I112" s="60">
        <v>26.02</v>
      </c>
      <c r="J112" s="128">
        <f t="shared" si="11"/>
        <v>13.01</v>
      </c>
      <c r="K112" s="143"/>
    </row>
    <row r="113" spans="1:10" ht="24" customHeight="1">
      <c r="A113" s="56" t="s">
        <v>153</v>
      </c>
      <c r="B113" s="57" t="s">
        <v>225</v>
      </c>
      <c r="C113" s="56" t="s">
        <v>29</v>
      </c>
      <c r="D113" s="56" t="s">
        <v>226</v>
      </c>
      <c r="E113" s="161" t="s">
        <v>152</v>
      </c>
      <c r="F113" s="161"/>
      <c r="G113" s="58" t="s">
        <v>24</v>
      </c>
      <c r="H113" s="59">
        <v>0.5</v>
      </c>
      <c r="I113" s="60">
        <v>25.18</v>
      </c>
      <c r="J113" s="128">
        <f t="shared" si="11"/>
        <v>12.59</v>
      </c>
    </row>
    <row r="114" spans="1:10" ht="24" customHeight="1">
      <c r="A114" s="56" t="s">
        <v>153</v>
      </c>
      <c r="B114" s="57" t="s">
        <v>154</v>
      </c>
      <c r="C114" s="56" t="s">
        <v>29</v>
      </c>
      <c r="D114" s="56" t="s">
        <v>155</v>
      </c>
      <c r="E114" s="161" t="s">
        <v>152</v>
      </c>
      <c r="F114" s="161"/>
      <c r="G114" s="58" t="s">
        <v>24</v>
      </c>
      <c r="H114" s="59">
        <v>1</v>
      </c>
      <c r="I114" s="60">
        <v>25.38</v>
      </c>
      <c r="J114" s="128">
        <f t="shared" si="11"/>
        <v>25.38</v>
      </c>
    </row>
    <row r="115" spans="1:10" ht="24" customHeight="1">
      <c r="A115" s="56" t="s">
        <v>153</v>
      </c>
      <c r="B115" s="57" t="s">
        <v>156</v>
      </c>
      <c r="C115" s="56" t="s">
        <v>29</v>
      </c>
      <c r="D115" s="56" t="s">
        <v>157</v>
      </c>
      <c r="E115" s="161" t="s">
        <v>152</v>
      </c>
      <c r="F115" s="161"/>
      <c r="G115" s="58" t="s">
        <v>24</v>
      </c>
      <c r="H115" s="59">
        <v>1</v>
      </c>
      <c r="I115" s="60">
        <v>20.420000000000002</v>
      </c>
      <c r="J115" s="128">
        <f t="shared" si="11"/>
        <v>20.420000000000002</v>
      </c>
    </row>
    <row r="116" spans="1:10" ht="25.95" customHeight="1">
      <c r="A116" s="64" t="s">
        <v>164</v>
      </c>
      <c r="B116" s="65" t="s">
        <v>229</v>
      </c>
      <c r="C116" s="64" t="s">
        <v>29</v>
      </c>
      <c r="D116" s="64" t="s">
        <v>230</v>
      </c>
      <c r="E116" s="157" t="s">
        <v>167</v>
      </c>
      <c r="F116" s="157"/>
      <c r="G116" s="66" t="s">
        <v>126</v>
      </c>
      <c r="H116" s="67">
        <v>0.25</v>
      </c>
      <c r="I116" s="68">
        <v>27.38</v>
      </c>
      <c r="J116" s="128">
        <f t="shared" si="11"/>
        <v>6.85</v>
      </c>
    </row>
    <row r="117" spans="1:10" ht="25.95" customHeight="1">
      <c r="A117" s="64" t="s">
        <v>164</v>
      </c>
      <c r="B117" s="65" t="s">
        <v>239</v>
      </c>
      <c r="C117" s="64" t="s">
        <v>209</v>
      </c>
      <c r="D117" s="64" t="s">
        <v>240</v>
      </c>
      <c r="E117" s="157" t="s">
        <v>167</v>
      </c>
      <c r="F117" s="157"/>
      <c r="G117" s="66" t="s">
        <v>241</v>
      </c>
      <c r="H117" s="67">
        <v>0.08</v>
      </c>
      <c r="I117" s="68">
        <v>33.32</v>
      </c>
      <c r="J117" s="128">
        <f t="shared" si="11"/>
        <v>2.67</v>
      </c>
    </row>
    <row r="118" spans="1:10" ht="25.95" customHeight="1">
      <c r="A118" s="64" t="s">
        <v>164</v>
      </c>
      <c r="B118" s="65" t="s">
        <v>242</v>
      </c>
      <c r="C118" s="64" t="s">
        <v>209</v>
      </c>
      <c r="D118" s="64" t="s">
        <v>243</v>
      </c>
      <c r="E118" s="157" t="s">
        <v>167</v>
      </c>
      <c r="F118" s="157"/>
      <c r="G118" s="66" t="s">
        <v>31</v>
      </c>
      <c r="H118" s="67">
        <v>1.05</v>
      </c>
      <c r="I118" s="68">
        <v>11.7</v>
      </c>
      <c r="J118" s="128">
        <f t="shared" si="11"/>
        <v>12.29</v>
      </c>
    </row>
    <row r="119" spans="1:10" ht="30" customHeight="1" thickBot="1">
      <c r="A119" s="61"/>
      <c r="B119" s="61"/>
      <c r="C119" s="61"/>
      <c r="D119" s="61"/>
      <c r="E119" s="61"/>
      <c r="F119" s="61"/>
      <c r="G119" s="61" t="s">
        <v>158</v>
      </c>
      <c r="H119" s="62">
        <f>LAFAYETE!F22</f>
        <v>129</v>
      </c>
      <c r="I119" s="61" t="s">
        <v>159</v>
      </c>
      <c r="J119" s="127">
        <f>LAFAYETE!I22</f>
        <v>14775.66</v>
      </c>
    </row>
    <row r="120" spans="1:10" ht="1.05" customHeight="1" thickTop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</row>
    <row r="121" spans="1:10" ht="18" customHeight="1">
      <c r="A121" s="48" t="s">
        <v>75</v>
      </c>
      <c r="B121" s="49" t="s">
        <v>9</v>
      </c>
      <c r="C121" s="48" t="s">
        <v>10</v>
      </c>
      <c r="D121" s="48" t="s">
        <v>11</v>
      </c>
      <c r="E121" s="159" t="s">
        <v>150</v>
      </c>
      <c r="F121" s="159"/>
      <c r="G121" s="50" t="s">
        <v>12</v>
      </c>
      <c r="H121" s="49" t="s">
        <v>13</v>
      </c>
      <c r="I121" s="49" t="s">
        <v>14</v>
      </c>
      <c r="J121" s="49" t="s">
        <v>16</v>
      </c>
    </row>
    <row r="122" spans="1:10" ht="39" customHeight="1">
      <c r="A122" s="51" t="s">
        <v>151</v>
      </c>
      <c r="B122" s="52" t="s">
        <v>76</v>
      </c>
      <c r="C122" s="51" t="s">
        <v>29</v>
      </c>
      <c r="D122" s="51" t="s">
        <v>77</v>
      </c>
      <c r="E122" s="160" t="s">
        <v>244</v>
      </c>
      <c r="F122" s="160"/>
      <c r="G122" s="53" t="s">
        <v>31</v>
      </c>
      <c r="H122" s="54">
        <v>1</v>
      </c>
      <c r="I122" s="55">
        <f>LAFAYETE!G23</f>
        <v>73.739999999999995</v>
      </c>
      <c r="J122" s="128">
        <f t="shared" ref="J122:J130" si="12">ROUND(H122*I122,2)</f>
        <v>73.739999999999995</v>
      </c>
    </row>
    <row r="123" spans="1:10" ht="25.95" customHeight="1">
      <c r="A123" s="56" t="s">
        <v>153</v>
      </c>
      <c r="B123" s="57" t="s">
        <v>245</v>
      </c>
      <c r="C123" s="56" t="s">
        <v>29</v>
      </c>
      <c r="D123" s="56" t="s">
        <v>246</v>
      </c>
      <c r="E123" s="161" t="s">
        <v>152</v>
      </c>
      <c r="F123" s="161"/>
      <c r="G123" s="58" t="s">
        <v>24</v>
      </c>
      <c r="H123" s="59">
        <v>0.49940000000000001</v>
      </c>
      <c r="I123" s="60">
        <v>29.6</v>
      </c>
      <c r="J123" s="128">
        <f t="shared" si="12"/>
        <v>14.78</v>
      </c>
    </row>
    <row r="124" spans="1:10" ht="39" customHeight="1">
      <c r="A124" s="64" t="s">
        <v>164</v>
      </c>
      <c r="B124" s="65" t="s">
        <v>247</v>
      </c>
      <c r="C124" s="64" t="s">
        <v>29</v>
      </c>
      <c r="D124" s="64" t="s">
        <v>248</v>
      </c>
      <c r="E124" s="157" t="s">
        <v>167</v>
      </c>
      <c r="F124" s="157"/>
      <c r="G124" s="66" t="s">
        <v>31</v>
      </c>
      <c r="H124" s="67">
        <v>1.0955999999999999</v>
      </c>
      <c r="I124" s="68">
        <v>26.61</v>
      </c>
      <c r="J124" s="128">
        <f t="shared" si="12"/>
        <v>29.15</v>
      </c>
    </row>
    <row r="125" spans="1:10" ht="39" customHeight="1">
      <c r="A125" s="64" t="s">
        <v>164</v>
      </c>
      <c r="B125" s="65" t="s">
        <v>249</v>
      </c>
      <c r="C125" s="64" t="s">
        <v>29</v>
      </c>
      <c r="D125" s="64" t="s">
        <v>250</v>
      </c>
      <c r="E125" s="157" t="s">
        <v>167</v>
      </c>
      <c r="F125" s="157"/>
      <c r="G125" s="66" t="s">
        <v>40</v>
      </c>
      <c r="H125" s="67">
        <v>3.8498999999999999</v>
      </c>
      <c r="I125" s="68">
        <v>5.82</v>
      </c>
      <c r="J125" s="128">
        <f t="shared" si="12"/>
        <v>22.41</v>
      </c>
    </row>
    <row r="126" spans="1:10" ht="39" customHeight="1">
      <c r="A126" s="64" t="s">
        <v>164</v>
      </c>
      <c r="B126" s="65" t="s">
        <v>251</v>
      </c>
      <c r="C126" s="64" t="s">
        <v>29</v>
      </c>
      <c r="D126" s="64" t="s">
        <v>252</v>
      </c>
      <c r="E126" s="157" t="s">
        <v>253</v>
      </c>
      <c r="F126" s="157"/>
      <c r="G126" s="66" t="s">
        <v>59</v>
      </c>
      <c r="H126" s="67">
        <v>1.3265</v>
      </c>
      <c r="I126" s="68">
        <v>2.19</v>
      </c>
      <c r="J126" s="128">
        <f t="shared" si="12"/>
        <v>2.91</v>
      </c>
    </row>
    <row r="127" spans="1:10" ht="39" customHeight="1">
      <c r="A127" s="64" t="s">
        <v>164</v>
      </c>
      <c r="B127" s="65" t="s">
        <v>254</v>
      </c>
      <c r="C127" s="64" t="s">
        <v>29</v>
      </c>
      <c r="D127" s="64" t="s">
        <v>255</v>
      </c>
      <c r="E127" s="157" t="s">
        <v>167</v>
      </c>
      <c r="F127" s="157"/>
      <c r="G127" s="66" t="s">
        <v>59</v>
      </c>
      <c r="H127" s="67">
        <v>2.1911999999999998</v>
      </c>
      <c r="I127" s="68">
        <v>0.31</v>
      </c>
      <c r="J127" s="128">
        <f t="shared" si="12"/>
        <v>0.68</v>
      </c>
    </row>
    <row r="128" spans="1:10" ht="25.95" customHeight="1">
      <c r="A128" s="64" t="s">
        <v>164</v>
      </c>
      <c r="B128" s="65" t="s">
        <v>256</v>
      </c>
      <c r="C128" s="64" t="s">
        <v>29</v>
      </c>
      <c r="D128" s="64" t="s">
        <v>257</v>
      </c>
      <c r="E128" s="157" t="s">
        <v>167</v>
      </c>
      <c r="F128" s="157"/>
      <c r="G128" s="66" t="s">
        <v>258</v>
      </c>
      <c r="H128" s="67">
        <v>1.32E-2</v>
      </c>
      <c r="I128" s="68">
        <v>35.85</v>
      </c>
      <c r="J128" s="128">
        <f t="shared" si="12"/>
        <v>0.47</v>
      </c>
    </row>
    <row r="129" spans="1:10" ht="25.95" customHeight="1">
      <c r="A129" s="64" t="s">
        <v>164</v>
      </c>
      <c r="B129" s="65" t="s">
        <v>259</v>
      </c>
      <c r="C129" s="64" t="s">
        <v>29</v>
      </c>
      <c r="D129" s="64" t="s">
        <v>260</v>
      </c>
      <c r="E129" s="157" t="s">
        <v>167</v>
      </c>
      <c r="F129" s="157"/>
      <c r="G129" s="66" t="s">
        <v>258</v>
      </c>
      <c r="H129" s="67">
        <v>3.3300000000000003E-2</v>
      </c>
      <c r="I129" s="68">
        <v>61.47</v>
      </c>
      <c r="J129" s="128">
        <f t="shared" si="12"/>
        <v>2.0499999999999998</v>
      </c>
    </row>
    <row r="130" spans="1:10" ht="39" customHeight="1">
      <c r="A130" s="64" t="s">
        <v>164</v>
      </c>
      <c r="B130" s="65" t="s">
        <v>261</v>
      </c>
      <c r="C130" s="64" t="s">
        <v>29</v>
      </c>
      <c r="D130" s="64" t="s">
        <v>262</v>
      </c>
      <c r="E130" s="157" t="s">
        <v>167</v>
      </c>
      <c r="F130" s="157"/>
      <c r="G130" s="66" t="s">
        <v>126</v>
      </c>
      <c r="H130" s="67">
        <v>4.2599999999999999E-2</v>
      </c>
      <c r="I130" s="68">
        <v>31.36</v>
      </c>
      <c r="J130" s="128">
        <f t="shared" si="12"/>
        <v>1.34</v>
      </c>
    </row>
    <row r="131" spans="1:10" ht="30" customHeight="1" thickBot="1">
      <c r="A131" s="61"/>
      <c r="B131" s="61"/>
      <c r="C131" s="61"/>
      <c r="D131" s="61"/>
      <c r="E131" s="61"/>
      <c r="F131" s="61"/>
      <c r="G131" s="61" t="s">
        <v>158</v>
      </c>
      <c r="H131" s="62">
        <f>LAFAYETE!F23</f>
        <v>27</v>
      </c>
      <c r="I131" s="61" t="s">
        <v>159</v>
      </c>
      <c r="J131" s="127">
        <f>LAFAYETE!I23</f>
        <v>2446.4699999999998</v>
      </c>
    </row>
    <row r="132" spans="1:10" ht="1.05" customHeight="1" thickTop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</row>
    <row r="133" spans="1:10" ht="18" customHeight="1">
      <c r="A133" s="48" t="s">
        <v>78</v>
      </c>
      <c r="B133" s="49" t="s">
        <v>9</v>
      </c>
      <c r="C133" s="48" t="s">
        <v>10</v>
      </c>
      <c r="D133" s="48" t="s">
        <v>11</v>
      </c>
      <c r="E133" s="159" t="s">
        <v>150</v>
      </c>
      <c r="F133" s="159"/>
      <c r="G133" s="50" t="s">
        <v>12</v>
      </c>
      <c r="H133" s="49" t="s">
        <v>13</v>
      </c>
      <c r="I133" s="49" t="s">
        <v>14</v>
      </c>
      <c r="J133" s="49" t="s">
        <v>16</v>
      </c>
    </row>
    <row r="134" spans="1:10" ht="25.95" customHeight="1">
      <c r="A134" s="51" t="s">
        <v>151</v>
      </c>
      <c r="B134" s="52" t="s">
        <v>79</v>
      </c>
      <c r="C134" s="51" t="s">
        <v>29</v>
      </c>
      <c r="D134" s="51" t="s">
        <v>80</v>
      </c>
      <c r="E134" s="160" t="s">
        <v>244</v>
      </c>
      <c r="F134" s="160"/>
      <c r="G134" s="53" t="s">
        <v>31</v>
      </c>
      <c r="H134" s="54">
        <v>1</v>
      </c>
      <c r="I134" s="55">
        <f>LAFAYETE!G24</f>
        <v>41.17</v>
      </c>
      <c r="J134" s="128">
        <f t="shared" ref="J134:J141" si="13">ROUND(H134*I134,2)</f>
        <v>41.17</v>
      </c>
    </row>
    <row r="135" spans="1:10" ht="24" customHeight="1">
      <c r="A135" s="56" t="s">
        <v>153</v>
      </c>
      <c r="B135" s="57" t="s">
        <v>263</v>
      </c>
      <c r="C135" s="56" t="s">
        <v>29</v>
      </c>
      <c r="D135" s="56" t="s">
        <v>264</v>
      </c>
      <c r="E135" s="161" t="s">
        <v>152</v>
      </c>
      <c r="F135" s="161"/>
      <c r="G135" s="58" t="s">
        <v>24</v>
      </c>
      <c r="H135" s="59">
        <v>0.7974</v>
      </c>
      <c r="I135" s="60">
        <v>25.18</v>
      </c>
      <c r="J135" s="128">
        <f t="shared" si="13"/>
        <v>20.079999999999998</v>
      </c>
    </row>
    <row r="136" spans="1:10" ht="24" customHeight="1">
      <c r="A136" s="56" t="s">
        <v>153</v>
      </c>
      <c r="B136" s="57" t="s">
        <v>156</v>
      </c>
      <c r="C136" s="56" t="s">
        <v>29</v>
      </c>
      <c r="D136" s="56" t="s">
        <v>157</v>
      </c>
      <c r="E136" s="161" t="s">
        <v>152</v>
      </c>
      <c r="F136" s="161"/>
      <c r="G136" s="58" t="s">
        <v>24</v>
      </c>
      <c r="H136" s="59">
        <v>0.3987</v>
      </c>
      <c r="I136" s="60">
        <v>20.420000000000002</v>
      </c>
      <c r="J136" s="128">
        <f t="shared" si="13"/>
        <v>8.14</v>
      </c>
    </row>
    <row r="137" spans="1:10" ht="24" customHeight="1">
      <c r="A137" s="64" t="s">
        <v>164</v>
      </c>
      <c r="B137" s="65" t="s">
        <v>265</v>
      </c>
      <c r="C137" s="64" t="s">
        <v>29</v>
      </c>
      <c r="D137" s="64" t="s">
        <v>266</v>
      </c>
      <c r="E137" s="157" t="s">
        <v>167</v>
      </c>
      <c r="F137" s="157"/>
      <c r="G137" s="66" t="s">
        <v>126</v>
      </c>
      <c r="H137" s="67">
        <v>2.5000000000000001E-2</v>
      </c>
      <c r="I137" s="68">
        <v>38.51</v>
      </c>
      <c r="J137" s="128">
        <f t="shared" si="13"/>
        <v>0.96</v>
      </c>
    </row>
    <row r="138" spans="1:10" ht="25.95" customHeight="1">
      <c r="A138" s="64" t="s">
        <v>164</v>
      </c>
      <c r="B138" s="65" t="s">
        <v>267</v>
      </c>
      <c r="C138" s="64" t="s">
        <v>29</v>
      </c>
      <c r="D138" s="64" t="s">
        <v>268</v>
      </c>
      <c r="E138" s="157" t="s">
        <v>167</v>
      </c>
      <c r="F138" s="157"/>
      <c r="G138" s="66" t="s">
        <v>126</v>
      </c>
      <c r="H138" s="67">
        <v>0.99639999999999995</v>
      </c>
      <c r="I138" s="68">
        <v>0.7</v>
      </c>
      <c r="J138" s="128">
        <f t="shared" si="13"/>
        <v>0.7</v>
      </c>
    </row>
    <row r="139" spans="1:10" ht="25.95" customHeight="1">
      <c r="A139" s="64" t="s">
        <v>164</v>
      </c>
      <c r="B139" s="65" t="s">
        <v>269</v>
      </c>
      <c r="C139" s="64" t="s">
        <v>29</v>
      </c>
      <c r="D139" s="64" t="s">
        <v>270</v>
      </c>
      <c r="E139" s="157" t="s">
        <v>167</v>
      </c>
      <c r="F139" s="157"/>
      <c r="G139" s="66" t="s">
        <v>31</v>
      </c>
      <c r="H139" s="67">
        <v>1.0293000000000001</v>
      </c>
      <c r="I139" s="68">
        <v>9.84</v>
      </c>
      <c r="J139" s="128">
        <f t="shared" si="13"/>
        <v>10.130000000000001</v>
      </c>
    </row>
    <row r="140" spans="1:10" ht="24" customHeight="1">
      <c r="A140" s="64" t="s">
        <v>164</v>
      </c>
      <c r="B140" s="65" t="s">
        <v>271</v>
      </c>
      <c r="C140" s="64" t="s">
        <v>29</v>
      </c>
      <c r="D140" s="64" t="s">
        <v>272</v>
      </c>
      <c r="E140" s="157" t="s">
        <v>167</v>
      </c>
      <c r="F140" s="157"/>
      <c r="G140" s="66" t="s">
        <v>126</v>
      </c>
      <c r="H140" s="67">
        <v>7.7999999999999996E-3</v>
      </c>
      <c r="I140" s="68">
        <v>12</v>
      </c>
      <c r="J140" s="128">
        <f t="shared" si="13"/>
        <v>0.09</v>
      </c>
    </row>
    <row r="141" spans="1:10" ht="25.95" customHeight="1">
      <c r="A141" s="64" t="s">
        <v>164</v>
      </c>
      <c r="B141" s="65" t="s">
        <v>256</v>
      </c>
      <c r="C141" s="64" t="s">
        <v>29</v>
      </c>
      <c r="D141" s="64" t="s">
        <v>257</v>
      </c>
      <c r="E141" s="157" t="s">
        <v>167</v>
      </c>
      <c r="F141" s="157"/>
      <c r="G141" s="66" t="s">
        <v>258</v>
      </c>
      <c r="H141" s="67">
        <v>3.0800000000000001E-2</v>
      </c>
      <c r="I141" s="68">
        <v>35.85</v>
      </c>
      <c r="J141" s="128">
        <f t="shared" si="13"/>
        <v>1.1000000000000001</v>
      </c>
    </row>
    <row r="142" spans="1:10" ht="30" customHeight="1" thickBot="1">
      <c r="A142" s="61"/>
      <c r="B142" s="61"/>
      <c r="C142" s="61"/>
      <c r="D142" s="61"/>
      <c r="E142" s="61"/>
      <c r="F142" s="61"/>
      <c r="G142" s="61" t="s">
        <v>158</v>
      </c>
      <c r="H142" s="62">
        <f>LAFAYETE!F24</f>
        <v>60.44</v>
      </c>
      <c r="I142" s="61" t="s">
        <v>159</v>
      </c>
      <c r="J142" s="127">
        <f>LAFAYETE!I24</f>
        <v>3057.66</v>
      </c>
    </row>
    <row r="143" spans="1:10" ht="1.05" customHeight="1" thickTop="1">
      <c r="A143" s="63"/>
      <c r="B143" s="63"/>
      <c r="C143" s="63"/>
      <c r="D143" s="63"/>
      <c r="E143" s="63"/>
      <c r="F143" s="63"/>
      <c r="G143" s="63"/>
      <c r="H143" s="63"/>
      <c r="I143" s="63"/>
      <c r="J143" s="129"/>
    </row>
    <row r="144" spans="1:10" ht="24" customHeight="1">
      <c r="A144" s="45" t="s">
        <v>81</v>
      </c>
      <c r="B144" s="45"/>
      <c r="C144" s="45"/>
      <c r="D144" s="45" t="s">
        <v>82</v>
      </c>
      <c r="E144" s="45"/>
      <c r="F144" s="158"/>
      <c r="G144" s="158"/>
      <c r="H144" s="46"/>
      <c r="I144" s="45"/>
      <c r="J144" s="130">
        <f>SUM(J152,J162)</f>
        <v>25628.260000000002</v>
      </c>
    </row>
    <row r="145" spans="1:10" ht="18" customHeight="1">
      <c r="A145" s="48" t="s">
        <v>83</v>
      </c>
      <c r="B145" s="49" t="s">
        <v>9</v>
      </c>
      <c r="C145" s="48" t="s">
        <v>10</v>
      </c>
      <c r="D145" s="48" t="s">
        <v>11</v>
      </c>
      <c r="E145" s="159" t="s">
        <v>150</v>
      </c>
      <c r="F145" s="159"/>
      <c r="G145" s="50" t="s">
        <v>12</v>
      </c>
      <c r="H145" s="49" t="s">
        <v>13</v>
      </c>
      <c r="I145" s="49" t="s">
        <v>14</v>
      </c>
      <c r="J145" s="49" t="s">
        <v>16</v>
      </c>
    </row>
    <row r="146" spans="1:10" ht="39" customHeight="1">
      <c r="A146" s="51" t="s">
        <v>151</v>
      </c>
      <c r="B146" s="52" t="s">
        <v>84</v>
      </c>
      <c r="C146" s="51" t="s">
        <v>29</v>
      </c>
      <c r="D146" s="51" t="s">
        <v>85</v>
      </c>
      <c r="E146" s="160" t="s">
        <v>273</v>
      </c>
      <c r="F146" s="160"/>
      <c r="G146" s="53" t="s">
        <v>31</v>
      </c>
      <c r="H146" s="54">
        <v>1</v>
      </c>
      <c r="I146" s="55">
        <f>LAFAYETE!G26</f>
        <v>18.329999999999998</v>
      </c>
      <c r="J146" s="128">
        <f>ROUND(H146*I146,2)</f>
        <v>18.329999999999998</v>
      </c>
    </row>
    <row r="147" spans="1:10" ht="24" customHeight="1">
      <c r="A147" s="56" t="s">
        <v>153</v>
      </c>
      <c r="B147" s="57" t="s">
        <v>156</v>
      </c>
      <c r="C147" s="56" t="s">
        <v>29</v>
      </c>
      <c r="D147" s="56" t="s">
        <v>157</v>
      </c>
      <c r="E147" s="161" t="s">
        <v>152</v>
      </c>
      <c r="F147" s="161"/>
      <c r="G147" s="58" t="s">
        <v>24</v>
      </c>
      <c r="H147" s="59">
        <v>0.28499999999999998</v>
      </c>
      <c r="I147" s="60">
        <v>20.420000000000002</v>
      </c>
      <c r="J147" s="128">
        <f t="shared" ref="J147:J151" si="14">ROUND(H147*I147,2)</f>
        <v>5.82</v>
      </c>
    </row>
    <row r="148" spans="1:10" ht="24" customHeight="1">
      <c r="A148" s="56" t="s">
        <v>153</v>
      </c>
      <c r="B148" s="57" t="s">
        <v>274</v>
      </c>
      <c r="C148" s="56" t="s">
        <v>29</v>
      </c>
      <c r="D148" s="56" t="s">
        <v>275</v>
      </c>
      <c r="E148" s="161" t="s">
        <v>152</v>
      </c>
      <c r="F148" s="161"/>
      <c r="G148" s="58" t="s">
        <v>24</v>
      </c>
      <c r="H148" s="59">
        <v>0.183</v>
      </c>
      <c r="I148" s="60">
        <v>24.76</v>
      </c>
      <c r="J148" s="128">
        <f t="shared" si="14"/>
        <v>4.53</v>
      </c>
    </row>
    <row r="149" spans="1:10" ht="39" customHeight="1">
      <c r="A149" s="56" t="s">
        <v>153</v>
      </c>
      <c r="B149" s="57" t="s">
        <v>276</v>
      </c>
      <c r="C149" s="56" t="s">
        <v>29</v>
      </c>
      <c r="D149" s="56" t="s">
        <v>277</v>
      </c>
      <c r="E149" s="161" t="s">
        <v>278</v>
      </c>
      <c r="F149" s="161"/>
      <c r="G149" s="58" t="s">
        <v>279</v>
      </c>
      <c r="H149" s="59">
        <v>7.4000000000000003E-3</v>
      </c>
      <c r="I149" s="60">
        <v>31.23</v>
      </c>
      <c r="J149" s="128">
        <f t="shared" si="14"/>
        <v>0.23</v>
      </c>
    </row>
    <row r="150" spans="1:10" ht="39" customHeight="1">
      <c r="A150" s="56" t="s">
        <v>153</v>
      </c>
      <c r="B150" s="57" t="s">
        <v>280</v>
      </c>
      <c r="C150" s="56" t="s">
        <v>29</v>
      </c>
      <c r="D150" s="56" t="s">
        <v>281</v>
      </c>
      <c r="E150" s="161" t="s">
        <v>278</v>
      </c>
      <c r="F150" s="161"/>
      <c r="G150" s="58" t="s">
        <v>282</v>
      </c>
      <c r="H150" s="59">
        <v>1.03E-2</v>
      </c>
      <c r="I150" s="60">
        <v>30.17</v>
      </c>
      <c r="J150" s="128">
        <f t="shared" si="14"/>
        <v>0.31</v>
      </c>
    </row>
    <row r="151" spans="1:10" ht="52.05" customHeight="1">
      <c r="A151" s="64" t="s">
        <v>164</v>
      </c>
      <c r="B151" s="65" t="s">
        <v>283</v>
      </c>
      <c r="C151" s="64" t="s">
        <v>29</v>
      </c>
      <c r="D151" s="64" t="s">
        <v>284</v>
      </c>
      <c r="E151" s="157" t="s">
        <v>167</v>
      </c>
      <c r="F151" s="157"/>
      <c r="G151" s="66" t="s">
        <v>285</v>
      </c>
      <c r="H151" s="67">
        <v>5.4999999999999997E-3</v>
      </c>
      <c r="I151" s="68">
        <v>1355</v>
      </c>
      <c r="J151" s="128">
        <f t="shared" si="14"/>
        <v>7.45</v>
      </c>
    </row>
    <row r="152" spans="1:10" ht="30" customHeight="1" thickBot="1">
      <c r="A152" s="61"/>
      <c r="B152" s="61"/>
      <c r="C152" s="61"/>
      <c r="D152" s="61"/>
      <c r="E152" s="61"/>
      <c r="F152" s="61"/>
      <c r="G152" s="61" t="s">
        <v>158</v>
      </c>
      <c r="H152" s="62">
        <f>LAFAYETE!F26</f>
        <v>934</v>
      </c>
      <c r="I152" s="61" t="s">
        <v>159</v>
      </c>
      <c r="J152" s="127">
        <f>LAFAYETE!I26</f>
        <v>21033.68</v>
      </c>
    </row>
    <row r="153" spans="1:10" ht="1.05" customHeight="1" thickTop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</row>
    <row r="154" spans="1:10" ht="18" customHeight="1">
      <c r="A154" s="48" t="s">
        <v>86</v>
      </c>
      <c r="B154" s="49" t="s">
        <v>9</v>
      </c>
      <c r="C154" s="48" t="s">
        <v>10</v>
      </c>
      <c r="D154" s="48" t="s">
        <v>11</v>
      </c>
      <c r="E154" s="159" t="s">
        <v>150</v>
      </c>
      <c r="F154" s="159"/>
      <c r="G154" s="50" t="s">
        <v>12</v>
      </c>
      <c r="H154" s="49" t="s">
        <v>13</v>
      </c>
      <c r="I154" s="49" t="s">
        <v>14</v>
      </c>
      <c r="J154" s="49" t="s">
        <v>16</v>
      </c>
    </row>
    <row r="155" spans="1:10" ht="52.05" customHeight="1">
      <c r="A155" s="51" t="s">
        <v>151</v>
      </c>
      <c r="B155" s="52" t="s">
        <v>87</v>
      </c>
      <c r="C155" s="51" t="s">
        <v>29</v>
      </c>
      <c r="D155" s="51" t="s">
        <v>88</v>
      </c>
      <c r="E155" s="160" t="s">
        <v>273</v>
      </c>
      <c r="F155" s="160"/>
      <c r="G155" s="53" t="s">
        <v>40</v>
      </c>
      <c r="H155" s="54">
        <v>1</v>
      </c>
      <c r="I155" s="55">
        <f>LAFAYETE!G27</f>
        <v>33.090000000000003</v>
      </c>
      <c r="J155" s="128">
        <f t="shared" ref="J155:J161" si="15">ROUND(H155*I155,2)</f>
        <v>33.090000000000003</v>
      </c>
    </row>
    <row r="156" spans="1:10" ht="64.95" customHeight="1">
      <c r="A156" s="56" t="s">
        <v>153</v>
      </c>
      <c r="B156" s="57" t="s">
        <v>286</v>
      </c>
      <c r="C156" s="56" t="s">
        <v>29</v>
      </c>
      <c r="D156" s="56" t="s">
        <v>287</v>
      </c>
      <c r="E156" s="161" t="s">
        <v>152</v>
      </c>
      <c r="F156" s="161"/>
      <c r="G156" s="58" t="s">
        <v>163</v>
      </c>
      <c r="H156" s="59">
        <v>1.17E-2</v>
      </c>
      <c r="I156" s="60">
        <v>634.25</v>
      </c>
      <c r="J156" s="128">
        <f t="shared" si="15"/>
        <v>7.42</v>
      </c>
    </row>
    <row r="157" spans="1:10" ht="24" customHeight="1">
      <c r="A157" s="56" t="s">
        <v>153</v>
      </c>
      <c r="B157" s="57" t="s">
        <v>156</v>
      </c>
      <c r="C157" s="56" t="s">
        <v>29</v>
      </c>
      <c r="D157" s="56" t="s">
        <v>157</v>
      </c>
      <c r="E157" s="161" t="s">
        <v>152</v>
      </c>
      <c r="F157" s="161"/>
      <c r="G157" s="58" t="s">
        <v>24</v>
      </c>
      <c r="H157" s="59">
        <v>0.35</v>
      </c>
      <c r="I157" s="60">
        <v>20.420000000000002</v>
      </c>
      <c r="J157" s="128">
        <f t="shared" si="15"/>
        <v>7.15</v>
      </c>
    </row>
    <row r="158" spans="1:10" ht="24" customHeight="1">
      <c r="A158" s="56" t="s">
        <v>153</v>
      </c>
      <c r="B158" s="57" t="s">
        <v>274</v>
      </c>
      <c r="C158" s="56" t="s">
        <v>29</v>
      </c>
      <c r="D158" s="56" t="s">
        <v>275</v>
      </c>
      <c r="E158" s="161" t="s">
        <v>152</v>
      </c>
      <c r="F158" s="161"/>
      <c r="G158" s="58" t="s">
        <v>24</v>
      </c>
      <c r="H158" s="59">
        <v>0.30499999999999999</v>
      </c>
      <c r="I158" s="60">
        <v>24.76</v>
      </c>
      <c r="J158" s="128">
        <f t="shared" si="15"/>
        <v>7.55</v>
      </c>
    </row>
    <row r="159" spans="1:10" ht="39" customHeight="1">
      <c r="A159" s="56" t="s">
        <v>153</v>
      </c>
      <c r="B159" s="57" t="s">
        <v>276</v>
      </c>
      <c r="C159" s="56" t="s">
        <v>29</v>
      </c>
      <c r="D159" s="56" t="s">
        <v>277</v>
      </c>
      <c r="E159" s="161" t="s">
        <v>278</v>
      </c>
      <c r="F159" s="161"/>
      <c r="G159" s="58" t="s">
        <v>279</v>
      </c>
      <c r="H159" s="59">
        <v>6.3E-3</v>
      </c>
      <c r="I159" s="60">
        <v>31.23</v>
      </c>
      <c r="J159" s="128">
        <f t="shared" si="15"/>
        <v>0.2</v>
      </c>
    </row>
    <row r="160" spans="1:10" ht="39" customHeight="1">
      <c r="A160" s="56" t="s">
        <v>153</v>
      </c>
      <c r="B160" s="57" t="s">
        <v>280</v>
      </c>
      <c r="C160" s="56" t="s">
        <v>29</v>
      </c>
      <c r="D160" s="56" t="s">
        <v>281</v>
      </c>
      <c r="E160" s="161" t="s">
        <v>278</v>
      </c>
      <c r="F160" s="161"/>
      <c r="G160" s="58" t="s">
        <v>282</v>
      </c>
      <c r="H160" s="59">
        <v>8.6999999999999994E-3</v>
      </c>
      <c r="I160" s="60">
        <v>30.17</v>
      </c>
      <c r="J160" s="128">
        <f t="shared" si="15"/>
        <v>0.26</v>
      </c>
    </row>
    <row r="161" spans="1:11" ht="25.95" customHeight="1">
      <c r="A161" s="64" t="s">
        <v>164</v>
      </c>
      <c r="B161" s="65" t="s">
        <v>288</v>
      </c>
      <c r="C161" s="64" t="s">
        <v>29</v>
      </c>
      <c r="D161" s="64" t="s">
        <v>289</v>
      </c>
      <c r="E161" s="157" t="s">
        <v>167</v>
      </c>
      <c r="F161" s="157"/>
      <c r="G161" s="66" t="s">
        <v>59</v>
      </c>
      <c r="H161" s="67">
        <v>3</v>
      </c>
      <c r="I161" s="68">
        <v>3.51</v>
      </c>
      <c r="J161" s="128">
        <f t="shared" si="15"/>
        <v>10.53</v>
      </c>
    </row>
    <row r="162" spans="1:11" ht="30" customHeight="1" thickBot="1">
      <c r="A162" s="61"/>
      <c r="B162" s="61"/>
      <c r="C162" s="61"/>
      <c r="D162" s="61"/>
      <c r="E162" s="61"/>
      <c r="F162" s="61"/>
      <c r="G162" s="61" t="s">
        <v>158</v>
      </c>
      <c r="H162" s="62">
        <f>LAFAYETE!F27</f>
        <v>113</v>
      </c>
      <c r="I162" s="61" t="s">
        <v>159</v>
      </c>
      <c r="J162" s="127">
        <f>LAFAYETE!I27</f>
        <v>4594.58</v>
      </c>
    </row>
    <row r="163" spans="1:11" ht="1.05" customHeight="1" thickTop="1">
      <c r="A163" s="63"/>
      <c r="B163" s="63"/>
      <c r="C163" s="63"/>
      <c r="D163" s="63"/>
      <c r="E163" s="63"/>
      <c r="F163" s="63"/>
      <c r="G163" s="63"/>
      <c r="H163" s="63"/>
      <c r="I163" s="63"/>
      <c r="J163" s="129"/>
    </row>
    <row r="164" spans="1:11" ht="24" customHeight="1">
      <c r="A164" s="45" t="s">
        <v>89</v>
      </c>
      <c r="B164" s="45"/>
      <c r="C164" s="45"/>
      <c r="D164" s="45" t="s">
        <v>67</v>
      </c>
      <c r="E164" s="45"/>
      <c r="F164" s="158"/>
      <c r="G164" s="158"/>
      <c r="H164" s="46"/>
      <c r="I164" s="45"/>
      <c r="J164" s="130">
        <f>SUM(J170)</f>
        <v>3319.61</v>
      </c>
    </row>
    <row r="165" spans="1:11" ht="18" customHeight="1">
      <c r="A165" s="48" t="s">
        <v>90</v>
      </c>
      <c r="B165" s="49" t="s">
        <v>9</v>
      </c>
      <c r="C165" s="48" t="s">
        <v>10</v>
      </c>
      <c r="D165" s="48" t="s">
        <v>11</v>
      </c>
      <c r="E165" s="159" t="s">
        <v>150</v>
      </c>
      <c r="F165" s="159"/>
      <c r="G165" s="50" t="s">
        <v>12</v>
      </c>
      <c r="H165" s="49" t="s">
        <v>13</v>
      </c>
      <c r="I165" s="49" t="s">
        <v>14</v>
      </c>
      <c r="J165" s="49" t="s">
        <v>16</v>
      </c>
    </row>
    <row r="166" spans="1:11" ht="24" customHeight="1">
      <c r="A166" s="51" t="s">
        <v>151</v>
      </c>
      <c r="B166" s="52" t="s">
        <v>91</v>
      </c>
      <c r="C166" s="51" t="s">
        <v>22</v>
      </c>
      <c r="D166" s="51" t="s">
        <v>92</v>
      </c>
      <c r="E166" s="160" t="s">
        <v>205</v>
      </c>
      <c r="F166" s="160"/>
      <c r="G166" s="53" t="s">
        <v>71</v>
      </c>
      <c r="H166" s="54">
        <v>1</v>
      </c>
      <c r="I166" s="55">
        <f>LAFAYETE!G29</f>
        <v>2.68</v>
      </c>
      <c r="J166" s="128">
        <f t="shared" ref="J166:J169" si="16">ROUND(H166*I166,2)</f>
        <v>2.68</v>
      </c>
      <c r="K166" s="143"/>
    </row>
    <row r="167" spans="1:11" ht="24" customHeight="1">
      <c r="A167" s="56" t="s">
        <v>153</v>
      </c>
      <c r="B167" s="57" t="s">
        <v>156</v>
      </c>
      <c r="C167" s="56" t="s">
        <v>29</v>
      </c>
      <c r="D167" s="56" t="s">
        <v>157</v>
      </c>
      <c r="E167" s="161" t="s">
        <v>152</v>
      </c>
      <c r="F167" s="161"/>
      <c r="G167" s="58" t="s">
        <v>24</v>
      </c>
      <c r="H167" s="59">
        <v>0.1</v>
      </c>
      <c r="I167" s="60">
        <v>20.420000000000002</v>
      </c>
      <c r="J167" s="128">
        <f t="shared" si="16"/>
        <v>2.04</v>
      </c>
      <c r="K167" s="143"/>
    </row>
    <row r="168" spans="1:11" ht="24" customHeight="1">
      <c r="A168" s="64" t="s">
        <v>164</v>
      </c>
      <c r="B168" s="65" t="s">
        <v>290</v>
      </c>
      <c r="C168" s="64" t="s">
        <v>209</v>
      </c>
      <c r="D168" s="64" t="s">
        <v>291</v>
      </c>
      <c r="E168" s="157" t="s">
        <v>167</v>
      </c>
      <c r="F168" s="157"/>
      <c r="G168" s="66" t="s">
        <v>211</v>
      </c>
      <c r="H168" s="67">
        <v>0.05</v>
      </c>
      <c r="I168" s="68">
        <v>11.8</v>
      </c>
      <c r="J168" s="128">
        <f t="shared" si="16"/>
        <v>0.59</v>
      </c>
    </row>
    <row r="169" spans="1:11" ht="24" customHeight="1">
      <c r="A169" s="64" t="s">
        <v>164</v>
      </c>
      <c r="B169" s="65" t="s">
        <v>292</v>
      </c>
      <c r="C169" s="64" t="s">
        <v>209</v>
      </c>
      <c r="D169" s="64" t="s">
        <v>293</v>
      </c>
      <c r="E169" s="157" t="s">
        <v>167</v>
      </c>
      <c r="F169" s="157"/>
      <c r="G169" s="66" t="s">
        <v>241</v>
      </c>
      <c r="H169" s="67">
        <v>5.0000000000000001E-3</v>
      </c>
      <c r="I169" s="68">
        <v>9.68</v>
      </c>
      <c r="J169" s="128">
        <f t="shared" si="16"/>
        <v>0.05</v>
      </c>
    </row>
    <row r="170" spans="1:11" ht="30" customHeight="1" thickBot="1">
      <c r="A170" s="61"/>
      <c r="B170" s="61"/>
      <c r="C170" s="61"/>
      <c r="D170" s="61"/>
      <c r="E170" s="61"/>
      <c r="F170" s="61"/>
      <c r="G170" s="61" t="s">
        <v>158</v>
      </c>
      <c r="H170" s="62">
        <f>LAFAYETE!F29</f>
        <v>1009</v>
      </c>
      <c r="I170" s="61" t="s">
        <v>159</v>
      </c>
      <c r="J170" s="127">
        <f>LAFAYETE!I29</f>
        <v>3319.61</v>
      </c>
    </row>
    <row r="171" spans="1:11" ht="1.05" customHeight="1" thickTop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</row>
    <row r="172" spans="1:11">
      <c r="A172" s="69"/>
      <c r="B172" s="69"/>
      <c r="C172" s="69"/>
      <c r="D172" s="69"/>
      <c r="E172" s="69"/>
      <c r="F172" s="69"/>
      <c r="G172" s="69"/>
      <c r="H172" s="69"/>
      <c r="I172" s="69"/>
      <c r="J172" s="69"/>
    </row>
    <row r="173" spans="1:11">
      <c r="A173" s="153"/>
      <c r="B173" s="153"/>
      <c r="C173" s="153"/>
      <c r="D173" s="70"/>
      <c r="E173" s="61"/>
      <c r="F173" s="154" t="s">
        <v>93</v>
      </c>
      <c r="G173" s="153"/>
      <c r="H173" s="155">
        <f>SUM(LAFAYETE!H31)</f>
        <v>93908.98</v>
      </c>
      <c r="I173" s="155"/>
      <c r="J173" s="155"/>
    </row>
    <row r="174" spans="1:11">
      <c r="A174" s="153"/>
      <c r="B174" s="153"/>
      <c r="C174" s="153"/>
      <c r="D174" s="70"/>
      <c r="E174" s="61"/>
      <c r="F174" s="154" t="s">
        <v>94</v>
      </c>
      <c r="G174" s="153"/>
      <c r="H174" s="155">
        <f>SUM(LAFAYETE!H32)</f>
        <v>27860.959999999999</v>
      </c>
      <c r="I174" s="155"/>
      <c r="J174" s="155"/>
    </row>
    <row r="175" spans="1:11">
      <c r="A175" s="153"/>
      <c r="B175" s="153"/>
      <c r="C175" s="153"/>
      <c r="D175" s="70"/>
      <c r="E175" s="61"/>
      <c r="F175" s="154" t="s">
        <v>95</v>
      </c>
      <c r="G175" s="153"/>
      <c r="H175" s="155">
        <f>SUM(J164,J144,J98,J64,J43,J33,J11,J4)</f>
        <v>121769.944</v>
      </c>
      <c r="I175" s="155"/>
      <c r="J175" s="155"/>
    </row>
    <row r="176" spans="1:11" ht="60" customHeight="1">
      <c r="A176" s="71"/>
      <c r="B176" s="71"/>
      <c r="C176" s="71"/>
      <c r="D176" s="71"/>
      <c r="E176" s="71"/>
      <c r="F176" s="71"/>
      <c r="G176" s="71"/>
      <c r="H176" s="71"/>
      <c r="I176" s="71"/>
      <c r="J176" s="71"/>
    </row>
    <row r="177" spans="1:10" ht="70.05" customHeight="1">
      <c r="A177" s="156"/>
      <c r="B177" s="150"/>
      <c r="C177" s="150"/>
      <c r="D177" s="150"/>
      <c r="E177" s="150"/>
      <c r="F177" s="150"/>
      <c r="G177" s="150"/>
      <c r="H177" s="150"/>
      <c r="I177" s="150"/>
      <c r="J177" s="150"/>
    </row>
  </sheetData>
  <mergeCells count="153">
    <mergeCell ref="F11:G11"/>
    <mergeCell ref="A3:J3"/>
    <mergeCell ref="F4:G4"/>
    <mergeCell ref="E5:F5"/>
    <mergeCell ref="E6:F6"/>
    <mergeCell ref="E7:F7"/>
    <mergeCell ref="E8:F8"/>
    <mergeCell ref="C1:D1"/>
    <mergeCell ref="E1:F1"/>
    <mergeCell ref="G1:H1"/>
    <mergeCell ref="I1:J1"/>
    <mergeCell ref="C2:D2"/>
    <mergeCell ref="E2:F2"/>
    <mergeCell ref="G2:H2"/>
    <mergeCell ref="I2:J2"/>
    <mergeCell ref="E16:F16"/>
    <mergeCell ref="E17:F17"/>
    <mergeCell ref="E20:F20"/>
    <mergeCell ref="E21:F21"/>
    <mergeCell ref="E22:F22"/>
    <mergeCell ref="E12:F12"/>
    <mergeCell ref="E13:F13"/>
    <mergeCell ref="E14:F14"/>
    <mergeCell ref="E15:F15"/>
    <mergeCell ref="E29:F29"/>
    <mergeCell ref="E30:F30"/>
    <mergeCell ref="F33:G33"/>
    <mergeCell ref="E34:F34"/>
    <mergeCell ref="E35:F35"/>
    <mergeCell ref="E23:F23"/>
    <mergeCell ref="E24:F24"/>
    <mergeCell ref="E25:F25"/>
    <mergeCell ref="E26:F26"/>
    <mergeCell ref="E27:F27"/>
    <mergeCell ref="E28:F28"/>
    <mergeCell ref="F43:G43"/>
    <mergeCell ref="E44:F44"/>
    <mergeCell ref="E45:F45"/>
    <mergeCell ref="E46:F46"/>
    <mergeCell ref="E47:F47"/>
    <mergeCell ref="E48:F48"/>
    <mergeCell ref="E36:F36"/>
    <mergeCell ref="E37:F37"/>
    <mergeCell ref="E38:F38"/>
    <mergeCell ref="E39:F39"/>
    <mergeCell ref="E40:F40"/>
    <mergeCell ref="E56:F56"/>
    <mergeCell ref="E57:F57"/>
    <mergeCell ref="E58:F58"/>
    <mergeCell ref="E59:F59"/>
    <mergeCell ref="E60:F60"/>
    <mergeCell ref="E61:F61"/>
    <mergeCell ref="E49:F49"/>
    <mergeCell ref="E50:F50"/>
    <mergeCell ref="E51:F51"/>
    <mergeCell ref="E54:F54"/>
    <mergeCell ref="E55:F55"/>
    <mergeCell ref="E69:F69"/>
    <mergeCell ref="E70:F70"/>
    <mergeCell ref="E71:F71"/>
    <mergeCell ref="E74:F74"/>
    <mergeCell ref="E75:F75"/>
    <mergeCell ref="F64:G64"/>
    <mergeCell ref="E65:F65"/>
    <mergeCell ref="E66:F66"/>
    <mergeCell ref="E67:F67"/>
    <mergeCell ref="E68:F68"/>
    <mergeCell ref="E83:F83"/>
    <mergeCell ref="E84:F84"/>
    <mergeCell ref="E85:F85"/>
    <mergeCell ref="E86:F86"/>
    <mergeCell ref="E87:F87"/>
    <mergeCell ref="E76:F76"/>
    <mergeCell ref="E77:F77"/>
    <mergeCell ref="E78:F78"/>
    <mergeCell ref="E79:F79"/>
    <mergeCell ref="E82:F82"/>
    <mergeCell ref="F98:G98"/>
    <mergeCell ref="E99:F99"/>
    <mergeCell ref="E100:F100"/>
    <mergeCell ref="E101:F101"/>
    <mergeCell ref="E102:F102"/>
    <mergeCell ref="E90:F90"/>
    <mergeCell ref="E91:F91"/>
    <mergeCell ref="E92:F92"/>
    <mergeCell ref="E93:F93"/>
    <mergeCell ref="E94:F94"/>
    <mergeCell ref="E95:F95"/>
    <mergeCell ref="E110:F110"/>
    <mergeCell ref="E111:F111"/>
    <mergeCell ref="E112:F112"/>
    <mergeCell ref="E113:F113"/>
    <mergeCell ref="E114:F114"/>
    <mergeCell ref="E115:F115"/>
    <mergeCell ref="E123:F123"/>
    <mergeCell ref="E103:F103"/>
    <mergeCell ref="E104:F104"/>
    <mergeCell ref="E105:F105"/>
    <mergeCell ref="E106:F106"/>
    <mergeCell ref="E107:F107"/>
    <mergeCell ref="E124:F124"/>
    <mergeCell ref="E125:F125"/>
    <mergeCell ref="E126:F126"/>
    <mergeCell ref="E127:F127"/>
    <mergeCell ref="E128:F128"/>
    <mergeCell ref="E116:F116"/>
    <mergeCell ref="E117:F117"/>
    <mergeCell ref="E118:F118"/>
    <mergeCell ref="E136:F136"/>
    <mergeCell ref="E121:F121"/>
    <mergeCell ref="E122:F122"/>
    <mergeCell ref="E137:F137"/>
    <mergeCell ref="E138:F138"/>
    <mergeCell ref="E139:F139"/>
    <mergeCell ref="E140:F140"/>
    <mergeCell ref="E141:F141"/>
    <mergeCell ref="E129:F129"/>
    <mergeCell ref="E130:F130"/>
    <mergeCell ref="E133:F133"/>
    <mergeCell ref="E134:F134"/>
    <mergeCell ref="E135:F135"/>
    <mergeCell ref="E149:F149"/>
    <mergeCell ref="E150:F150"/>
    <mergeCell ref="E151:F151"/>
    <mergeCell ref="E154:F154"/>
    <mergeCell ref="E155:F155"/>
    <mergeCell ref="F144:G144"/>
    <mergeCell ref="E145:F145"/>
    <mergeCell ref="E146:F146"/>
    <mergeCell ref="E147:F147"/>
    <mergeCell ref="E148:F148"/>
    <mergeCell ref="F164:G164"/>
    <mergeCell ref="E165:F165"/>
    <mergeCell ref="E166:F166"/>
    <mergeCell ref="E167:F167"/>
    <mergeCell ref="E168:F168"/>
    <mergeCell ref="E156:F156"/>
    <mergeCell ref="E157:F157"/>
    <mergeCell ref="E158:F158"/>
    <mergeCell ref="E159:F159"/>
    <mergeCell ref="E160:F160"/>
    <mergeCell ref="E161:F161"/>
    <mergeCell ref="A175:C175"/>
    <mergeCell ref="F175:G175"/>
    <mergeCell ref="H175:J175"/>
    <mergeCell ref="A177:J177"/>
    <mergeCell ref="E169:F169"/>
    <mergeCell ref="A173:C173"/>
    <mergeCell ref="F173:G173"/>
    <mergeCell ref="H173:J173"/>
    <mergeCell ref="A174:C174"/>
    <mergeCell ref="F174:G174"/>
    <mergeCell ref="H174:J17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8450-1627-4249-9E0B-6008BCDDF48A}">
  <dimension ref="B1:L101"/>
  <sheetViews>
    <sheetView topLeftCell="A5" workbookViewId="0">
      <selection activeCell="L8" sqref="L8"/>
    </sheetView>
  </sheetViews>
  <sheetFormatPr defaultRowHeight="13.8"/>
  <cols>
    <col min="2" max="8" width="9.59765625" customWidth="1"/>
    <col min="9" max="9" width="10.796875" customWidth="1"/>
    <col min="10" max="11" width="9.59765625" customWidth="1"/>
    <col min="12" max="12" width="11.69921875" customWidth="1"/>
  </cols>
  <sheetData>
    <row r="1" spans="2:12" ht="14.4" thickBot="1"/>
    <row r="2" spans="2:12" ht="14.4">
      <c r="B2" s="180" t="s">
        <v>97</v>
      </c>
      <c r="C2" s="181"/>
      <c r="D2" s="186" t="str">
        <f>'[2]PLANILHA ORÇAMENTÁRIA'!E2</f>
        <v>PREFEITURA MUNICIPAL DE ITAMBÉ</v>
      </c>
      <c r="E2" s="187"/>
      <c r="F2" s="187"/>
      <c r="G2" s="187"/>
      <c r="H2" s="187"/>
      <c r="I2" s="188"/>
      <c r="J2" s="189"/>
      <c r="K2" s="190"/>
      <c r="L2" s="191"/>
    </row>
    <row r="3" spans="2:12" ht="14.4">
      <c r="B3" s="182"/>
      <c r="C3" s="183"/>
      <c r="D3" s="198" t="str">
        <f>'[2]PLANILHA ORÇAMENTÁRIA'!E3</f>
        <v>SECRETARIA DE INFRAESTRUTURA</v>
      </c>
      <c r="E3" s="199"/>
      <c r="F3" s="199"/>
      <c r="G3" s="199"/>
      <c r="H3" s="199"/>
      <c r="I3" s="200"/>
      <c r="J3" s="192"/>
      <c r="K3" s="193"/>
      <c r="L3" s="194"/>
    </row>
    <row r="4" spans="2:12">
      <c r="B4" s="182"/>
      <c r="C4" s="183"/>
      <c r="D4" s="201" t="str">
        <f>[3]LAFAYETE!D2</f>
        <v>OBRA: REFORMA DA ESCOLA LAFAYETE NUNES MACHADO</v>
      </c>
      <c r="E4" s="202"/>
      <c r="F4" s="202"/>
      <c r="G4" s="202"/>
      <c r="H4" s="202"/>
      <c r="I4" s="203"/>
      <c r="J4" s="192"/>
      <c r="K4" s="193"/>
      <c r="L4" s="194"/>
    </row>
    <row r="5" spans="2:12" ht="26.4" customHeight="1" thickBot="1">
      <c r="B5" s="184"/>
      <c r="C5" s="185"/>
      <c r="D5" s="204"/>
      <c r="E5" s="205"/>
      <c r="F5" s="205"/>
      <c r="G5" s="205"/>
      <c r="H5" s="205"/>
      <c r="I5" s="206"/>
      <c r="J5" s="195"/>
      <c r="K5" s="196"/>
      <c r="L5" s="197"/>
    </row>
    <row r="6" spans="2:12">
      <c r="B6" s="21"/>
      <c r="C6" s="22"/>
      <c r="D6" s="20"/>
      <c r="E6" s="20"/>
      <c r="F6" s="20"/>
      <c r="G6" s="20"/>
      <c r="H6" s="20"/>
      <c r="I6" s="20"/>
      <c r="J6" s="20"/>
      <c r="K6" s="19"/>
      <c r="L6" s="23"/>
    </row>
    <row r="7" spans="2:12">
      <c r="B7" s="24" t="s">
        <v>99</v>
      </c>
      <c r="C7" s="179" t="str">
        <f>[3]LAFAYETE!D9</f>
        <v>SERVIÇOS PRELIMINARES</v>
      </c>
      <c r="D7" s="179"/>
      <c r="E7" s="179"/>
      <c r="F7" s="179"/>
      <c r="G7" s="179"/>
      <c r="H7" s="179"/>
      <c r="I7" s="179"/>
      <c r="J7" s="179"/>
      <c r="K7" s="25"/>
      <c r="L7" s="25"/>
    </row>
    <row r="8" spans="2:12">
      <c r="B8" s="19" t="s">
        <v>100</v>
      </c>
      <c r="C8" s="177" t="str">
        <f>[3]LAFAYETE!D10</f>
        <v>DEMOLIÇÃO MANUAL DE PISO CIMENTADO SOBRE LASTRO DE CONCRETO - REV 01</v>
      </c>
      <c r="D8" s="177"/>
      <c r="E8" s="177"/>
      <c r="F8" s="177"/>
      <c r="G8" s="177"/>
      <c r="H8" s="177"/>
      <c r="I8" s="177"/>
      <c r="J8" s="177"/>
      <c r="K8" s="26" t="str">
        <f>[3]LAFAYETE!E10</f>
        <v>M²</v>
      </c>
      <c r="L8" s="27">
        <f>K12</f>
        <v>118.2</v>
      </c>
    </row>
    <row r="9" spans="2:12">
      <c r="B9" s="21"/>
      <c r="C9" s="167" t="s">
        <v>101</v>
      </c>
      <c r="D9" s="167"/>
      <c r="E9" s="167"/>
      <c r="F9" s="29" t="s">
        <v>102</v>
      </c>
      <c r="G9" s="28" t="s">
        <v>103</v>
      </c>
      <c r="H9" s="29" t="s">
        <v>104</v>
      </c>
      <c r="I9" s="28" t="s">
        <v>105</v>
      </c>
      <c r="J9" s="28" t="s">
        <v>106</v>
      </c>
      <c r="K9" s="30" t="s">
        <v>107</v>
      </c>
      <c r="L9" s="23"/>
    </row>
    <row r="10" spans="2:12">
      <c r="B10" s="21"/>
      <c r="C10" s="165" t="s">
        <v>108</v>
      </c>
      <c r="D10" s="165"/>
      <c r="E10" s="165"/>
      <c r="F10" s="31">
        <v>1</v>
      </c>
      <c r="G10" s="31"/>
      <c r="H10" s="31"/>
      <c r="I10" s="31"/>
      <c r="J10" s="31">
        <v>38.200000000000003</v>
      </c>
      <c r="K10" s="32">
        <f>J10</f>
        <v>38.200000000000003</v>
      </c>
      <c r="L10" s="23"/>
    </row>
    <row r="11" spans="2:12">
      <c r="B11" s="21"/>
      <c r="C11" s="165" t="s">
        <v>109</v>
      </c>
      <c r="D11" s="165"/>
      <c r="E11" s="165"/>
      <c r="F11" s="31">
        <v>1</v>
      </c>
      <c r="G11" s="31"/>
      <c r="H11" s="31">
        <v>2.5</v>
      </c>
      <c r="I11" s="31">
        <v>32</v>
      </c>
      <c r="J11" s="31"/>
      <c r="K11" s="32">
        <f>I11*H11</f>
        <v>80</v>
      </c>
      <c r="L11" s="23"/>
    </row>
    <row r="12" spans="2:12">
      <c r="B12" s="21"/>
      <c r="C12" s="166" t="s">
        <v>110</v>
      </c>
      <c r="D12" s="166"/>
      <c r="E12" s="166"/>
      <c r="F12" s="166"/>
      <c r="G12" s="166"/>
      <c r="H12" s="166"/>
      <c r="I12" s="166"/>
      <c r="J12" s="166"/>
      <c r="K12" s="33">
        <f>SUM(K10:K11)</f>
        <v>118.2</v>
      </c>
      <c r="L12" s="23"/>
    </row>
    <row r="14" spans="2:12">
      <c r="B14" s="34" t="s">
        <v>111</v>
      </c>
      <c r="C14" s="168" t="s">
        <v>26</v>
      </c>
      <c r="D14" s="168"/>
      <c r="E14" s="168"/>
      <c r="F14" s="168"/>
      <c r="G14" s="168"/>
      <c r="H14" s="168"/>
      <c r="I14" s="168"/>
      <c r="J14" s="168"/>
      <c r="K14" s="168"/>
      <c r="L14" s="168"/>
    </row>
    <row r="15" spans="2:12" ht="34.200000000000003" customHeight="1">
      <c r="B15" s="19" t="s">
        <v>112</v>
      </c>
      <c r="C15" s="169" t="str">
        <f>[3]LAFAYETE!D12</f>
        <v>CONTRAPISO EM ARGAMASSA TRAÇO 1:4 (CIMENTO E AREIA), PREPARO MANUAL, APLICADO EM ÁREAS MOLHADAS SOBRE IMPERMEABILIZAÇÃO, ACABAMENTO NÃO REFORÇADO, ESPESSURA 3CM. AF_07/2021</v>
      </c>
      <c r="D15" s="169"/>
      <c r="E15" s="169"/>
      <c r="F15" s="169"/>
      <c r="G15" s="169"/>
      <c r="H15" s="169"/>
      <c r="I15" s="169"/>
      <c r="J15" s="169"/>
      <c r="K15" s="26" t="str">
        <f>[3]LAFAYETE!E12</f>
        <v>M²</v>
      </c>
      <c r="L15" s="27">
        <f>K18</f>
        <v>38.200000000000003</v>
      </c>
    </row>
    <row r="16" spans="2:12">
      <c r="C16" s="167" t="s">
        <v>113</v>
      </c>
      <c r="D16" s="167"/>
      <c r="E16" s="167"/>
      <c r="F16" s="29" t="s">
        <v>102</v>
      </c>
      <c r="G16" s="28" t="s">
        <v>103</v>
      </c>
      <c r="H16" s="29" t="s">
        <v>104</v>
      </c>
      <c r="I16" s="28" t="s">
        <v>105</v>
      </c>
      <c r="J16" s="28" t="s">
        <v>106</v>
      </c>
      <c r="K16" s="30" t="s">
        <v>107</v>
      </c>
    </row>
    <row r="17" spans="2:12">
      <c r="C17" s="165" t="s">
        <v>108</v>
      </c>
      <c r="D17" s="165"/>
      <c r="E17" s="165"/>
      <c r="F17" s="31"/>
      <c r="G17" s="31"/>
      <c r="H17" s="31"/>
      <c r="I17" s="31"/>
      <c r="J17" s="31">
        <v>38.200000000000003</v>
      </c>
      <c r="K17" s="32">
        <f>J17</f>
        <v>38.200000000000003</v>
      </c>
    </row>
    <row r="18" spans="2:12">
      <c r="C18" s="166" t="s">
        <v>110</v>
      </c>
      <c r="D18" s="166"/>
      <c r="E18" s="166"/>
      <c r="F18" s="166"/>
      <c r="G18" s="166"/>
      <c r="H18" s="166"/>
      <c r="I18" s="166"/>
      <c r="J18" s="166"/>
      <c r="K18" s="33">
        <f>SUM(K17:K17)</f>
        <v>38.200000000000003</v>
      </c>
    </row>
    <row r="20" spans="2:12" ht="28.95" customHeight="1">
      <c r="B20" s="19" t="s">
        <v>114</v>
      </c>
      <c r="C20" s="169" t="str">
        <f>[3]LAFAYETE!D13</f>
        <v>EXECUÇÃO DE PASSEIO (CALÇADA) OU PISO DE CONCRETO COM CONCRETO MOLDADO IN LOCO, FEITO EM OBRA, ACABAMENTO CONVENCIONAL, ESPESSURA 8 CM, ARMADO. AF_08/2022</v>
      </c>
      <c r="D20" s="169"/>
      <c r="E20" s="169"/>
      <c r="F20" s="169"/>
      <c r="G20" s="169"/>
      <c r="H20" s="169"/>
      <c r="I20" s="169"/>
      <c r="J20" s="169"/>
      <c r="K20" s="26" t="str">
        <f>[4]ORÇAMENTO!E16</f>
        <v>M2</v>
      </c>
      <c r="L20" s="27">
        <f>K23</f>
        <v>80</v>
      </c>
    </row>
    <row r="21" spans="2:12">
      <c r="C21" s="167" t="s">
        <v>113</v>
      </c>
      <c r="D21" s="167"/>
      <c r="E21" s="167"/>
      <c r="F21" s="29" t="s">
        <v>102</v>
      </c>
      <c r="G21" s="28" t="s">
        <v>103</v>
      </c>
      <c r="H21" s="29" t="s">
        <v>104</v>
      </c>
      <c r="I21" s="28" t="s">
        <v>105</v>
      </c>
      <c r="J21" s="28" t="s">
        <v>115</v>
      </c>
      <c r="K21" s="30" t="s">
        <v>107</v>
      </c>
    </row>
    <row r="22" spans="2:12">
      <c r="C22" s="165" t="s">
        <v>109</v>
      </c>
      <c r="D22" s="165"/>
      <c r="E22" s="165"/>
      <c r="F22" s="31"/>
      <c r="G22" s="31"/>
      <c r="H22" s="31"/>
      <c r="I22" s="31"/>
      <c r="J22" s="31">
        <v>80</v>
      </c>
      <c r="K22" s="32">
        <f>J22</f>
        <v>80</v>
      </c>
    </row>
    <row r="23" spans="2:12">
      <c r="C23" s="166" t="s">
        <v>110</v>
      </c>
      <c r="D23" s="166"/>
      <c r="E23" s="166"/>
      <c r="F23" s="166"/>
      <c r="G23" s="166"/>
      <c r="H23" s="166"/>
      <c r="I23" s="166"/>
      <c r="J23" s="166"/>
      <c r="K23" s="33">
        <f>SUM(K22:K22)</f>
        <v>80</v>
      </c>
    </row>
    <row r="24" spans="2:12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2">
      <c r="B25" s="34" t="s">
        <v>116</v>
      </c>
      <c r="C25" s="168" t="str">
        <f>[3]LAFAYETE!D14</f>
        <v>PINTURA</v>
      </c>
      <c r="D25" s="168"/>
      <c r="E25" s="168"/>
      <c r="F25" s="168"/>
      <c r="G25" s="168"/>
      <c r="H25" s="168"/>
      <c r="I25" s="168"/>
      <c r="J25" s="168"/>
      <c r="K25" s="168"/>
      <c r="L25" s="168"/>
    </row>
    <row r="26" spans="2:12">
      <c r="B26" s="19" t="s">
        <v>117</v>
      </c>
      <c r="C26" s="177" t="str">
        <f>[3]LAFAYETE!D15</f>
        <v>PINTURA DE DEMARCAÇÃO DE QUADRA POLIESPORTIVA COM TINTA EPÓXI, E = 5 CM, APLICAÇÃO MANUAL. AF_05/2021</v>
      </c>
      <c r="D26" s="177"/>
      <c r="E26" s="177"/>
      <c r="F26" s="177"/>
      <c r="G26" s="177"/>
      <c r="H26" s="177"/>
      <c r="I26" s="177"/>
      <c r="J26" s="177"/>
      <c r="K26" s="36" t="str">
        <f>[3]LAFAYETE!E15</f>
        <v>M</v>
      </c>
      <c r="L26" s="27">
        <f>K29</f>
        <v>148</v>
      </c>
    </row>
    <row r="27" spans="2:12">
      <c r="C27" s="167" t="s">
        <v>113</v>
      </c>
      <c r="D27" s="167"/>
      <c r="E27" s="167"/>
      <c r="F27" s="29" t="s">
        <v>106</v>
      </c>
      <c r="G27" s="28" t="s">
        <v>103</v>
      </c>
      <c r="H27" s="29" t="s">
        <v>104</v>
      </c>
      <c r="I27" s="28" t="s">
        <v>105</v>
      </c>
      <c r="J27" s="28" t="s">
        <v>40</v>
      </c>
      <c r="K27" s="30" t="s">
        <v>107</v>
      </c>
    </row>
    <row r="28" spans="2:12">
      <c r="C28" s="178" t="s">
        <v>118</v>
      </c>
      <c r="D28" s="175"/>
      <c r="E28" s="176"/>
      <c r="F28" s="29"/>
      <c r="G28" s="28"/>
      <c r="H28" s="29"/>
      <c r="I28" s="28"/>
      <c r="J28" s="28">
        <v>148</v>
      </c>
      <c r="K28" s="30">
        <f>J28</f>
        <v>148</v>
      </c>
    </row>
    <row r="29" spans="2:12">
      <c r="C29" s="166" t="s">
        <v>110</v>
      </c>
      <c r="D29" s="166"/>
      <c r="E29" s="166"/>
      <c r="F29" s="166"/>
      <c r="G29" s="166"/>
      <c r="H29" s="166"/>
      <c r="I29" s="166"/>
      <c r="J29" s="166"/>
      <c r="K29" s="33">
        <f>SUM(K28:K28)</f>
        <v>148</v>
      </c>
    </row>
    <row r="30" spans="2:12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2">
      <c r="B31" s="34" t="s">
        <v>119</v>
      </c>
      <c r="C31" s="168" t="s">
        <v>42</v>
      </c>
      <c r="D31" s="168"/>
      <c r="E31" s="168"/>
      <c r="F31" s="168"/>
      <c r="G31" s="168"/>
      <c r="H31" s="168"/>
      <c r="I31" s="168"/>
      <c r="J31" s="168"/>
      <c r="K31" s="168"/>
      <c r="L31" s="168"/>
    </row>
    <row r="32" spans="2:12">
      <c r="B32" s="19" t="s">
        <v>120</v>
      </c>
      <c r="C32" s="177" t="str">
        <f>[3]LAFAYETE!D17</f>
        <v xml:space="preserve">	REVISÃO DE PONTO DE TOMADA SIMPLES COM REPOSIÇÃO DA TOMADA E DA FIAÇÃO</v>
      </c>
      <c r="D32" s="177"/>
      <c r="E32" s="177"/>
      <c r="F32" s="177"/>
      <c r="G32" s="177"/>
      <c r="H32" s="177"/>
      <c r="I32" s="177"/>
      <c r="J32" s="177"/>
      <c r="K32" s="36" t="str">
        <f>[3]LAFAYETE!E17</f>
        <v>PT</v>
      </c>
      <c r="L32" s="27">
        <f>K35</f>
        <v>10</v>
      </c>
    </row>
    <row r="33" spans="2:12">
      <c r="C33" s="167" t="s">
        <v>113</v>
      </c>
      <c r="D33" s="167"/>
      <c r="E33" s="167"/>
      <c r="F33" s="29" t="s">
        <v>102</v>
      </c>
      <c r="G33" s="28" t="s">
        <v>103</v>
      </c>
      <c r="H33" s="29" t="s">
        <v>104</v>
      </c>
      <c r="I33" s="28" t="s">
        <v>105</v>
      </c>
      <c r="J33" s="28" t="s">
        <v>121</v>
      </c>
      <c r="K33" s="30" t="s">
        <v>107</v>
      </c>
    </row>
    <row r="34" spans="2:12">
      <c r="C34" s="165" t="s">
        <v>122</v>
      </c>
      <c r="D34" s="165"/>
      <c r="E34" s="165"/>
      <c r="F34" s="31">
        <v>10</v>
      </c>
      <c r="G34" s="31"/>
      <c r="H34" s="31"/>
      <c r="I34" s="31"/>
      <c r="J34" s="31"/>
      <c r="K34" s="32">
        <f>F34</f>
        <v>10</v>
      </c>
    </row>
    <row r="35" spans="2:12">
      <c r="C35" s="166" t="s">
        <v>110</v>
      </c>
      <c r="D35" s="166"/>
      <c r="E35" s="166"/>
      <c r="F35" s="166"/>
      <c r="G35" s="166"/>
      <c r="H35" s="166"/>
      <c r="I35" s="166"/>
      <c r="J35" s="166"/>
      <c r="K35" s="33">
        <f>SUM(K34:K34)</f>
        <v>10</v>
      </c>
    </row>
    <row r="37" spans="2:12" ht="25.2" customHeight="1">
      <c r="B37" s="19" t="s">
        <v>123</v>
      </c>
      <c r="C37" s="169" t="str">
        <f>[3]LAFAYETE!D18</f>
        <v>REVISÃO DE PONTO DE INTERRUPTOR COM REPOSIÇÃO DO INTERRUPTOR E FIAÇÃO</v>
      </c>
      <c r="D37" s="169"/>
      <c r="E37" s="169"/>
      <c r="F37" s="169"/>
      <c r="G37" s="169"/>
      <c r="H37" s="169"/>
      <c r="I37" s="169"/>
      <c r="J37" s="169"/>
      <c r="K37" s="36" t="str">
        <f>[3]LAFAYETE!E18</f>
        <v>PT</v>
      </c>
      <c r="L37" s="27">
        <f>K40</f>
        <v>10</v>
      </c>
    </row>
    <row r="38" spans="2:12">
      <c r="C38" s="174" t="s">
        <v>113</v>
      </c>
      <c r="D38" s="175"/>
      <c r="E38" s="176"/>
      <c r="F38" s="29" t="s">
        <v>102</v>
      </c>
      <c r="G38" s="28" t="s">
        <v>103</v>
      </c>
      <c r="H38" s="29" t="s">
        <v>104</v>
      </c>
      <c r="I38" s="28" t="s">
        <v>105</v>
      </c>
      <c r="J38" s="28" t="s">
        <v>121</v>
      </c>
      <c r="K38" s="30" t="s">
        <v>107</v>
      </c>
    </row>
    <row r="39" spans="2:12">
      <c r="C39" s="165" t="s">
        <v>122</v>
      </c>
      <c r="D39" s="165"/>
      <c r="E39" s="165"/>
      <c r="F39" s="37">
        <v>10</v>
      </c>
      <c r="G39" s="38"/>
      <c r="H39" s="37"/>
      <c r="I39" s="38"/>
      <c r="J39" s="38"/>
      <c r="K39" s="39">
        <f>F39</f>
        <v>10</v>
      </c>
    </row>
    <row r="40" spans="2:12">
      <c r="C40" s="166" t="s">
        <v>110</v>
      </c>
      <c r="D40" s="166"/>
      <c r="E40" s="166"/>
      <c r="F40" s="166"/>
      <c r="G40" s="166"/>
      <c r="H40" s="166"/>
      <c r="I40" s="166"/>
      <c r="J40" s="166"/>
      <c r="K40" s="33">
        <f>SUM(K39:K39)</f>
        <v>10</v>
      </c>
    </row>
    <row r="42" spans="2:12">
      <c r="B42" s="34" t="s">
        <v>124</v>
      </c>
      <c r="C42" s="168" t="str">
        <f>[3]LAFAYETE!D19</f>
        <v>HIDRAULICA</v>
      </c>
      <c r="D42" s="168"/>
      <c r="E42" s="168"/>
      <c r="F42" s="168"/>
      <c r="G42" s="168"/>
      <c r="H42" s="168"/>
      <c r="I42" s="168"/>
      <c r="J42" s="168"/>
      <c r="K42" s="168"/>
      <c r="L42" s="168"/>
    </row>
    <row r="43" spans="2:12" ht="27" customHeight="1">
      <c r="B43" s="19" t="s">
        <v>125</v>
      </c>
      <c r="C43" s="169" t="str">
        <f>[3]LAFAYETE!D20</f>
        <v>CAIXA DE DESCARGA DE SOBREPOR COMPLETA AKROS OU SIMILAR</v>
      </c>
      <c r="D43" s="169"/>
      <c r="E43" s="169"/>
      <c r="F43" s="169"/>
      <c r="G43" s="169"/>
      <c r="H43" s="169"/>
      <c r="I43" s="169"/>
      <c r="J43" s="169"/>
      <c r="K43" s="36" t="str">
        <f>[3]LAFAYETE!E20</f>
        <v>UND</v>
      </c>
      <c r="L43" s="27">
        <f>K46</f>
        <v>8</v>
      </c>
    </row>
    <row r="44" spans="2:12">
      <c r="C44" s="167" t="s">
        <v>113</v>
      </c>
      <c r="D44" s="167"/>
      <c r="E44" s="167"/>
      <c r="F44" s="29" t="s">
        <v>102</v>
      </c>
      <c r="G44" s="28" t="s">
        <v>103</v>
      </c>
      <c r="H44" s="29" t="s">
        <v>104</v>
      </c>
      <c r="I44" s="28" t="s">
        <v>105</v>
      </c>
      <c r="J44" s="28" t="s">
        <v>126</v>
      </c>
      <c r="K44" s="30" t="s">
        <v>107</v>
      </c>
    </row>
    <row r="45" spans="2:12">
      <c r="C45" s="165" t="s">
        <v>127</v>
      </c>
      <c r="D45" s="165"/>
      <c r="E45" s="165"/>
      <c r="F45" s="31">
        <v>8</v>
      </c>
      <c r="G45" s="31"/>
      <c r="H45" s="31"/>
      <c r="I45" s="31"/>
      <c r="J45" s="31"/>
      <c r="K45" s="32">
        <f>F45</f>
        <v>8</v>
      </c>
    </row>
    <row r="46" spans="2:12">
      <c r="C46" s="166" t="s">
        <v>110</v>
      </c>
      <c r="D46" s="166"/>
      <c r="E46" s="166"/>
      <c r="F46" s="166"/>
      <c r="G46" s="166"/>
      <c r="H46" s="166"/>
      <c r="I46" s="166"/>
      <c r="J46" s="166"/>
      <c r="K46" s="33">
        <f>SUM(K45:K45)</f>
        <v>8</v>
      </c>
    </row>
    <row r="47" spans="2:12">
      <c r="C47" s="170" t="s">
        <v>128</v>
      </c>
      <c r="D47" s="170"/>
      <c r="E47" s="170"/>
      <c r="F47" s="170"/>
      <c r="G47" s="170"/>
      <c r="H47" s="170"/>
      <c r="I47" s="170"/>
      <c r="J47" s="170"/>
      <c r="K47" s="170"/>
    </row>
    <row r="48" spans="2:12">
      <c r="C48" s="40"/>
      <c r="D48" s="40"/>
      <c r="E48" s="40"/>
      <c r="F48" s="40"/>
      <c r="G48" s="40"/>
      <c r="H48" s="40"/>
      <c r="I48" s="40"/>
      <c r="J48" s="40"/>
      <c r="K48" s="40"/>
    </row>
    <row r="49" spans="2:12" ht="27" customHeight="1">
      <c r="B49" s="19" t="s">
        <v>129</v>
      </c>
      <c r="C49" s="169" t="str">
        <f>[3]LAFAYETE!D21</f>
        <v>SIFÃO DO TIPO FLEXÍVEL EM PVC 1  X 1.1/2  - FORNECIMENTO E INSTALAÇÃO. AF_01/2020</v>
      </c>
      <c r="D49" s="169"/>
      <c r="E49" s="169"/>
      <c r="F49" s="169"/>
      <c r="G49" s="169"/>
      <c r="H49" s="169"/>
      <c r="I49" s="169"/>
      <c r="J49" s="169"/>
      <c r="K49" s="36" t="str">
        <f>[3]LAFAYETE!E21</f>
        <v>UND</v>
      </c>
      <c r="L49" s="27">
        <f>K51</f>
        <v>4</v>
      </c>
    </row>
    <row r="50" spans="2:12">
      <c r="C50" s="167" t="s">
        <v>113</v>
      </c>
      <c r="D50" s="167"/>
      <c r="E50" s="167"/>
      <c r="F50" s="29" t="s">
        <v>102</v>
      </c>
      <c r="G50" s="28" t="s">
        <v>103</v>
      </c>
      <c r="H50" s="29" t="s">
        <v>104</v>
      </c>
      <c r="I50" s="28" t="s">
        <v>105</v>
      </c>
      <c r="J50" s="28" t="s">
        <v>121</v>
      </c>
      <c r="K50" s="30" t="s">
        <v>107</v>
      </c>
    </row>
    <row r="51" spans="2:12" ht="14.4" customHeight="1">
      <c r="C51" s="165" t="s">
        <v>127</v>
      </c>
      <c r="D51" s="165"/>
      <c r="E51" s="165"/>
      <c r="F51" s="31">
        <v>4</v>
      </c>
      <c r="G51" s="31"/>
      <c r="H51" s="31"/>
      <c r="I51" s="31"/>
      <c r="J51" s="31"/>
      <c r="K51" s="32">
        <f>F51</f>
        <v>4</v>
      </c>
    </row>
    <row r="52" spans="2:12">
      <c r="C52" s="166" t="s">
        <v>110</v>
      </c>
      <c r="D52" s="166"/>
      <c r="E52" s="166"/>
      <c r="F52" s="166"/>
      <c r="G52" s="166"/>
      <c r="H52" s="166"/>
      <c r="I52" s="166"/>
      <c r="J52" s="166"/>
      <c r="K52" s="33">
        <f>SUM(K51:K51)</f>
        <v>4</v>
      </c>
    </row>
    <row r="53" spans="2:12">
      <c r="C53" s="170" t="s">
        <v>130</v>
      </c>
      <c r="D53" s="170"/>
      <c r="E53" s="170"/>
      <c r="F53" s="170"/>
      <c r="G53" s="170"/>
      <c r="H53" s="170"/>
      <c r="I53" s="170"/>
      <c r="J53" s="170"/>
      <c r="K53" s="170"/>
    </row>
    <row r="55" spans="2:12" ht="16.2" customHeight="1">
      <c r="B55" s="19" t="s">
        <v>131</v>
      </c>
      <c r="C55" s="169" t="str">
        <f>[3]LAFAYETE!D22</f>
        <v>ENGATE FLEXÍVEL EM PLÁSTICO BRANCO, 1/2 X 30CM - FORNECIMENTO E INSTALAÇÃO. AF_01/2020</v>
      </c>
      <c r="D55" s="169"/>
      <c r="E55" s="169"/>
      <c r="F55" s="169"/>
      <c r="G55" s="169"/>
      <c r="H55" s="169"/>
      <c r="I55" s="169"/>
      <c r="J55" s="169"/>
      <c r="K55" s="36" t="str">
        <f>[3]LAFAYETE!E22</f>
        <v>UND</v>
      </c>
      <c r="L55" s="27">
        <f>K57</f>
        <v>8</v>
      </c>
    </row>
    <row r="56" spans="2:12">
      <c r="C56" s="167" t="s">
        <v>113</v>
      </c>
      <c r="D56" s="167"/>
      <c r="E56" s="167"/>
      <c r="F56" s="29" t="s">
        <v>102</v>
      </c>
      <c r="G56" s="28" t="s">
        <v>103</v>
      </c>
      <c r="H56" s="29" t="s">
        <v>104</v>
      </c>
      <c r="I56" s="28" t="s">
        <v>105</v>
      </c>
      <c r="J56" s="28" t="s">
        <v>121</v>
      </c>
      <c r="K56" s="30" t="s">
        <v>107</v>
      </c>
    </row>
    <row r="57" spans="2:12">
      <c r="C57" s="171" t="s">
        <v>127</v>
      </c>
      <c r="D57" s="172"/>
      <c r="E57" s="173"/>
      <c r="F57" s="31">
        <v>8</v>
      </c>
      <c r="G57" s="31"/>
      <c r="H57" s="31"/>
      <c r="I57" s="31"/>
      <c r="J57" s="31"/>
      <c r="K57" s="32">
        <f>F57</f>
        <v>8</v>
      </c>
    </row>
    <row r="58" spans="2:12">
      <c r="C58" s="166" t="s">
        <v>110</v>
      </c>
      <c r="D58" s="166"/>
      <c r="E58" s="166"/>
      <c r="F58" s="166"/>
      <c r="G58" s="166"/>
      <c r="H58" s="166"/>
      <c r="I58" s="166"/>
      <c r="J58" s="166"/>
      <c r="K58" s="33">
        <f>SUM(K57:K57)</f>
        <v>8</v>
      </c>
    </row>
    <row r="60" spans="2:12" ht="31.2" customHeight="1">
      <c r="B60" s="19" t="s">
        <v>132</v>
      </c>
      <c r="C60" s="169" t="str">
        <f>[3]LAFAYETE!D23</f>
        <v>TORNEIRA CROMADA LONGA, DE PAREDE, 1/2 OU 3/4, PARA PIA DE COZINHA, PADRÃO POPULAR - FORNECIMENTO E INSTALAÇÃO. AF_01/2020</v>
      </c>
      <c r="D60" s="169"/>
      <c r="E60" s="169"/>
      <c r="F60" s="169"/>
      <c r="G60" s="169"/>
      <c r="H60" s="169"/>
      <c r="I60" s="169"/>
      <c r="J60" s="169"/>
      <c r="K60" s="36" t="str">
        <f>[3]LAFAYETE!E23</f>
        <v>UND</v>
      </c>
      <c r="L60" s="27">
        <f>K63</f>
        <v>5</v>
      </c>
    </row>
    <row r="61" spans="2:12">
      <c r="C61" s="167" t="s">
        <v>113</v>
      </c>
      <c r="D61" s="167"/>
      <c r="E61" s="167"/>
      <c r="F61" s="29" t="s">
        <v>102</v>
      </c>
      <c r="G61" s="28" t="s">
        <v>103</v>
      </c>
      <c r="H61" s="29" t="s">
        <v>104</v>
      </c>
      <c r="I61" s="28" t="s">
        <v>105</v>
      </c>
      <c r="J61" s="28" t="s">
        <v>121</v>
      </c>
      <c r="K61" s="30" t="s">
        <v>107</v>
      </c>
    </row>
    <row r="62" spans="2:12">
      <c r="C62" s="165" t="s">
        <v>133</v>
      </c>
      <c r="D62" s="165"/>
      <c r="E62" s="165"/>
      <c r="F62" s="31">
        <v>5</v>
      </c>
      <c r="G62" s="31"/>
      <c r="H62" s="31"/>
      <c r="I62" s="31"/>
      <c r="J62" s="31"/>
      <c r="K62" s="32">
        <f>F62</f>
        <v>5</v>
      </c>
    </row>
    <row r="63" spans="2:12">
      <c r="C63" s="166" t="s">
        <v>110</v>
      </c>
      <c r="D63" s="166"/>
      <c r="E63" s="166"/>
      <c r="F63" s="166"/>
      <c r="G63" s="166"/>
      <c r="H63" s="166"/>
      <c r="I63" s="166"/>
      <c r="J63" s="166"/>
      <c r="K63" s="33">
        <f>SUM(K62:K62)</f>
        <v>5</v>
      </c>
    </row>
    <row r="65" spans="2:12">
      <c r="B65" s="34" t="s">
        <v>134</v>
      </c>
      <c r="C65" s="168" t="str">
        <f>[3]LAFAYETE!D24</f>
        <v>DIVERSOS</v>
      </c>
      <c r="D65" s="168"/>
      <c r="E65" s="168"/>
      <c r="F65" s="168"/>
      <c r="G65" s="168"/>
      <c r="H65" s="168"/>
      <c r="I65" s="168"/>
      <c r="J65" s="168"/>
      <c r="K65" s="168"/>
      <c r="L65" s="168"/>
    </row>
    <row r="66" spans="2:12" ht="26.4" customHeight="1">
      <c r="B66" s="19" t="s">
        <v>135</v>
      </c>
      <c r="C66" s="169" t="str">
        <f>[3]LAFAYETE!D25</f>
        <v>ALAMBRADO COM TELA DE ARAME GALVANIZADO FIO 12 BWG, MALHA 3, COM TUBO DE AÇO GALVANIZADO 3(VERTICAL) E DE 1.1/2(HORIZONTAL SUPERIOR), FORMANDO QUADROS DE 3,10 X 2.50 M, ASSENTADA SOBRE ALAMBRADO EXISTENTE</v>
      </c>
      <c r="D66" s="169"/>
      <c r="E66" s="169"/>
      <c r="F66" s="169"/>
      <c r="G66" s="169"/>
      <c r="H66" s="169"/>
      <c r="I66" s="169"/>
      <c r="J66" s="169"/>
      <c r="K66" s="36" t="str">
        <f>[3]LAFAYETE!E25</f>
        <v>M2</v>
      </c>
      <c r="L66" s="27">
        <f>K69</f>
        <v>250.8</v>
      </c>
    </row>
    <row r="67" spans="2:12">
      <c r="C67" s="167" t="s">
        <v>113</v>
      </c>
      <c r="D67" s="167"/>
      <c r="E67" s="167"/>
      <c r="F67" s="29" t="s">
        <v>102</v>
      </c>
      <c r="G67" s="28" t="s">
        <v>103</v>
      </c>
      <c r="H67" s="29" t="s">
        <v>104</v>
      </c>
      <c r="I67" s="28" t="s">
        <v>105</v>
      </c>
      <c r="J67" s="28" t="s">
        <v>106</v>
      </c>
      <c r="K67" s="30" t="s">
        <v>107</v>
      </c>
    </row>
    <row r="68" spans="2:12">
      <c r="C68" s="165" t="s">
        <v>136</v>
      </c>
      <c r="D68" s="165"/>
      <c r="E68" s="165"/>
      <c r="F68" s="31"/>
      <c r="G68" s="31"/>
      <c r="H68" s="31"/>
      <c r="I68" s="31"/>
      <c r="J68" s="31">
        <v>250.8</v>
      </c>
      <c r="K68" s="32">
        <f>J68</f>
        <v>250.8</v>
      </c>
    </row>
    <row r="69" spans="2:12">
      <c r="C69" s="166" t="s">
        <v>110</v>
      </c>
      <c r="D69" s="166"/>
      <c r="E69" s="166"/>
      <c r="F69" s="166"/>
      <c r="G69" s="166"/>
      <c r="H69" s="166"/>
      <c r="I69" s="166"/>
      <c r="J69" s="166"/>
      <c r="K69" s="33">
        <f>SUM(K68:K68)</f>
        <v>250.8</v>
      </c>
    </row>
    <row r="71" spans="2:12">
      <c r="B71" s="19" t="s">
        <v>137</v>
      </c>
      <c r="C71" s="169" t="str">
        <f>[3]LAFAYETE!D26</f>
        <v xml:space="preserve">	ALAMBRADO COM TELA DE NYLON, MALHA 3.6 MM, , EXCETO MURETA</v>
      </c>
      <c r="D71" s="169"/>
      <c r="E71" s="169"/>
      <c r="F71" s="169"/>
      <c r="G71" s="169"/>
      <c r="H71" s="169"/>
      <c r="I71" s="169"/>
      <c r="J71" s="169"/>
      <c r="K71" s="36" t="str">
        <f>[3]LAFAYETE!E26</f>
        <v>M2</v>
      </c>
      <c r="L71" s="27">
        <f>K74</f>
        <v>129</v>
      </c>
    </row>
    <row r="72" spans="2:12">
      <c r="C72" s="167" t="s">
        <v>113</v>
      </c>
      <c r="D72" s="167"/>
      <c r="E72" s="167"/>
      <c r="F72" s="29" t="s">
        <v>102</v>
      </c>
      <c r="G72" s="28" t="s">
        <v>103</v>
      </c>
      <c r="H72" s="29" t="s">
        <v>104</v>
      </c>
      <c r="I72" s="28" t="s">
        <v>105</v>
      </c>
      <c r="J72" s="28" t="s">
        <v>106</v>
      </c>
      <c r="K72" s="30" t="s">
        <v>107</v>
      </c>
    </row>
    <row r="73" spans="2:12">
      <c r="C73" s="165" t="s">
        <v>138</v>
      </c>
      <c r="D73" s="165"/>
      <c r="E73" s="165"/>
      <c r="F73" s="31"/>
      <c r="G73" s="31"/>
      <c r="H73" s="31"/>
      <c r="I73" s="31"/>
      <c r="J73" s="31">
        <v>129</v>
      </c>
      <c r="K73" s="32">
        <f>J73</f>
        <v>129</v>
      </c>
    </row>
    <row r="74" spans="2:12">
      <c r="C74" s="166" t="s">
        <v>110</v>
      </c>
      <c r="D74" s="166"/>
      <c r="E74" s="166"/>
      <c r="F74" s="166"/>
      <c r="G74" s="166"/>
      <c r="H74" s="166"/>
      <c r="I74" s="166"/>
      <c r="J74" s="166"/>
      <c r="K74" s="33">
        <f>SUM(K73:K73)</f>
        <v>129</v>
      </c>
    </row>
    <row r="75" spans="2:12">
      <c r="C75" s="41"/>
      <c r="D75" s="41"/>
      <c r="E75" s="41"/>
      <c r="F75" s="41"/>
      <c r="G75" s="41"/>
      <c r="H75" s="41"/>
      <c r="I75" s="41"/>
      <c r="J75" s="41"/>
      <c r="K75" s="42"/>
    </row>
    <row r="76" spans="2:12">
      <c r="B76" s="19" t="s">
        <v>139</v>
      </c>
      <c r="C76" s="169" t="str">
        <f>[3]LAFAYETE!D27</f>
        <v>FORRO EM RÉGUAS DE PVC, FRISADO, PARA AMBIENTES COMERCIAIS, INCLUSIVE ESTRUTURA DE FIXAÇÃO. AF_05/2017_PS</v>
      </c>
      <c r="D76" s="169"/>
      <c r="E76" s="169"/>
      <c r="F76" s="169"/>
      <c r="G76" s="169"/>
      <c r="H76" s="169"/>
      <c r="I76" s="169"/>
      <c r="J76" s="169"/>
      <c r="K76" s="36" t="str">
        <f>[3]LAFAYETE!E27</f>
        <v>M2</v>
      </c>
      <c r="L76" s="27">
        <f>K79</f>
        <v>27</v>
      </c>
    </row>
    <row r="77" spans="2:12">
      <c r="C77" s="167" t="s">
        <v>113</v>
      </c>
      <c r="D77" s="167"/>
      <c r="E77" s="167"/>
      <c r="F77" s="29" t="s">
        <v>102</v>
      </c>
      <c r="G77" s="28" t="s">
        <v>103</v>
      </c>
      <c r="H77" s="29" t="s">
        <v>104</v>
      </c>
      <c r="I77" s="28" t="s">
        <v>105</v>
      </c>
      <c r="J77" s="28" t="s">
        <v>106</v>
      </c>
      <c r="K77" s="30" t="s">
        <v>107</v>
      </c>
    </row>
    <row r="78" spans="2:12">
      <c r="C78" s="165" t="s">
        <v>140</v>
      </c>
      <c r="D78" s="165"/>
      <c r="E78" s="165"/>
      <c r="F78" s="31"/>
      <c r="G78" s="31"/>
      <c r="H78" s="31"/>
      <c r="I78" s="31"/>
      <c r="J78" s="31">
        <v>27</v>
      </c>
      <c r="K78" s="32">
        <f>J78</f>
        <v>27</v>
      </c>
    </row>
    <row r="79" spans="2:12">
      <c r="C79" s="166" t="s">
        <v>110</v>
      </c>
      <c r="D79" s="166"/>
      <c r="E79" s="166"/>
      <c r="F79" s="166"/>
      <c r="G79" s="166"/>
      <c r="H79" s="166"/>
      <c r="I79" s="166"/>
      <c r="J79" s="166"/>
      <c r="K79" s="33">
        <f>SUM(K78:K78)</f>
        <v>27</v>
      </c>
    </row>
    <row r="81" spans="2:12">
      <c r="B81" s="19" t="s">
        <v>141</v>
      </c>
      <c r="C81" s="169" t="str">
        <f>[3]LAFAYETE!D28</f>
        <v>FORRO EM PLACAS DE GESSO, PARA AMBIENTES RESIDENCIAIS. AF_05/2017_PS</v>
      </c>
      <c r="D81" s="169"/>
      <c r="E81" s="169"/>
      <c r="F81" s="169"/>
      <c r="G81" s="169"/>
      <c r="H81" s="169"/>
      <c r="I81" s="169"/>
      <c r="J81" s="169"/>
      <c r="K81" s="36" t="str">
        <f>[3]LAFAYETE!E28</f>
        <v>M2</v>
      </c>
      <c r="L81" s="27">
        <f>K84</f>
        <v>60.44</v>
      </c>
    </row>
    <row r="82" spans="2:12">
      <c r="C82" s="167" t="s">
        <v>113</v>
      </c>
      <c r="D82" s="167"/>
      <c r="E82" s="167"/>
      <c r="F82" s="29" t="s">
        <v>102</v>
      </c>
      <c r="G82" s="28" t="s">
        <v>103</v>
      </c>
      <c r="H82" s="29" t="s">
        <v>104</v>
      </c>
      <c r="I82" s="28" t="s">
        <v>105</v>
      </c>
      <c r="J82" s="28" t="s">
        <v>106</v>
      </c>
      <c r="K82" s="30" t="s">
        <v>107</v>
      </c>
    </row>
    <row r="83" spans="2:12">
      <c r="C83" s="165" t="s">
        <v>142</v>
      </c>
      <c r="D83" s="165"/>
      <c r="E83" s="165"/>
      <c r="F83" s="31"/>
      <c r="G83" s="31"/>
      <c r="H83" s="31"/>
      <c r="I83" s="31"/>
      <c r="J83" s="31">
        <v>60.44</v>
      </c>
      <c r="K83" s="32">
        <f>J83</f>
        <v>60.44</v>
      </c>
    </row>
    <row r="84" spans="2:12">
      <c r="C84" s="166" t="s">
        <v>110</v>
      </c>
      <c r="D84" s="166"/>
      <c r="E84" s="166"/>
      <c r="F84" s="166"/>
      <c r="G84" s="166"/>
      <c r="H84" s="166"/>
      <c r="I84" s="166"/>
      <c r="J84" s="166"/>
      <c r="K84" s="33">
        <f>SUM(K83:K83)</f>
        <v>60.44</v>
      </c>
    </row>
    <row r="86" spans="2:12">
      <c r="B86" s="34" t="str">
        <f>[3]LAFAYETE!C29</f>
        <v>7.0</v>
      </c>
      <c r="C86" s="168" t="str">
        <f>[3]LAFAYETE!D29</f>
        <v>COBERTA</v>
      </c>
      <c r="D86" s="168"/>
      <c r="E86" s="168"/>
      <c r="F86" s="168"/>
      <c r="G86" s="168"/>
      <c r="H86" s="168"/>
      <c r="I86" s="168"/>
      <c r="J86" s="168"/>
      <c r="K86" s="168"/>
      <c r="L86" s="168"/>
    </row>
    <row r="87" spans="2:12">
      <c r="B87" s="19" t="s">
        <v>143</v>
      </c>
      <c r="C87" s="169" t="str">
        <f>[3]LAFAYETE!D30</f>
        <v>RETIRADA E RECOLOCAÇÃO DE  TELHA CERÂMICA CAPA-CANAL, COM ATÉ DUAS ÁGUAS, INCLUSO IÇAMENTO. AF_07/2019</v>
      </c>
      <c r="D87" s="169"/>
      <c r="E87" s="169"/>
      <c r="F87" s="169"/>
      <c r="G87" s="169"/>
      <c r="H87" s="169"/>
      <c r="I87" s="169"/>
      <c r="J87" s="169"/>
      <c r="K87" s="36" t="str">
        <f>[3]LAFAYETE!E30</f>
        <v>M2</v>
      </c>
      <c r="L87" s="27">
        <f>K90</f>
        <v>934</v>
      </c>
    </row>
    <row r="88" spans="2:12">
      <c r="C88" s="167" t="s">
        <v>113</v>
      </c>
      <c r="D88" s="167"/>
      <c r="E88" s="167"/>
      <c r="F88" s="29" t="s">
        <v>102</v>
      </c>
      <c r="G88" s="28" t="s">
        <v>103</v>
      </c>
      <c r="H88" s="29" t="s">
        <v>104</v>
      </c>
      <c r="I88" s="28" t="s">
        <v>105</v>
      </c>
      <c r="J88" s="28" t="s">
        <v>115</v>
      </c>
      <c r="K88" s="30" t="s">
        <v>107</v>
      </c>
    </row>
    <row r="89" spans="2:12">
      <c r="C89" s="165" t="s">
        <v>144</v>
      </c>
      <c r="D89" s="165"/>
      <c r="E89" s="165"/>
      <c r="F89" s="31"/>
      <c r="G89" s="31"/>
      <c r="H89" s="31"/>
      <c r="I89" s="31"/>
      <c r="J89" s="31">
        <f>[3]LAFAYETE!F30</f>
        <v>934</v>
      </c>
      <c r="K89" s="32">
        <f>J89</f>
        <v>934</v>
      </c>
    </row>
    <row r="90" spans="2:12">
      <c r="C90" s="166" t="s">
        <v>110</v>
      </c>
      <c r="D90" s="166"/>
      <c r="E90" s="166"/>
      <c r="F90" s="166"/>
      <c r="G90" s="166"/>
      <c r="H90" s="166"/>
      <c r="I90" s="166"/>
      <c r="J90" s="166"/>
      <c r="K90" s="33">
        <f>SUM(K89:K89)</f>
        <v>934</v>
      </c>
    </row>
    <row r="92" spans="2:12">
      <c r="B92" s="19" t="s">
        <v>145</v>
      </c>
      <c r="C92" s="169" t="str">
        <f>[3]LAFAYETE!D31</f>
        <v>CUMEEIRA E ESPIGÃO PARA TELHA CERÂMICA EMBOÇADA COM ARGAMASSA TRAÇO 1:2:9 (CIMENTO, CAL E AREIA), PARA TELHADOS COM MAIS DE 2 ÁGUAS, INCLUSO TRANSPORTE VERTICAL. AF_07/2019</v>
      </c>
      <c r="D92" s="169"/>
      <c r="E92" s="169"/>
      <c r="F92" s="169"/>
      <c r="G92" s="169"/>
      <c r="H92" s="169"/>
      <c r="I92" s="169"/>
      <c r="J92" s="169"/>
      <c r="K92" s="36" t="str">
        <f>[3]LAFAYETE!E31</f>
        <v>M</v>
      </c>
      <c r="L92" s="27">
        <f>K95</f>
        <v>113</v>
      </c>
    </row>
    <row r="93" spans="2:12">
      <c r="C93" s="167" t="s">
        <v>113</v>
      </c>
      <c r="D93" s="167"/>
      <c r="E93" s="167"/>
      <c r="F93" s="29" t="s">
        <v>102</v>
      </c>
      <c r="G93" s="28" t="s">
        <v>103</v>
      </c>
      <c r="H93" s="29" t="s">
        <v>104</v>
      </c>
      <c r="I93" s="28" t="s">
        <v>105</v>
      </c>
      <c r="J93" s="28" t="s">
        <v>40</v>
      </c>
      <c r="K93" s="30" t="s">
        <v>107</v>
      </c>
    </row>
    <row r="94" spans="2:12" ht="14.4" customHeight="1">
      <c r="C94" s="165" t="s">
        <v>146</v>
      </c>
      <c r="D94" s="165"/>
      <c r="E94" s="165"/>
      <c r="F94" s="31"/>
      <c r="G94" s="31"/>
      <c r="H94" s="31"/>
      <c r="I94" s="31"/>
      <c r="J94" s="31">
        <v>113</v>
      </c>
      <c r="K94" s="32">
        <f>J94</f>
        <v>113</v>
      </c>
    </row>
    <row r="95" spans="2:12">
      <c r="C95" s="166" t="s">
        <v>110</v>
      </c>
      <c r="D95" s="166"/>
      <c r="E95" s="166"/>
      <c r="F95" s="166"/>
      <c r="G95" s="166"/>
      <c r="H95" s="166"/>
      <c r="I95" s="166"/>
      <c r="J95" s="166"/>
      <c r="K95" s="33">
        <f>SUM(K94:K94)</f>
        <v>113</v>
      </c>
    </row>
    <row r="97" spans="2:12">
      <c r="B97" s="34" t="s">
        <v>147</v>
      </c>
      <c r="C97" s="168" t="str">
        <f>[3]LAFAYETE!D32</f>
        <v>DIVERSOS</v>
      </c>
      <c r="D97" s="168"/>
      <c r="E97" s="168"/>
      <c r="F97" s="168"/>
      <c r="G97" s="168"/>
      <c r="H97" s="168"/>
      <c r="I97" s="168"/>
      <c r="J97" s="168"/>
      <c r="K97" s="168"/>
      <c r="L97" s="168"/>
    </row>
    <row r="98" spans="2:12" ht="27" customHeight="1">
      <c r="B98" s="19" t="s">
        <v>148</v>
      </c>
      <c r="C98" s="169" t="str">
        <f>[3]LAFAYETE!D33</f>
        <v>LIMPEZA GERAL</v>
      </c>
      <c r="D98" s="169"/>
      <c r="E98" s="169"/>
      <c r="F98" s="169"/>
      <c r="G98" s="169"/>
      <c r="H98" s="169"/>
      <c r="I98" s="169"/>
      <c r="J98" s="169"/>
      <c r="K98" s="36" t="str">
        <f>[3]LAFAYETE!E33</f>
        <v>M2</v>
      </c>
      <c r="L98" s="27">
        <f>K101</f>
        <v>1009</v>
      </c>
    </row>
    <row r="99" spans="2:12">
      <c r="C99" s="167" t="s">
        <v>113</v>
      </c>
      <c r="D99" s="167"/>
      <c r="E99" s="167"/>
      <c r="F99" s="29" t="s">
        <v>102</v>
      </c>
      <c r="G99" s="28" t="s">
        <v>103</v>
      </c>
      <c r="H99" s="29" t="s">
        <v>104</v>
      </c>
      <c r="I99" s="28" t="s">
        <v>105</v>
      </c>
      <c r="J99" s="28" t="s">
        <v>115</v>
      </c>
      <c r="K99" s="30" t="s">
        <v>107</v>
      </c>
    </row>
    <row r="100" spans="2:12" ht="14.4" customHeight="1">
      <c r="C100" s="165" t="s">
        <v>92</v>
      </c>
      <c r="D100" s="165"/>
      <c r="E100" s="165"/>
      <c r="F100" s="31"/>
      <c r="G100" s="31"/>
      <c r="H100" s="31"/>
      <c r="I100" s="31"/>
      <c r="J100" s="31">
        <f>[3]LAFAYETE!F33</f>
        <v>1009</v>
      </c>
      <c r="K100" s="32">
        <f>J100</f>
        <v>1009</v>
      </c>
    </row>
    <row r="101" spans="2:12">
      <c r="C101" s="166" t="s">
        <v>110</v>
      </c>
      <c r="D101" s="166"/>
      <c r="E101" s="166"/>
      <c r="F101" s="166"/>
      <c r="G101" s="166"/>
      <c r="H101" s="166"/>
      <c r="I101" s="166"/>
      <c r="J101" s="166"/>
      <c r="K101" s="33">
        <f>SUM(K100:K100)</f>
        <v>1009</v>
      </c>
    </row>
  </sheetData>
  <mergeCells count="84">
    <mergeCell ref="B2:C5"/>
    <mergeCell ref="D2:I2"/>
    <mergeCell ref="J2:L5"/>
    <mergeCell ref="D3:I3"/>
    <mergeCell ref="D4:I5"/>
    <mergeCell ref="C18:J18"/>
    <mergeCell ref="C7:J7"/>
    <mergeCell ref="C8:J8"/>
    <mergeCell ref="C9:E9"/>
    <mergeCell ref="C10:E10"/>
    <mergeCell ref="C11:E11"/>
    <mergeCell ref="C12:J12"/>
    <mergeCell ref="C14:L14"/>
    <mergeCell ref="C15:J15"/>
    <mergeCell ref="C16:E16"/>
    <mergeCell ref="C17:E17"/>
    <mergeCell ref="C33:E33"/>
    <mergeCell ref="C20:J20"/>
    <mergeCell ref="C21:E21"/>
    <mergeCell ref="C22:E22"/>
    <mergeCell ref="C23:J23"/>
    <mergeCell ref="C25:L25"/>
    <mergeCell ref="C26:J26"/>
    <mergeCell ref="C27:E27"/>
    <mergeCell ref="C28:E28"/>
    <mergeCell ref="C29:J29"/>
    <mergeCell ref="C31:L31"/>
    <mergeCell ref="C32:J32"/>
    <mergeCell ref="C47:K47"/>
    <mergeCell ref="C34:E34"/>
    <mergeCell ref="C35:J35"/>
    <mergeCell ref="C37:J37"/>
    <mergeCell ref="C38:E38"/>
    <mergeCell ref="C39:E39"/>
    <mergeCell ref="C40:J40"/>
    <mergeCell ref="C42:L42"/>
    <mergeCell ref="C43:J43"/>
    <mergeCell ref="C44:E44"/>
    <mergeCell ref="C45:E45"/>
    <mergeCell ref="C46:J46"/>
    <mergeCell ref="C62:E62"/>
    <mergeCell ref="C49:J49"/>
    <mergeCell ref="C50:E50"/>
    <mergeCell ref="C51:E51"/>
    <mergeCell ref="C52:J52"/>
    <mergeCell ref="C53:K53"/>
    <mergeCell ref="C55:J55"/>
    <mergeCell ref="C56:E56"/>
    <mergeCell ref="C57:E57"/>
    <mergeCell ref="C58:J58"/>
    <mergeCell ref="C60:J60"/>
    <mergeCell ref="C61:E61"/>
    <mergeCell ref="C77:E77"/>
    <mergeCell ref="C63:J63"/>
    <mergeCell ref="C65:L65"/>
    <mergeCell ref="C66:J66"/>
    <mergeCell ref="C67:E67"/>
    <mergeCell ref="C68:E68"/>
    <mergeCell ref="C69:J69"/>
    <mergeCell ref="C71:J71"/>
    <mergeCell ref="C72:E72"/>
    <mergeCell ref="C73:E73"/>
    <mergeCell ref="C74:J74"/>
    <mergeCell ref="C76:J76"/>
    <mergeCell ref="C92:J92"/>
    <mergeCell ref="C78:E78"/>
    <mergeCell ref="C79:J79"/>
    <mergeCell ref="C81:J81"/>
    <mergeCell ref="C82:E82"/>
    <mergeCell ref="C83:E83"/>
    <mergeCell ref="C84:J84"/>
    <mergeCell ref="C86:L86"/>
    <mergeCell ref="C87:J87"/>
    <mergeCell ref="C88:E88"/>
    <mergeCell ref="C89:E89"/>
    <mergeCell ref="C90:J90"/>
    <mergeCell ref="C100:E100"/>
    <mergeCell ref="C101:J101"/>
    <mergeCell ref="C93:E93"/>
    <mergeCell ref="C94:E94"/>
    <mergeCell ref="C95:J95"/>
    <mergeCell ref="C97:L97"/>
    <mergeCell ref="C98:J98"/>
    <mergeCell ref="C99:E9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D91A9-C478-445F-81D5-056CC43CB52E}">
  <dimension ref="A1:L49"/>
  <sheetViews>
    <sheetView topLeftCell="A37" workbookViewId="0">
      <selection activeCell="H47" sqref="H47:J47"/>
    </sheetView>
  </sheetViews>
  <sheetFormatPr defaultRowHeight="13.8"/>
  <cols>
    <col min="1" max="2" width="10" bestFit="1" customWidth="1"/>
    <col min="3" max="3" width="13.1992187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2">
      <c r="A1" s="43"/>
      <c r="B1" s="43"/>
      <c r="C1" s="43"/>
      <c r="D1" s="43" t="s">
        <v>0</v>
      </c>
      <c r="E1" s="163" t="s">
        <v>1</v>
      </c>
      <c r="F1" s="163"/>
      <c r="G1" s="163" t="s">
        <v>2</v>
      </c>
      <c r="H1" s="163"/>
      <c r="I1" s="163" t="s">
        <v>3</v>
      </c>
      <c r="J1" s="163"/>
    </row>
    <row r="2" spans="1:12" ht="79.95" customHeight="1">
      <c r="A2" s="44"/>
      <c r="B2" s="44"/>
      <c r="C2" s="44"/>
      <c r="D2" s="141" t="s">
        <v>358</v>
      </c>
      <c r="E2" s="154" t="s">
        <v>296</v>
      </c>
      <c r="F2" s="154"/>
      <c r="G2" s="154" t="s">
        <v>5</v>
      </c>
      <c r="H2" s="154"/>
      <c r="I2" s="154" t="s">
        <v>6</v>
      </c>
      <c r="J2" s="154"/>
    </row>
    <row r="3" spans="1:12">
      <c r="A3" s="162" t="s">
        <v>7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2" ht="30" customHeight="1">
      <c r="A4" s="48" t="s">
        <v>8</v>
      </c>
      <c r="B4" s="49" t="s">
        <v>9</v>
      </c>
      <c r="C4" s="48" t="s">
        <v>10</v>
      </c>
      <c r="D4" s="48" t="s">
        <v>11</v>
      </c>
      <c r="E4" s="50" t="s">
        <v>12</v>
      </c>
      <c r="F4" s="49" t="s">
        <v>13</v>
      </c>
      <c r="G4" s="49" t="s">
        <v>14</v>
      </c>
      <c r="H4" s="49" t="s">
        <v>15</v>
      </c>
      <c r="I4" s="49" t="s">
        <v>16</v>
      </c>
      <c r="J4" s="49" t="s">
        <v>17</v>
      </c>
    </row>
    <row r="5" spans="1:12" ht="24" customHeight="1">
      <c r="A5" s="45" t="s">
        <v>18</v>
      </c>
      <c r="B5" s="45"/>
      <c r="C5" s="45"/>
      <c r="D5" s="45" t="s">
        <v>19</v>
      </c>
      <c r="E5" s="45"/>
      <c r="F5" s="46"/>
      <c r="G5" s="45"/>
      <c r="H5" s="45"/>
      <c r="I5" s="130">
        <f>SUM(I6:I8)</f>
        <v>9120.5099999999984</v>
      </c>
      <c r="J5" s="72">
        <f>I5/H47</f>
        <v>0.11088687763660753</v>
      </c>
      <c r="K5" s="124"/>
      <c r="L5" s="124"/>
    </row>
    <row r="6" spans="1:12" ht="25.95" customHeight="1">
      <c r="A6" s="51" t="s">
        <v>20</v>
      </c>
      <c r="B6" s="52" t="s">
        <v>21</v>
      </c>
      <c r="C6" s="51" t="s">
        <v>22</v>
      </c>
      <c r="D6" s="51" t="s">
        <v>23</v>
      </c>
      <c r="E6" s="53" t="s">
        <v>24</v>
      </c>
      <c r="F6" s="52">
        <v>207.35</v>
      </c>
      <c r="G6" s="128">
        <v>29.85</v>
      </c>
      <c r="H6" s="128">
        <f>SUM(G6+(G6*G2))</f>
        <v>36.679680000000005</v>
      </c>
      <c r="I6" s="128">
        <f>ROUND(F6*H6,2)</f>
        <v>7605.53</v>
      </c>
      <c r="J6" s="73">
        <f>I6/H47</f>
        <v>9.2467797795468432E-2</v>
      </c>
      <c r="K6" s="124"/>
      <c r="L6" s="124"/>
    </row>
    <row r="7" spans="1:12" ht="25.95" customHeight="1">
      <c r="A7" s="51" t="s">
        <v>297</v>
      </c>
      <c r="B7" s="52" t="s">
        <v>298</v>
      </c>
      <c r="C7" s="51" t="s">
        <v>29</v>
      </c>
      <c r="D7" s="51" t="s">
        <v>299</v>
      </c>
      <c r="E7" s="53" t="s">
        <v>163</v>
      </c>
      <c r="F7" s="52">
        <v>7.5339999999999998</v>
      </c>
      <c r="G7" s="128">
        <v>80.78</v>
      </c>
      <c r="H7" s="128">
        <f>SUM(G7+(G7*G2))</f>
        <v>99.262463999999994</v>
      </c>
      <c r="I7" s="128">
        <f>ROUND(F7*H7,2)</f>
        <v>747.84</v>
      </c>
      <c r="J7" s="73">
        <f>I7/H47</f>
        <v>9.0922155199391914E-3</v>
      </c>
      <c r="K7" s="124"/>
      <c r="L7" s="124"/>
    </row>
    <row r="8" spans="1:12" ht="25.95" customHeight="1">
      <c r="A8" s="51" t="s">
        <v>300</v>
      </c>
      <c r="B8" s="52" t="s">
        <v>301</v>
      </c>
      <c r="C8" s="51" t="s">
        <v>29</v>
      </c>
      <c r="D8" s="51" t="s">
        <v>302</v>
      </c>
      <c r="E8" s="53" t="s">
        <v>163</v>
      </c>
      <c r="F8" s="52">
        <v>1.018</v>
      </c>
      <c r="G8" s="128">
        <v>613.26</v>
      </c>
      <c r="H8" s="128">
        <f>SUM(G8+(G8*G2))</f>
        <v>753.57388800000001</v>
      </c>
      <c r="I8" s="128">
        <f>ROUND(F8*H8,2)</f>
        <v>767.14</v>
      </c>
      <c r="J8" s="73">
        <f>I8/H47</f>
        <v>9.3268643211999232E-3</v>
      </c>
      <c r="K8" s="124"/>
      <c r="L8" s="124"/>
    </row>
    <row r="9" spans="1:12" ht="24" customHeight="1">
      <c r="A9" s="45" t="s">
        <v>25</v>
      </c>
      <c r="B9" s="45"/>
      <c r="C9" s="45"/>
      <c r="D9" s="45" t="s">
        <v>303</v>
      </c>
      <c r="E9" s="45"/>
      <c r="F9" s="46"/>
      <c r="G9" s="132"/>
      <c r="H9" s="132"/>
      <c r="I9" s="130">
        <f>SUM(I10:I14)</f>
        <v>2482.63</v>
      </c>
      <c r="J9" s="72">
        <f>I9/H47</f>
        <v>3.0183738521965438E-2</v>
      </c>
      <c r="K9" s="124"/>
      <c r="L9" s="124"/>
    </row>
    <row r="10" spans="1:12" ht="25.95" customHeight="1">
      <c r="A10" s="51" t="s">
        <v>27</v>
      </c>
      <c r="B10" s="52" t="s">
        <v>304</v>
      </c>
      <c r="C10" s="51" t="s">
        <v>29</v>
      </c>
      <c r="D10" s="51" t="s">
        <v>305</v>
      </c>
      <c r="E10" s="53" t="s">
        <v>126</v>
      </c>
      <c r="F10" s="52">
        <v>47.716000000000001</v>
      </c>
      <c r="G10" s="128">
        <v>18.309999999999999</v>
      </c>
      <c r="H10" s="128">
        <f>SUM(G10+(G10*G2))</f>
        <v>22.499327999999998</v>
      </c>
      <c r="I10" s="128">
        <f>ROUND(F10*H10,2)</f>
        <v>1073.58</v>
      </c>
      <c r="J10" s="73">
        <f>I10/H47</f>
        <v>1.305255233458536E-2</v>
      </c>
      <c r="K10" s="124"/>
      <c r="L10" s="124"/>
    </row>
    <row r="11" spans="1:12" ht="39" customHeight="1">
      <c r="A11" s="51" t="s">
        <v>32</v>
      </c>
      <c r="B11" s="52" t="s">
        <v>306</v>
      </c>
      <c r="C11" s="51" t="s">
        <v>29</v>
      </c>
      <c r="D11" s="51" t="s">
        <v>307</v>
      </c>
      <c r="E11" s="53" t="s">
        <v>31</v>
      </c>
      <c r="F11" s="52">
        <v>0.72</v>
      </c>
      <c r="G11" s="128">
        <v>280.11</v>
      </c>
      <c r="H11" s="128">
        <f>SUM(G11+(G11*G2))</f>
        <v>344.19916799999999</v>
      </c>
      <c r="I11" s="128">
        <f>ROUND(F11*H11,2)</f>
        <v>247.82</v>
      </c>
      <c r="J11" s="73">
        <f>I11/H47</f>
        <v>3.0129878719396264E-3</v>
      </c>
      <c r="K11" s="124"/>
      <c r="L11" s="124"/>
    </row>
    <row r="12" spans="1:12" ht="39" customHeight="1">
      <c r="A12" s="51" t="s">
        <v>308</v>
      </c>
      <c r="B12" s="52" t="s">
        <v>309</v>
      </c>
      <c r="C12" s="51" t="s">
        <v>29</v>
      </c>
      <c r="D12" s="51" t="s">
        <v>310</v>
      </c>
      <c r="E12" s="53" t="s">
        <v>163</v>
      </c>
      <c r="F12" s="52">
        <v>0.32</v>
      </c>
      <c r="G12" s="128">
        <v>621.98</v>
      </c>
      <c r="H12" s="128">
        <f>SUM(G12+(G12*G2))</f>
        <v>764.28902400000004</v>
      </c>
      <c r="I12" s="128">
        <f t="shared" ref="I12:I43" si="0">ROUND(F12*H12,2)</f>
        <v>244.57</v>
      </c>
      <c r="J12" s="73">
        <f>I12/H47</f>
        <v>2.9734744727635963E-3</v>
      </c>
      <c r="K12" s="124"/>
      <c r="L12" s="124"/>
    </row>
    <row r="13" spans="1:12" ht="25.95" customHeight="1">
      <c r="A13" s="51" t="s">
        <v>311</v>
      </c>
      <c r="B13" s="52" t="s">
        <v>312</v>
      </c>
      <c r="C13" s="51" t="s">
        <v>29</v>
      </c>
      <c r="D13" s="51" t="s">
        <v>313</v>
      </c>
      <c r="E13" s="53" t="s">
        <v>126</v>
      </c>
      <c r="F13" s="52">
        <v>13.6906</v>
      </c>
      <c r="G13" s="128">
        <v>20.37</v>
      </c>
      <c r="H13" s="128">
        <f>SUM(G13+(G13*G2))</f>
        <v>25.030656</v>
      </c>
      <c r="I13" s="128">
        <f t="shared" si="0"/>
        <v>342.68</v>
      </c>
      <c r="J13" s="73">
        <f>I13/H47</f>
        <v>4.1662928091206163E-3</v>
      </c>
      <c r="K13" s="124"/>
      <c r="L13" s="124"/>
    </row>
    <row r="14" spans="1:12" ht="39" customHeight="1">
      <c r="A14" s="51" t="s">
        <v>314</v>
      </c>
      <c r="B14" s="52" t="s">
        <v>315</v>
      </c>
      <c r="C14" s="51" t="s">
        <v>29</v>
      </c>
      <c r="D14" s="51" t="s">
        <v>316</v>
      </c>
      <c r="E14" s="53" t="s">
        <v>163</v>
      </c>
      <c r="F14" s="52">
        <v>0.76</v>
      </c>
      <c r="G14" s="128">
        <v>614.61</v>
      </c>
      <c r="H14" s="128">
        <f>SUM(G14+(G14*G2))</f>
        <v>755.23276800000008</v>
      </c>
      <c r="I14" s="128">
        <f t="shared" si="0"/>
        <v>573.98</v>
      </c>
      <c r="J14" s="73">
        <f>I14/H47</f>
        <v>6.9784310335562379E-3</v>
      </c>
      <c r="K14" s="124"/>
      <c r="L14" s="124"/>
    </row>
    <row r="15" spans="1:12" ht="24" customHeight="1">
      <c r="A15" s="45" t="s">
        <v>35</v>
      </c>
      <c r="B15" s="45"/>
      <c r="C15" s="45"/>
      <c r="D15" s="45" t="s">
        <v>317</v>
      </c>
      <c r="E15" s="45"/>
      <c r="F15" s="46"/>
      <c r="G15" s="132"/>
      <c r="H15" s="132"/>
      <c r="I15" s="130">
        <f>SUM(I16:I19)</f>
        <v>3235.81</v>
      </c>
      <c r="J15" s="72">
        <f>I15/H47</f>
        <v>3.9340877596243086E-2</v>
      </c>
      <c r="K15" s="124"/>
      <c r="L15" s="124"/>
    </row>
    <row r="16" spans="1:12" ht="39" customHeight="1">
      <c r="A16" s="51" t="s">
        <v>37</v>
      </c>
      <c r="B16" s="52" t="s">
        <v>318</v>
      </c>
      <c r="C16" s="51" t="s">
        <v>29</v>
      </c>
      <c r="D16" s="51" t="s">
        <v>319</v>
      </c>
      <c r="E16" s="53" t="s">
        <v>126</v>
      </c>
      <c r="F16" s="52">
        <v>51.828000000000003</v>
      </c>
      <c r="G16" s="128">
        <v>14.74</v>
      </c>
      <c r="H16" s="128">
        <f>SUM(G16+(G16*G2))</f>
        <v>18.112511999999999</v>
      </c>
      <c r="I16" s="128">
        <f t="shared" si="0"/>
        <v>938.74</v>
      </c>
      <c r="J16" s="73">
        <f>I16/H47</f>
        <v>1.1413171797694315E-2</v>
      </c>
      <c r="K16" s="124"/>
      <c r="L16" s="124"/>
    </row>
    <row r="17" spans="1:12" ht="39" customHeight="1">
      <c r="A17" s="51" t="s">
        <v>320</v>
      </c>
      <c r="B17" s="52" t="s">
        <v>321</v>
      </c>
      <c r="C17" s="51" t="s">
        <v>29</v>
      </c>
      <c r="D17" s="51" t="s">
        <v>322</v>
      </c>
      <c r="E17" s="53" t="s">
        <v>126</v>
      </c>
      <c r="F17" s="52">
        <v>15.092000000000001</v>
      </c>
      <c r="G17" s="128">
        <v>17.09</v>
      </c>
      <c r="H17" s="128">
        <f>SUM(G17+(G17*G2))</f>
        <v>21.000191999999998</v>
      </c>
      <c r="I17" s="128">
        <f t="shared" si="0"/>
        <v>316.93</v>
      </c>
      <c r="J17" s="73">
        <f>I17/H47</f>
        <v>3.8532251079566857E-3</v>
      </c>
      <c r="K17" s="124"/>
      <c r="L17" s="124"/>
    </row>
    <row r="18" spans="1:12" ht="39" customHeight="1">
      <c r="A18" s="51" t="s">
        <v>323</v>
      </c>
      <c r="B18" s="52" t="s">
        <v>324</v>
      </c>
      <c r="C18" s="51" t="s">
        <v>29</v>
      </c>
      <c r="D18" s="51" t="s">
        <v>325</v>
      </c>
      <c r="E18" s="53" t="s">
        <v>163</v>
      </c>
      <c r="F18" s="52">
        <v>0.84</v>
      </c>
      <c r="G18" s="128">
        <v>591.78</v>
      </c>
      <c r="H18" s="128">
        <f>SUM(G18+(G18*G2))</f>
        <v>727.17926399999999</v>
      </c>
      <c r="I18" s="128">
        <f t="shared" si="0"/>
        <v>610.83000000000004</v>
      </c>
      <c r="J18" s="73">
        <f>I18/H47</f>
        <v>7.4264521903675334E-3</v>
      </c>
      <c r="K18" s="124"/>
      <c r="L18" s="124"/>
    </row>
    <row r="19" spans="1:12" ht="39" customHeight="1">
      <c r="A19" s="51" t="s">
        <v>326</v>
      </c>
      <c r="B19" s="52" t="s">
        <v>327</v>
      </c>
      <c r="C19" s="51" t="s">
        <v>29</v>
      </c>
      <c r="D19" s="51" t="s">
        <v>328</v>
      </c>
      <c r="E19" s="53" t="s">
        <v>31</v>
      </c>
      <c r="F19" s="52">
        <v>16.8</v>
      </c>
      <c r="G19" s="128">
        <v>66.33</v>
      </c>
      <c r="H19" s="128">
        <f>SUM(G19+(G19*G2))</f>
        <v>81.506304</v>
      </c>
      <c r="I19" s="128">
        <f t="shared" si="0"/>
        <v>1369.31</v>
      </c>
      <c r="J19" s="73">
        <f>I19/H47</f>
        <v>1.6648028500224555E-2</v>
      </c>
      <c r="K19" s="124"/>
      <c r="L19" s="124"/>
    </row>
    <row r="20" spans="1:12" ht="24" customHeight="1">
      <c r="A20" s="45" t="s">
        <v>41</v>
      </c>
      <c r="B20" s="45"/>
      <c r="C20" s="45"/>
      <c r="D20" s="45" t="s">
        <v>26</v>
      </c>
      <c r="E20" s="45"/>
      <c r="F20" s="46"/>
      <c r="G20" s="132"/>
      <c r="H20" s="132"/>
      <c r="I20" s="130">
        <f>SUM(I21:I23)</f>
        <v>31199.78</v>
      </c>
      <c r="J20" s="72">
        <f>I20/H47</f>
        <v>0.3793259573367142</v>
      </c>
      <c r="K20" s="124"/>
      <c r="L20" s="124"/>
    </row>
    <row r="21" spans="1:12" ht="52.05" customHeight="1">
      <c r="A21" s="51" t="s">
        <v>43</v>
      </c>
      <c r="B21" s="52" t="s">
        <v>28</v>
      </c>
      <c r="C21" s="51" t="s">
        <v>29</v>
      </c>
      <c r="D21" s="51" t="s">
        <v>30</v>
      </c>
      <c r="E21" s="53" t="s">
        <v>31</v>
      </c>
      <c r="F21" s="52">
        <v>207.35</v>
      </c>
      <c r="G21" s="128">
        <v>52.2</v>
      </c>
      <c r="H21" s="128">
        <f>SUM(G21+(G21*G2))</f>
        <v>64.143360000000001</v>
      </c>
      <c r="I21" s="128">
        <f t="shared" si="0"/>
        <v>13300.13</v>
      </c>
      <c r="J21" s="73">
        <f>I21/H47</f>
        <v>0.16170256793325954</v>
      </c>
      <c r="K21" s="124"/>
      <c r="L21" s="124"/>
    </row>
    <row r="22" spans="1:12" ht="52.05" customHeight="1">
      <c r="A22" s="51" t="s">
        <v>47</v>
      </c>
      <c r="B22" s="52" t="s">
        <v>33</v>
      </c>
      <c r="C22" s="51" t="s">
        <v>29</v>
      </c>
      <c r="D22" s="51" t="s">
        <v>34</v>
      </c>
      <c r="E22" s="53" t="s">
        <v>31</v>
      </c>
      <c r="F22" s="52">
        <v>76</v>
      </c>
      <c r="G22" s="128">
        <v>100.43</v>
      </c>
      <c r="H22" s="128">
        <f>SUM(G22+(G22*G2))</f>
        <v>123.40838400000001</v>
      </c>
      <c r="I22" s="128">
        <f t="shared" si="0"/>
        <v>9379.0400000000009</v>
      </c>
      <c r="J22" s="73">
        <f>I22/H47</f>
        <v>0.11403007735629342</v>
      </c>
      <c r="K22" s="124"/>
      <c r="L22" s="124"/>
    </row>
    <row r="23" spans="1:12" ht="39" customHeight="1">
      <c r="A23" s="51" t="s">
        <v>329</v>
      </c>
      <c r="B23" s="52" t="s">
        <v>330</v>
      </c>
      <c r="C23" s="51" t="s">
        <v>22</v>
      </c>
      <c r="D23" s="51" t="s">
        <v>331</v>
      </c>
      <c r="E23" s="53" t="s">
        <v>71</v>
      </c>
      <c r="F23" s="52">
        <v>72.2</v>
      </c>
      <c r="G23" s="128">
        <v>96.04</v>
      </c>
      <c r="H23" s="128">
        <f>SUM(G23+(G23*G2))</f>
        <v>118.013952</v>
      </c>
      <c r="I23" s="128">
        <f t="shared" si="0"/>
        <v>8520.61</v>
      </c>
      <c r="J23" s="73">
        <f>I23/H47</f>
        <v>0.10359331204716125</v>
      </c>
      <c r="K23" s="124"/>
      <c r="L23" s="124"/>
    </row>
    <row r="24" spans="1:12" ht="24" customHeight="1">
      <c r="A24" s="45" t="s">
        <v>50</v>
      </c>
      <c r="B24" s="45"/>
      <c r="C24" s="45"/>
      <c r="D24" s="45" t="s">
        <v>332</v>
      </c>
      <c r="E24" s="45"/>
      <c r="F24" s="46"/>
      <c r="G24" s="132"/>
      <c r="H24" s="132"/>
      <c r="I24" s="130">
        <f>SUM(I25:I28)</f>
        <v>2590.8500000000004</v>
      </c>
      <c r="J24" s="72">
        <f>I24/H47</f>
        <v>3.1499473924682359E-2</v>
      </c>
      <c r="K24" s="124"/>
      <c r="L24" s="124"/>
    </row>
    <row r="25" spans="1:12" ht="64.95" customHeight="1">
      <c r="A25" s="51" t="s">
        <v>52</v>
      </c>
      <c r="B25" s="52" t="s">
        <v>333</v>
      </c>
      <c r="C25" s="51" t="s">
        <v>29</v>
      </c>
      <c r="D25" s="51" t="s">
        <v>334</v>
      </c>
      <c r="E25" s="53" t="s">
        <v>31</v>
      </c>
      <c r="F25" s="52">
        <v>28.5</v>
      </c>
      <c r="G25" s="128">
        <v>40.24</v>
      </c>
      <c r="H25" s="128">
        <f>SUM(G25+(G25*G2))</f>
        <v>49.446912000000005</v>
      </c>
      <c r="I25" s="128">
        <f t="shared" si="0"/>
        <v>1409.24</v>
      </c>
      <c r="J25" s="73">
        <f>I25/H47</f>
        <v>1.7133496201485753E-2</v>
      </c>
      <c r="K25" s="124"/>
      <c r="L25" s="124"/>
    </row>
    <row r="26" spans="1:12" ht="25.95" customHeight="1">
      <c r="A26" s="51" t="s">
        <v>56</v>
      </c>
      <c r="B26" s="52" t="s">
        <v>335</v>
      </c>
      <c r="C26" s="51" t="s">
        <v>29</v>
      </c>
      <c r="D26" s="51" t="s">
        <v>336</v>
      </c>
      <c r="E26" s="53" t="s">
        <v>31</v>
      </c>
      <c r="F26" s="52">
        <v>28.5</v>
      </c>
      <c r="G26" s="128">
        <v>14.34</v>
      </c>
      <c r="H26" s="128">
        <f>SUM(G26+(G26*G2))</f>
        <v>17.620992000000001</v>
      </c>
      <c r="I26" s="128">
        <f t="shared" si="0"/>
        <v>502.2</v>
      </c>
      <c r="J26" s="73">
        <f>I26/H47</f>
        <v>6.105732020369947E-3</v>
      </c>
      <c r="K26" s="124"/>
      <c r="L26" s="124"/>
    </row>
    <row r="27" spans="1:12" ht="25.95" customHeight="1">
      <c r="A27" s="51" t="s">
        <v>60</v>
      </c>
      <c r="B27" s="52" t="s">
        <v>337</v>
      </c>
      <c r="C27" s="51" t="s">
        <v>29</v>
      </c>
      <c r="D27" s="51" t="s">
        <v>338</v>
      </c>
      <c r="E27" s="53" t="s">
        <v>31</v>
      </c>
      <c r="F27" s="52">
        <v>28.5</v>
      </c>
      <c r="G27" s="128">
        <v>3.19</v>
      </c>
      <c r="H27" s="128">
        <f>SUM(G27+(G27*G2))</f>
        <v>3.9198719999999998</v>
      </c>
      <c r="I27" s="128">
        <f t="shared" si="0"/>
        <v>111.72</v>
      </c>
      <c r="J27" s="73">
        <f>I27/H47</f>
        <v>1.3582882941372571E-3</v>
      </c>
      <c r="K27" s="124"/>
      <c r="L27" s="124"/>
    </row>
    <row r="28" spans="1:12" ht="25.95" customHeight="1">
      <c r="A28" s="51" t="s">
        <v>63</v>
      </c>
      <c r="B28" s="52" t="s">
        <v>339</v>
      </c>
      <c r="C28" s="51" t="s">
        <v>29</v>
      </c>
      <c r="D28" s="51" t="s">
        <v>340</v>
      </c>
      <c r="E28" s="53" t="s">
        <v>31</v>
      </c>
      <c r="F28" s="52">
        <v>28.5</v>
      </c>
      <c r="G28" s="128">
        <v>16.21</v>
      </c>
      <c r="H28" s="128">
        <f>SUM(G28+(G28*G2))</f>
        <v>19.918848000000001</v>
      </c>
      <c r="I28" s="128">
        <f t="shared" si="0"/>
        <v>567.69000000000005</v>
      </c>
      <c r="J28" s="73">
        <f>I28/H47</f>
        <v>6.9019574086893985E-3</v>
      </c>
      <c r="K28" s="124"/>
      <c r="L28" s="124"/>
    </row>
    <row r="29" spans="1:12" ht="24" customHeight="1">
      <c r="A29" s="45" t="s">
        <v>66</v>
      </c>
      <c r="B29" s="45"/>
      <c r="C29" s="45"/>
      <c r="D29" s="45" t="s">
        <v>42</v>
      </c>
      <c r="E29" s="45"/>
      <c r="F29" s="46"/>
      <c r="G29" s="132"/>
      <c r="H29" s="132"/>
      <c r="I29" s="130">
        <f>SUM(I30:I33)</f>
        <v>2952.39</v>
      </c>
      <c r="J29" s="72">
        <f>I29/H47</f>
        <v>3.5895066028713715E-2</v>
      </c>
      <c r="K29" s="124"/>
      <c r="L29" s="124"/>
    </row>
    <row r="30" spans="1:12" ht="25.95" customHeight="1">
      <c r="A30" s="51" t="s">
        <v>68</v>
      </c>
      <c r="B30" s="52" t="s">
        <v>44</v>
      </c>
      <c r="C30" s="51" t="s">
        <v>22</v>
      </c>
      <c r="D30" s="51" t="s">
        <v>45</v>
      </c>
      <c r="E30" s="53" t="s">
        <v>46</v>
      </c>
      <c r="F30" s="52">
        <v>5</v>
      </c>
      <c r="G30" s="128">
        <v>123.61</v>
      </c>
      <c r="H30" s="128">
        <f>SUM(G30+(G30*G2))</f>
        <v>151.89196799999999</v>
      </c>
      <c r="I30" s="128">
        <f t="shared" si="0"/>
        <v>759.46</v>
      </c>
      <c r="J30" s="73">
        <f>I30/H47</f>
        <v>9.2334911194547203E-3</v>
      </c>
      <c r="K30" s="124"/>
      <c r="L30" s="124"/>
    </row>
    <row r="31" spans="1:12" ht="25.95" customHeight="1">
      <c r="A31" s="51" t="s">
        <v>72</v>
      </c>
      <c r="B31" s="52" t="s">
        <v>48</v>
      </c>
      <c r="C31" s="51" t="s">
        <v>22</v>
      </c>
      <c r="D31" s="51" t="s">
        <v>49</v>
      </c>
      <c r="E31" s="53" t="s">
        <v>46</v>
      </c>
      <c r="F31" s="52">
        <v>5</v>
      </c>
      <c r="G31" s="128">
        <v>128.58000000000001</v>
      </c>
      <c r="H31" s="128">
        <f>SUM(G31+(G31*G2))</f>
        <v>157.99910400000002</v>
      </c>
      <c r="I31" s="128">
        <f t="shared" si="0"/>
        <v>790</v>
      </c>
      <c r="J31" s="73">
        <f>I31/H47</f>
        <v>9.6047954920196309E-3</v>
      </c>
      <c r="K31" s="124"/>
      <c r="L31" s="124"/>
    </row>
    <row r="32" spans="1:12" ht="24" customHeight="1">
      <c r="A32" s="51" t="s">
        <v>75</v>
      </c>
      <c r="B32" s="52" t="s">
        <v>341</v>
      </c>
      <c r="C32" s="51" t="s">
        <v>22</v>
      </c>
      <c r="D32" s="51" t="s">
        <v>342</v>
      </c>
      <c r="E32" s="53" t="s">
        <v>46</v>
      </c>
      <c r="F32" s="52">
        <v>5</v>
      </c>
      <c r="G32" s="128">
        <v>191.22</v>
      </c>
      <c r="H32" s="128">
        <f>SUM(G32+(G32*G2))</f>
        <v>234.971136</v>
      </c>
      <c r="I32" s="128">
        <f t="shared" si="0"/>
        <v>1174.8599999999999</v>
      </c>
      <c r="J32" s="73">
        <f>I32/H47</f>
        <v>1.428391143260023E-2</v>
      </c>
      <c r="K32" s="124"/>
      <c r="L32" s="124"/>
    </row>
    <row r="33" spans="1:12" ht="25.95" customHeight="1">
      <c r="A33" s="51" t="s">
        <v>78</v>
      </c>
      <c r="B33" s="52" t="s">
        <v>343</v>
      </c>
      <c r="C33" s="51" t="s">
        <v>29</v>
      </c>
      <c r="D33" s="51" t="s">
        <v>344</v>
      </c>
      <c r="E33" s="53" t="s">
        <v>59</v>
      </c>
      <c r="F33" s="52">
        <v>10</v>
      </c>
      <c r="G33" s="128">
        <v>18.559999999999999</v>
      </c>
      <c r="H33" s="128">
        <f>SUM(G33+(G33*G2))</f>
        <v>22.806528</v>
      </c>
      <c r="I33" s="128">
        <f t="shared" si="0"/>
        <v>228.07</v>
      </c>
      <c r="J33" s="73">
        <f>I33/H47</f>
        <v>2.7728679846391355E-3</v>
      </c>
      <c r="K33" s="124"/>
      <c r="L33" s="124"/>
    </row>
    <row r="34" spans="1:12" ht="24" customHeight="1">
      <c r="A34" s="45" t="s">
        <v>81</v>
      </c>
      <c r="B34" s="45"/>
      <c r="C34" s="45"/>
      <c r="D34" s="45" t="s">
        <v>82</v>
      </c>
      <c r="E34" s="45"/>
      <c r="F34" s="46"/>
      <c r="G34" s="132"/>
      <c r="H34" s="132"/>
      <c r="I34" s="130">
        <f>SUM(I35:I40)</f>
        <v>28807.82</v>
      </c>
      <c r="J34" s="72">
        <f>I34/H47</f>
        <v>0.35024458186191515</v>
      </c>
      <c r="K34" s="124"/>
      <c r="L34" s="124"/>
    </row>
    <row r="35" spans="1:12" ht="52.05" customHeight="1">
      <c r="A35" s="51" t="s">
        <v>83</v>
      </c>
      <c r="B35" s="52" t="s">
        <v>345</v>
      </c>
      <c r="C35" s="51" t="s">
        <v>29</v>
      </c>
      <c r="D35" s="51" t="s">
        <v>346</v>
      </c>
      <c r="E35" s="53" t="s">
        <v>31</v>
      </c>
      <c r="F35" s="52">
        <v>72.2</v>
      </c>
      <c r="G35" s="128">
        <v>92.53</v>
      </c>
      <c r="H35" s="128">
        <f>SUM(G35+(G35*G2))</f>
        <v>113.700864</v>
      </c>
      <c r="I35" s="128">
        <f t="shared" si="0"/>
        <v>8209.2000000000007</v>
      </c>
      <c r="J35" s="73">
        <f>I35/H47</f>
        <v>9.9807198927958932E-2</v>
      </c>
      <c r="K35" s="124"/>
      <c r="L35" s="124"/>
    </row>
    <row r="36" spans="1:12" ht="39" customHeight="1">
      <c r="A36" s="51" t="s">
        <v>86</v>
      </c>
      <c r="B36" s="52" t="s">
        <v>347</v>
      </c>
      <c r="C36" s="51" t="s">
        <v>29</v>
      </c>
      <c r="D36" s="51" t="s">
        <v>348</v>
      </c>
      <c r="E36" s="53" t="s">
        <v>31</v>
      </c>
      <c r="F36" s="52">
        <v>72.2</v>
      </c>
      <c r="G36" s="128">
        <v>51.4</v>
      </c>
      <c r="H36" s="128">
        <f>SUM(G36+(G36*G2))</f>
        <v>63.160319999999999</v>
      </c>
      <c r="I36" s="128">
        <f t="shared" si="0"/>
        <v>4560.18</v>
      </c>
      <c r="J36" s="73">
        <f>I36/H47</f>
        <v>5.5442526970630485E-2</v>
      </c>
      <c r="K36" s="124"/>
      <c r="L36" s="124"/>
    </row>
    <row r="37" spans="1:12" ht="25.95" customHeight="1">
      <c r="A37" s="51" t="s">
        <v>349</v>
      </c>
      <c r="B37" s="52" t="s">
        <v>350</v>
      </c>
      <c r="C37" s="51" t="s">
        <v>22</v>
      </c>
      <c r="D37" s="51" t="s">
        <v>351</v>
      </c>
      <c r="E37" s="53" t="s">
        <v>40</v>
      </c>
      <c r="F37" s="52">
        <v>19</v>
      </c>
      <c r="G37" s="128">
        <v>234.61</v>
      </c>
      <c r="H37" s="128">
        <f>SUM(G37+(G37*G2))</f>
        <v>288.288768</v>
      </c>
      <c r="I37" s="128">
        <f t="shared" si="0"/>
        <v>5477.49</v>
      </c>
      <c r="J37" s="73">
        <f>I37/H47</f>
        <v>6.6595153493142531E-2</v>
      </c>
      <c r="K37" s="124"/>
      <c r="L37" s="124"/>
    </row>
    <row r="38" spans="1:12" ht="39" customHeight="1">
      <c r="A38" s="51" t="s">
        <v>352</v>
      </c>
      <c r="B38" s="52" t="s">
        <v>353</v>
      </c>
      <c r="C38" s="51" t="s">
        <v>29</v>
      </c>
      <c r="D38" s="51" t="s">
        <v>354</v>
      </c>
      <c r="E38" s="53" t="s">
        <v>40</v>
      </c>
      <c r="F38" s="52">
        <v>8</v>
      </c>
      <c r="G38" s="128">
        <v>46.85</v>
      </c>
      <c r="H38" s="128">
        <f>SUM(G38+(G38*G2))</f>
        <v>57.569280000000006</v>
      </c>
      <c r="I38" s="128">
        <f t="shared" si="0"/>
        <v>460.55</v>
      </c>
      <c r="J38" s="73">
        <f>I38/H47</f>
        <v>5.5993526124679003E-3</v>
      </c>
      <c r="K38" s="124"/>
      <c r="L38" s="124"/>
    </row>
    <row r="39" spans="1:12" ht="39" customHeight="1">
      <c r="A39" s="51" t="s">
        <v>355</v>
      </c>
      <c r="B39" s="52" t="s">
        <v>84</v>
      </c>
      <c r="C39" s="51" t="s">
        <v>29</v>
      </c>
      <c r="D39" s="51" t="s">
        <v>85</v>
      </c>
      <c r="E39" s="53" t="s">
        <v>31</v>
      </c>
      <c r="F39" s="52">
        <v>369</v>
      </c>
      <c r="G39" s="128">
        <v>18.329999999999998</v>
      </c>
      <c r="H39" s="128">
        <f>SUM(G39+(G39*G2))</f>
        <v>22.523903999999998</v>
      </c>
      <c r="I39" s="128">
        <f t="shared" si="0"/>
        <v>8311.32</v>
      </c>
      <c r="J39" s="73">
        <f>I39/H47</f>
        <v>0.10104877071991468</v>
      </c>
      <c r="K39" s="124"/>
      <c r="L39" s="124"/>
    </row>
    <row r="40" spans="1:12" ht="52.05" customHeight="1">
      <c r="A40" s="51" t="s">
        <v>356</v>
      </c>
      <c r="B40" s="52" t="s">
        <v>87</v>
      </c>
      <c r="C40" s="51" t="s">
        <v>29</v>
      </c>
      <c r="D40" s="51" t="s">
        <v>88</v>
      </c>
      <c r="E40" s="53" t="s">
        <v>40</v>
      </c>
      <c r="F40" s="52">
        <v>44</v>
      </c>
      <c r="G40" s="128">
        <v>33.090000000000003</v>
      </c>
      <c r="H40" s="128">
        <f>SUM(G40+(G40*G2))</f>
        <v>40.660992000000007</v>
      </c>
      <c r="I40" s="128">
        <f t="shared" si="0"/>
        <v>1789.08</v>
      </c>
      <c r="J40" s="73">
        <f>I40/H47</f>
        <v>2.1751579137800608E-2</v>
      </c>
      <c r="K40" s="124"/>
      <c r="L40" s="124"/>
    </row>
    <row r="41" spans="1:12" ht="24" customHeight="1">
      <c r="A41" s="45" t="s">
        <v>89</v>
      </c>
      <c r="B41" s="45"/>
      <c r="C41" s="45"/>
      <c r="D41" s="45" t="s">
        <v>67</v>
      </c>
      <c r="E41" s="45"/>
      <c r="F41" s="46"/>
      <c r="G41" s="132"/>
      <c r="H41" s="132"/>
      <c r="I41" s="130">
        <f>SUM(I42:I43)</f>
        <v>1860.79</v>
      </c>
      <c r="J41" s="72">
        <f>I41/H47</f>
        <v>2.2623427093158489E-2</v>
      </c>
      <c r="K41" s="124"/>
      <c r="L41" s="124"/>
    </row>
    <row r="42" spans="1:12" ht="39" customHeight="1">
      <c r="A42" s="51" t="s">
        <v>90</v>
      </c>
      <c r="B42" s="52" t="s">
        <v>76</v>
      </c>
      <c r="C42" s="51" t="s">
        <v>29</v>
      </c>
      <c r="D42" s="51" t="s">
        <v>77</v>
      </c>
      <c r="E42" s="53" t="s">
        <v>31</v>
      </c>
      <c r="F42" s="52">
        <v>13</v>
      </c>
      <c r="G42" s="128">
        <v>73.739999999999995</v>
      </c>
      <c r="H42" s="128">
        <f>SUM(G42+(G42*G2))</f>
        <v>90.611711999999997</v>
      </c>
      <c r="I42" s="128">
        <f t="shared" si="0"/>
        <v>1177.95</v>
      </c>
      <c r="J42" s="73">
        <f>I42/H47</f>
        <v>1.4321479556739904E-2</v>
      </c>
      <c r="K42" s="124"/>
      <c r="L42" s="124"/>
    </row>
    <row r="43" spans="1:12" ht="24" customHeight="1">
      <c r="A43" s="51" t="s">
        <v>357</v>
      </c>
      <c r="B43" s="52" t="s">
        <v>91</v>
      </c>
      <c r="C43" s="51" t="s">
        <v>22</v>
      </c>
      <c r="D43" s="51" t="s">
        <v>92</v>
      </c>
      <c r="E43" s="53" t="s">
        <v>71</v>
      </c>
      <c r="F43" s="52">
        <v>207.35</v>
      </c>
      <c r="G43" s="128">
        <v>2.68</v>
      </c>
      <c r="H43" s="128">
        <f>SUM(G43+(G43*G2))</f>
        <v>3.2931840000000001</v>
      </c>
      <c r="I43" s="128">
        <f t="shared" si="0"/>
        <v>682.84</v>
      </c>
      <c r="J43" s="73">
        <f>I43/H47</f>
        <v>8.3019475364185889E-3</v>
      </c>
      <c r="K43" s="124"/>
      <c r="L43" s="124"/>
    </row>
    <row r="44" spans="1:12">
      <c r="A44" s="69"/>
      <c r="B44" s="69"/>
      <c r="C44" s="69"/>
      <c r="D44" s="69"/>
      <c r="E44" s="69"/>
      <c r="F44" s="69"/>
      <c r="G44" s="69"/>
      <c r="H44" s="69"/>
      <c r="I44" s="69"/>
      <c r="J44" s="69"/>
    </row>
    <row r="45" spans="1:12">
      <c r="A45" s="153"/>
      <c r="B45" s="153"/>
      <c r="C45" s="153"/>
      <c r="D45" s="70"/>
      <c r="E45" s="61"/>
      <c r="F45" s="154" t="s">
        <v>93</v>
      </c>
      <c r="G45" s="153"/>
      <c r="H45" s="155">
        <v>63431.65</v>
      </c>
      <c r="I45" s="155"/>
      <c r="J45" s="155"/>
      <c r="L45" s="103"/>
    </row>
    <row r="46" spans="1:12">
      <c r="A46" s="153"/>
      <c r="B46" s="153"/>
      <c r="C46" s="153"/>
      <c r="D46" s="70"/>
      <c r="E46" s="61"/>
      <c r="F46" s="154" t="s">
        <v>94</v>
      </c>
      <c r="G46" s="153"/>
      <c r="H46" s="155">
        <v>18818.93</v>
      </c>
      <c r="I46" s="155"/>
      <c r="J46" s="155"/>
    </row>
    <row r="47" spans="1:12">
      <c r="A47" s="153"/>
      <c r="B47" s="153"/>
      <c r="C47" s="153"/>
      <c r="D47" s="70"/>
      <c r="E47" s="61"/>
      <c r="F47" s="154" t="s">
        <v>95</v>
      </c>
      <c r="G47" s="153"/>
      <c r="H47" s="155">
        <f>SUM(I41,I34,I29,I24,I20,I15,I9,I5)</f>
        <v>82250.58</v>
      </c>
      <c r="I47" s="155"/>
      <c r="J47" s="155"/>
    </row>
    <row r="48" spans="1:12" ht="60" customHeight="1">
      <c r="A48" s="71"/>
      <c r="B48" s="71"/>
      <c r="C48" s="71"/>
      <c r="D48" s="155"/>
      <c r="E48" s="155"/>
      <c r="F48" s="155"/>
      <c r="G48" s="71"/>
      <c r="H48" s="71"/>
      <c r="I48" s="71"/>
      <c r="J48" s="71"/>
    </row>
    <row r="49" spans="1:10" ht="70.05" customHeight="1">
      <c r="A49" s="156"/>
      <c r="B49" s="150"/>
      <c r="C49" s="150"/>
      <c r="D49" s="150"/>
      <c r="E49" s="150"/>
      <c r="F49" s="150"/>
      <c r="G49" s="150"/>
      <c r="H49" s="150"/>
      <c r="I49" s="150"/>
      <c r="J49" s="150"/>
    </row>
  </sheetData>
  <mergeCells count="18">
    <mergeCell ref="E1:F1"/>
    <mergeCell ref="G1:H1"/>
    <mergeCell ref="I1:J1"/>
    <mergeCell ref="E2:F2"/>
    <mergeCell ref="G2:H2"/>
    <mergeCell ref="I2:J2"/>
    <mergeCell ref="A47:C47"/>
    <mergeCell ref="F47:G47"/>
    <mergeCell ref="H47:J47"/>
    <mergeCell ref="A49:J49"/>
    <mergeCell ref="A3:J3"/>
    <mergeCell ref="A45:C45"/>
    <mergeCell ref="F45:G45"/>
    <mergeCell ref="H45:J45"/>
    <mergeCell ref="A46:C46"/>
    <mergeCell ref="F46:G46"/>
    <mergeCell ref="H46:J46"/>
    <mergeCell ref="D48:F4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6F5DA-6EE6-4D73-9D48-30AE2D7572DF}">
  <dimension ref="A1:K301"/>
  <sheetViews>
    <sheetView topLeftCell="A282" zoomScaleNormal="100" workbookViewId="0">
      <selection activeCell="H299" sqref="H299:J299"/>
    </sheetView>
  </sheetViews>
  <sheetFormatPr defaultRowHeight="13.8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  <col min="11" max="11" width="10.3984375" bestFit="1" customWidth="1"/>
  </cols>
  <sheetData>
    <row r="1" spans="1:11">
      <c r="A1" s="43"/>
      <c r="B1" s="43"/>
      <c r="C1" s="163" t="s">
        <v>0</v>
      </c>
      <c r="D1" s="163"/>
      <c r="E1" s="163" t="s">
        <v>1</v>
      </c>
      <c r="F1" s="163"/>
      <c r="G1" s="163" t="s">
        <v>2</v>
      </c>
      <c r="H1" s="163"/>
      <c r="I1" s="163" t="s">
        <v>3</v>
      </c>
      <c r="J1" s="163"/>
    </row>
    <row r="2" spans="1:11" ht="79.95" customHeight="1">
      <c r="A2" s="44"/>
      <c r="B2" s="44"/>
      <c r="C2" s="164" t="s">
        <v>295</v>
      </c>
      <c r="D2" s="164"/>
      <c r="E2" s="154" t="s">
        <v>296</v>
      </c>
      <c r="F2" s="154"/>
      <c r="G2" s="154" t="s">
        <v>5</v>
      </c>
      <c r="H2" s="154"/>
      <c r="I2" s="154" t="s">
        <v>6</v>
      </c>
      <c r="J2" s="154"/>
    </row>
    <row r="3" spans="1:11">
      <c r="A3" s="162" t="s">
        <v>149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1" ht="24" customHeight="1">
      <c r="A4" s="45" t="s">
        <v>18</v>
      </c>
      <c r="B4" s="45"/>
      <c r="C4" s="45"/>
      <c r="D4" s="45" t="s">
        <v>19</v>
      </c>
      <c r="E4" s="45"/>
      <c r="F4" s="158"/>
      <c r="G4" s="158"/>
      <c r="H4" s="46"/>
      <c r="I4" s="45"/>
      <c r="J4" s="130">
        <f>SUM(J9,J14,J21)</f>
        <v>9120.5099999999984</v>
      </c>
    </row>
    <row r="5" spans="1:11" ht="18" customHeight="1">
      <c r="A5" s="48" t="s">
        <v>20</v>
      </c>
      <c r="B5" s="49" t="s">
        <v>9</v>
      </c>
      <c r="C5" s="48" t="s">
        <v>10</v>
      </c>
      <c r="D5" s="48" t="s">
        <v>11</v>
      </c>
      <c r="E5" s="159" t="s">
        <v>150</v>
      </c>
      <c r="F5" s="159"/>
      <c r="G5" s="50" t="s">
        <v>12</v>
      </c>
      <c r="H5" s="49" t="s">
        <v>13</v>
      </c>
      <c r="I5" s="49" t="s">
        <v>14</v>
      </c>
      <c r="J5" s="49" t="s">
        <v>16</v>
      </c>
    </row>
    <row r="6" spans="1:11" ht="25.95" customHeight="1">
      <c r="A6" s="51" t="s">
        <v>151</v>
      </c>
      <c r="B6" s="52" t="s">
        <v>21</v>
      </c>
      <c r="C6" s="51" t="s">
        <v>22</v>
      </c>
      <c r="D6" s="51" t="s">
        <v>23</v>
      </c>
      <c r="E6" s="160" t="s">
        <v>152</v>
      </c>
      <c r="F6" s="160"/>
      <c r="G6" s="53" t="s">
        <v>24</v>
      </c>
      <c r="H6" s="54">
        <v>1</v>
      </c>
      <c r="I6" s="55">
        <f>'MOCINHA BARBALHO'!G6</f>
        <v>29.85</v>
      </c>
      <c r="J6" s="128">
        <f>ROUND(H6*I6,2)</f>
        <v>29.85</v>
      </c>
      <c r="K6" s="143"/>
    </row>
    <row r="7" spans="1:11" ht="24" customHeight="1">
      <c r="A7" s="56" t="s">
        <v>153</v>
      </c>
      <c r="B7" s="57" t="s">
        <v>154</v>
      </c>
      <c r="C7" s="56" t="s">
        <v>29</v>
      </c>
      <c r="D7" s="56" t="s">
        <v>155</v>
      </c>
      <c r="E7" s="161" t="s">
        <v>152</v>
      </c>
      <c r="F7" s="161"/>
      <c r="G7" s="58" t="s">
        <v>24</v>
      </c>
      <c r="H7" s="59">
        <v>0.13</v>
      </c>
      <c r="I7" s="60">
        <v>25.38</v>
      </c>
      <c r="J7" s="128">
        <f t="shared" ref="J7:J8" si="0">ROUND(H7*I7,2)</f>
        <v>3.3</v>
      </c>
      <c r="K7" s="143"/>
    </row>
    <row r="8" spans="1:11" ht="24" customHeight="1">
      <c r="A8" s="56" t="s">
        <v>153</v>
      </c>
      <c r="B8" s="57" t="s">
        <v>156</v>
      </c>
      <c r="C8" s="56" t="s">
        <v>29</v>
      </c>
      <c r="D8" s="56" t="s">
        <v>157</v>
      </c>
      <c r="E8" s="161" t="s">
        <v>152</v>
      </c>
      <c r="F8" s="161"/>
      <c r="G8" s="58" t="s">
        <v>24</v>
      </c>
      <c r="H8" s="59">
        <v>1.3</v>
      </c>
      <c r="I8" s="60">
        <v>20.420000000000002</v>
      </c>
      <c r="J8" s="128">
        <f t="shared" si="0"/>
        <v>26.55</v>
      </c>
    </row>
    <row r="9" spans="1:11" ht="30" customHeight="1" thickBot="1">
      <c r="A9" s="61"/>
      <c r="B9" s="61"/>
      <c r="C9" s="61"/>
      <c r="D9" s="61"/>
      <c r="E9" s="61"/>
      <c r="F9" s="61"/>
      <c r="G9" s="61" t="s">
        <v>158</v>
      </c>
      <c r="H9" s="62">
        <f>'MOCINHA BARBALHO'!F6</f>
        <v>207.35</v>
      </c>
      <c r="I9" s="61" t="s">
        <v>159</v>
      </c>
      <c r="J9" s="127">
        <f>'MOCINHA BARBALHO'!I6</f>
        <v>7605.53</v>
      </c>
    </row>
    <row r="10" spans="1:11" ht="1.05" customHeight="1" thickTop="1">
      <c r="A10" s="63"/>
      <c r="B10" s="63"/>
      <c r="C10" s="63"/>
      <c r="D10" s="63"/>
      <c r="E10" s="63"/>
      <c r="F10" s="63"/>
      <c r="G10" s="63"/>
      <c r="H10" s="63"/>
      <c r="I10" s="63"/>
      <c r="J10" s="63"/>
    </row>
    <row r="11" spans="1:11" ht="18" customHeight="1">
      <c r="A11" s="48" t="s">
        <v>297</v>
      </c>
      <c r="B11" s="49" t="s">
        <v>9</v>
      </c>
      <c r="C11" s="48" t="s">
        <v>10</v>
      </c>
      <c r="D11" s="48" t="s">
        <v>11</v>
      </c>
      <c r="E11" s="159" t="s">
        <v>150</v>
      </c>
      <c r="F11" s="159"/>
      <c r="G11" s="50" t="s">
        <v>12</v>
      </c>
      <c r="H11" s="49" t="s">
        <v>13</v>
      </c>
      <c r="I11" s="49" t="s">
        <v>14</v>
      </c>
      <c r="J11" s="49" t="s">
        <v>16</v>
      </c>
    </row>
    <row r="12" spans="1:11" ht="25.95" customHeight="1">
      <c r="A12" s="51" t="s">
        <v>151</v>
      </c>
      <c r="B12" s="52" t="s">
        <v>298</v>
      </c>
      <c r="C12" s="51" t="s">
        <v>29</v>
      </c>
      <c r="D12" s="51" t="s">
        <v>299</v>
      </c>
      <c r="E12" s="160" t="s">
        <v>359</v>
      </c>
      <c r="F12" s="160"/>
      <c r="G12" s="53" t="s">
        <v>163</v>
      </c>
      <c r="H12" s="54">
        <v>1</v>
      </c>
      <c r="I12" s="55">
        <f>'MOCINHA BARBALHO'!G7</f>
        <v>80.78</v>
      </c>
      <c r="J12" s="128">
        <f t="shared" ref="J12:J13" si="1">ROUND(H12*I12,2)</f>
        <v>80.78</v>
      </c>
    </row>
    <row r="13" spans="1:11" ht="24" customHeight="1">
      <c r="A13" s="56" t="s">
        <v>153</v>
      </c>
      <c r="B13" s="57" t="s">
        <v>156</v>
      </c>
      <c r="C13" s="56" t="s">
        <v>29</v>
      </c>
      <c r="D13" s="56" t="s">
        <v>157</v>
      </c>
      <c r="E13" s="161" t="s">
        <v>152</v>
      </c>
      <c r="F13" s="161"/>
      <c r="G13" s="58" t="s">
        <v>24</v>
      </c>
      <c r="H13" s="59">
        <v>3.956</v>
      </c>
      <c r="I13" s="60">
        <v>20.420000000000002</v>
      </c>
      <c r="J13" s="128">
        <f t="shared" si="1"/>
        <v>80.78</v>
      </c>
    </row>
    <row r="14" spans="1:11" ht="30" customHeight="1" thickBot="1">
      <c r="A14" s="61"/>
      <c r="B14" s="61"/>
      <c r="C14" s="61"/>
      <c r="D14" s="61"/>
      <c r="E14" s="61"/>
      <c r="F14" s="61"/>
      <c r="G14" s="61" t="s">
        <v>158</v>
      </c>
      <c r="H14" s="62">
        <f>'MOCINHA BARBALHO'!F7</f>
        <v>7.5339999999999998</v>
      </c>
      <c r="I14" s="61" t="s">
        <v>159</v>
      </c>
      <c r="J14" s="127">
        <f>'MOCINHA BARBALHO'!I7</f>
        <v>747.84</v>
      </c>
    </row>
    <row r="15" spans="1:11" ht="1.05" customHeight="1" thickTop="1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spans="1:11" ht="18" customHeight="1">
      <c r="A16" s="48" t="s">
        <v>300</v>
      </c>
      <c r="B16" s="49" t="s">
        <v>9</v>
      </c>
      <c r="C16" s="48" t="s">
        <v>10</v>
      </c>
      <c r="D16" s="48" t="s">
        <v>11</v>
      </c>
      <c r="E16" s="159" t="s">
        <v>150</v>
      </c>
      <c r="F16" s="159"/>
      <c r="G16" s="50" t="s">
        <v>12</v>
      </c>
      <c r="H16" s="49" t="s">
        <v>13</v>
      </c>
      <c r="I16" s="49" t="s">
        <v>14</v>
      </c>
      <c r="J16" s="49" t="s">
        <v>16</v>
      </c>
    </row>
    <row r="17" spans="1:10" ht="25.95" customHeight="1">
      <c r="A17" s="51" t="s">
        <v>151</v>
      </c>
      <c r="B17" s="52" t="s">
        <v>301</v>
      </c>
      <c r="C17" s="51" t="s">
        <v>29</v>
      </c>
      <c r="D17" s="51" t="s">
        <v>302</v>
      </c>
      <c r="E17" s="160" t="s">
        <v>172</v>
      </c>
      <c r="F17" s="160"/>
      <c r="G17" s="53" t="s">
        <v>163</v>
      </c>
      <c r="H17" s="54">
        <v>1</v>
      </c>
      <c r="I17" s="55">
        <f>'MOCINHA BARBALHO'!G8</f>
        <v>613.26</v>
      </c>
      <c r="J17" s="128">
        <f t="shared" ref="J17:J20" si="2">ROUND(H17*I17,2)</f>
        <v>613.26</v>
      </c>
    </row>
    <row r="18" spans="1:10" ht="24" customHeight="1">
      <c r="A18" s="56" t="s">
        <v>153</v>
      </c>
      <c r="B18" s="57" t="s">
        <v>154</v>
      </c>
      <c r="C18" s="56" t="s">
        <v>29</v>
      </c>
      <c r="D18" s="56" t="s">
        <v>155</v>
      </c>
      <c r="E18" s="161" t="s">
        <v>152</v>
      </c>
      <c r="F18" s="161"/>
      <c r="G18" s="58" t="s">
        <v>24</v>
      </c>
      <c r="H18" s="59">
        <v>5.4370000000000003</v>
      </c>
      <c r="I18" s="60">
        <v>25.38</v>
      </c>
      <c r="J18" s="128">
        <f t="shared" si="2"/>
        <v>137.99</v>
      </c>
    </row>
    <row r="19" spans="1:10" ht="24" customHeight="1">
      <c r="A19" s="56" t="s">
        <v>153</v>
      </c>
      <c r="B19" s="57" t="s">
        <v>156</v>
      </c>
      <c r="C19" s="56" t="s">
        <v>29</v>
      </c>
      <c r="D19" s="56" t="s">
        <v>157</v>
      </c>
      <c r="E19" s="161" t="s">
        <v>152</v>
      </c>
      <c r="F19" s="161"/>
      <c r="G19" s="58" t="s">
        <v>24</v>
      </c>
      <c r="H19" s="59">
        <v>1.4830000000000001</v>
      </c>
      <c r="I19" s="60">
        <v>20.420000000000002</v>
      </c>
      <c r="J19" s="128">
        <f t="shared" si="2"/>
        <v>30.28</v>
      </c>
    </row>
    <row r="20" spans="1:10" ht="39" customHeight="1">
      <c r="A20" s="56" t="s">
        <v>153</v>
      </c>
      <c r="B20" s="57" t="s">
        <v>360</v>
      </c>
      <c r="C20" s="56" t="s">
        <v>29</v>
      </c>
      <c r="D20" s="56" t="s">
        <v>361</v>
      </c>
      <c r="E20" s="161" t="s">
        <v>172</v>
      </c>
      <c r="F20" s="161"/>
      <c r="G20" s="58" t="s">
        <v>163</v>
      </c>
      <c r="H20" s="59">
        <v>1.1299999999999999</v>
      </c>
      <c r="I20" s="60">
        <v>393.8</v>
      </c>
      <c r="J20" s="128">
        <f t="shared" si="2"/>
        <v>444.99</v>
      </c>
    </row>
    <row r="21" spans="1:10" ht="30" customHeight="1" thickBot="1">
      <c r="A21" s="61"/>
      <c r="B21" s="61"/>
      <c r="C21" s="61"/>
      <c r="D21" s="61"/>
      <c r="E21" s="61"/>
      <c r="F21" s="61"/>
      <c r="G21" s="61" t="s">
        <v>158</v>
      </c>
      <c r="H21" s="62">
        <f>'MOCINHA BARBALHO'!F8</f>
        <v>1.018</v>
      </c>
      <c r="I21" s="61" t="s">
        <v>159</v>
      </c>
      <c r="J21" s="127">
        <f>'MOCINHA BARBALHO'!I8</f>
        <v>767.14</v>
      </c>
    </row>
    <row r="22" spans="1:10" ht="1.05" customHeight="1" thickTop="1">
      <c r="A22" s="63"/>
      <c r="B22" s="63"/>
      <c r="C22" s="63"/>
      <c r="D22" s="63"/>
      <c r="E22" s="63"/>
      <c r="F22" s="63"/>
      <c r="G22" s="63"/>
      <c r="H22" s="63"/>
      <c r="I22" s="63"/>
      <c r="J22" s="129"/>
    </row>
    <row r="23" spans="1:10" ht="24" customHeight="1">
      <c r="A23" s="45" t="s">
        <v>25</v>
      </c>
      <c r="B23" s="45"/>
      <c r="C23" s="45"/>
      <c r="D23" s="45" t="s">
        <v>303</v>
      </c>
      <c r="E23" s="45"/>
      <c r="F23" s="158"/>
      <c r="G23" s="158"/>
      <c r="H23" s="46"/>
      <c r="I23" s="45"/>
      <c r="J23" s="130">
        <f>SUM(J31,J47,J56,J65,J74)</f>
        <v>2482.63</v>
      </c>
    </row>
    <row r="24" spans="1:10" ht="18" customHeight="1">
      <c r="A24" s="48" t="s">
        <v>27</v>
      </c>
      <c r="B24" s="49" t="s">
        <v>9</v>
      </c>
      <c r="C24" s="48" t="s">
        <v>10</v>
      </c>
      <c r="D24" s="48" t="s">
        <v>11</v>
      </c>
      <c r="E24" s="159" t="s">
        <v>150</v>
      </c>
      <c r="F24" s="159"/>
      <c r="G24" s="50" t="s">
        <v>12</v>
      </c>
      <c r="H24" s="49" t="s">
        <v>13</v>
      </c>
      <c r="I24" s="49" t="s">
        <v>14</v>
      </c>
      <c r="J24" s="49" t="s">
        <v>16</v>
      </c>
    </row>
    <row r="25" spans="1:10" ht="25.95" customHeight="1">
      <c r="A25" s="51" t="s">
        <v>151</v>
      </c>
      <c r="B25" s="52" t="s">
        <v>304</v>
      </c>
      <c r="C25" s="51" t="s">
        <v>29</v>
      </c>
      <c r="D25" s="51" t="s">
        <v>305</v>
      </c>
      <c r="E25" s="160" t="s">
        <v>172</v>
      </c>
      <c r="F25" s="160"/>
      <c r="G25" s="53" t="s">
        <v>126</v>
      </c>
      <c r="H25" s="54">
        <v>1</v>
      </c>
      <c r="I25" s="55">
        <f>'MOCINHA BARBALHO'!G10</f>
        <v>18.309999999999999</v>
      </c>
      <c r="J25" s="128">
        <f t="shared" ref="J25:J30" si="3">ROUND(H25*I25,2)</f>
        <v>18.309999999999999</v>
      </c>
    </row>
    <row r="26" spans="1:10" ht="24" customHeight="1">
      <c r="A26" s="56" t="s">
        <v>153</v>
      </c>
      <c r="B26" s="57" t="s">
        <v>362</v>
      </c>
      <c r="C26" s="56" t="s">
        <v>29</v>
      </c>
      <c r="D26" s="56" t="s">
        <v>363</v>
      </c>
      <c r="E26" s="161" t="s">
        <v>152</v>
      </c>
      <c r="F26" s="161"/>
      <c r="G26" s="58" t="s">
        <v>24</v>
      </c>
      <c r="H26" s="59">
        <v>3.7499999999999999E-2</v>
      </c>
      <c r="I26" s="60">
        <v>20.43</v>
      </c>
      <c r="J26" s="128">
        <f t="shared" si="3"/>
        <v>0.77</v>
      </c>
    </row>
    <row r="27" spans="1:10" ht="24" customHeight="1">
      <c r="A27" s="56" t="s">
        <v>153</v>
      </c>
      <c r="B27" s="57" t="s">
        <v>364</v>
      </c>
      <c r="C27" s="56" t="s">
        <v>29</v>
      </c>
      <c r="D27" s="56" t="s">
        <v>365</v>
      </c>
      <c r="E27" s="161" t="s">
        <v>152</v>
      </c>
      <c r="F27" s="161"/>
      <c r="G27" s="58" t="s">
        <v>24</v>
      </c>
      <c r="H27" s="59">
        <v>0.11550000000000001</v>
      </c>
      <c r="I27" s="60">
        <v>25.18</v>
      </c>
      <c r="J27" s="128">
        <f t="shared" si="3"/>
        <v>2.91</v>
      </c>
    </row>
    <row r="28" spans="1:10" ht="25.95" customHeight="1">
      <c r="A28" s="56" t="s">
        <v>153</v>
      </c>
      <c r="B28" s="57" t="s">
        <v>366</v>
      </c>
      <c r="C28" s="56" t="s">
        <v>29</v>
      </c>
      <c r="D28" s="56" t="s">
        <v>367</v>
      </c>
      <c r="E28" s="161" t="s">
        <v>172</v>
      </c>
      <c r="F28" s="161"/>
      <c r="G28" s="58" t="s">
        <v>126</v>
      </c>
      <c r="H28" s="59">
        <v>1</v>
      </c>
      <c r="I28" s="60">
        <v>13.85</v>
      </c>
      <c r="J28" s="128">
        <f t="shared" si="3"/>
        <v>13.85</v>
      </c>
    </row>
    <row r="29" spans="1:10" ht="39" customHeight="1">
      <c r="A29" s="64" t="s">
        <v>164</v>
      </c>
      <c r="B29" s="65" t="s">
        <v>368</v>
      </c>
      <c r="C29" s="64" t="s">
        <v>29</v>
      </c>
      <c r="D29" s="64" t="s">
        <v>369</v>
      </c>
      <c r="E29" s="157" t="s">
        <v>167</v>
      </c>
      <c r="F29" s="157"/>
      <c r="G29" s="66" t="s">
        <v>59</v>
      </c>
      <c r="H29" s="67">
        <v>0.72399999999999998</v>
      </c>
      <c r="I29" s="68">
        <v>0.18</v>
      </c>
      <c r="J29" s="128">
        <f t="shared" si="3"/>
        <v>0.13</v>
      </c>
    </row>
    <row r="30" spans="1:10" ht="25.95" customHeight="1">
      <c r="A30" s="64" t="s">
        <v>164</v>
      </c>
      <c r="B30" s="65" t="s">
        <v>195</v>
      </c>
      <c r="C30" s="64" t="s">
        <v>29</v>
      </c>
      <c r="D30" s="64" t="s">
        <v>196</v>
      </c>
      <c r="E30" s="157" t="s">
        <v>167</v>
      </c>
      <c r="F30" s="157"/>
      <c r="G30" s="66" t="s">
        <v>126</v>
      </c>
      <c r="H30" s="67">
        <v>2.5000000000000001E-2</v>
      </c>
      <c r="I30" s="68">
        <v>27</v>
      </c>
      <c r="J30" s="128">
        <f t="shared" si="3"/>
        <v>0.68</v>
      </c>
    </row>
    <row r="31" spans="1:10" ht="30" customHeight="1" thickBot="1">
      <c r="A31" s="61"/>
      <c r="B31" s="61"/>
      <c r="C31" s="61"/>
      <c r="D31" s="61"/>
      <c r="E31" s="61"/>
      <c r="F31" s="61"/>
      <c r="G31" s="61" t="s">
        <v>158</v>
      </c>
      <c r="H31" s="62">
        <f>'MOCINHA BARBALHO'!F10</f>
        <v>47.716000000000001</v>
      </c>
      <c r="I31" s="61" t="s">
        <v>159</v>
      </c>
      <c r="J31" s="127">
        <f>'MOCINHA BARBALHO'!I10</f>
        <v>1073.58</v>
      </c>
    </row>
    <row r="32" spans="1:10" ht="1.05" customHeight="1" thickTop="1">
      <c r="A32" s="63"/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18" customHeight="1">
      <c r="A33" s="48" t="s">
        <v>32</v>
      </c>
      <c r="B33" s="49" t="s">
        <v>9</v>
      </c>
      <c r="C33" s="48" t="s">
        <v>10</v>
      </c>
      <c r="D33" s="48" t="s">
        <v>11</v>
      </c>
      <c r="E33" s="159" t="s">
        <v>150</v>
      </c>
      <c r="F33" s="159"/>
      <c r="G33" s="50" t="s">
        <v>12</v>
      </c>
      <c r="H33" s="49" t="s">
        <v>13</v>
      </c>
      <c r="I33" s="49" t="s">
        <v>14</v>
      </c>
      <c r="J33" s="49" t="s">
        <v>16</v>
      </c>
    </row>
    <row r="34" spans="1:10" ht="39" customHeight="1">
      <c r="A34" s="51" t="s">
        <v>151</v>
      </c>
      <c r="B34" s="52" t="s">
        <v>306</v>
      </c>
      <c r="C34" s="51" t="s">
        <v>29</v>
      </c>
      <c r="D34" s="51" t="s">
        <v>307</v>
      </c>
      <c r="E34" s="160" t="s">
        <v>172</v>
      </c>
      <c r="F34" s="160"/>
      <c r="G34" s="53" t="s">
        <v>31</v>
      </c>
      <c r="H34" s="54">
        <v>1</v>
      </c>
      <c r="I34" s="55">
        <f>'MOCINHA BARBALHO'!G11</f>
        <v>280.11</v>
      </c>
      <c r="J34" s="128">
        <f t="shared" ref="J34:J46" si="4">ROUND(H34*I34,2)</f>
        <v>280.11</v>
      </c>
    </row>
    <row r="35" spans="1:10" ht="25.95" customHeight="1">
      <c r="A35" s="56" t="s">
        <v>153</v>
      </c>
      <c r="B35" s="57" t="s">
        <v>370</v>
      </c>
      <c r="C35" s="56" t="s">
        <v>29</v>
      </c>
      <c r="D35" s="56" t="s">
        <v>371</v>
      </c>
      <c r="E35" s="161" t="s">
        <v>152</v>
      </c>
      <c r="F35" s="161"/>
      <c r="G35" s="58" t="s">
        <v>24</v>
      </c>
      <c r="H35" s="59">
        <v>1.611</v>
      </c>
      <c r="I35" s="60">
        <v>20.27</v>
      </c>
      <c r="J35" s="128">
        <f t="shared" si="4"/>
        <v>32.65</v>
      </c>
    </row>
    <row r="36" spans="1:10" ht="24" customHeight="1">
      <c r="A36" s="56" t="s">
        <v>153</v>
      </c>
      <c r="B36" s="57" t="s">
        <v>168</v>
      </c>
      <c r="C36" s="56" t="s">
        <v>29</v>
      </c>
      <c r="D36" s="56" t="s">
        <v>169</v>
      </c>
      <c r="E36" s="161" t="s">
        <v>152</v>
      </c>
      <c r="F36" s="161"/>
      <c r="G36" s="58" t="s">
        <v>24</v>
      </c>
      <c r="H36" s="59">
        <v>4.7270000000000003</v>
      </c>
      <c r="I36" s="60">
        <v>25</v>
      </c>
      <c r="J36" s="128">
        <f t="shared" si="4"/>
        <v>118.18</v>
      </c>
    </row>
    <row r="37" spans="1:10" ht="39" customHeight="1">
      <c r="A37" s="56" t="s">
        <v>153</v>
      </c>
      <c r="B37" s="57" t="s">
        <v>372</v>
      </c>
      <c r="C37" s="56" t="s">
        <v>29</v>
      </c>
      <c r="D37" s="56" t="s">
        <v>373</v>
      </c>
      <c r="E37" s="161" t="s">
        <v>278</v>
      </c>
      <c r="F37" s="161"/>
      <c r="G37" s="58" t="s">
        <v>279</v>
      </c>
      <c r="H37" s="59">
        <v>0.13500000000000001</v>
      </c>
      <c r="I37" s="60">
        <v>34.299999999999997</v>
      </c>
      <c r="J37" s="128">
        <f t="shared" si="4"/>
        <v>4.63</v>
      </c>
    </row>
    <row r="38" spans="1:10" ht="39" customHeight="1">
      <c r="A38" s="56" t="s">
        <v>153</v>
      </c>
      <c r="B38" s="57" t="s">
        <v>374</v>
      </c>
      <c r="C38" s="56" t="s">
        <v>29</v>
      </c>
      <c r="D38" s="56" t="s">
        <v>375</v>
      </c>
      <c r="E38" s="161" t="s">
        <v>278</v>
      </c>
      <c r="F38" s="161"/>
      <c r="G38" s="58" t="s">
        <v>282</v>
      </c>
      <c r="H38" s="59">
        <v>0.26500000000000001</v>
      </c>
      <c r="I38" s="60">
        <v>33.049999999999997</v>
      </c>
      <c r="J38" s="128">
        <f t="shared" si="4"/>
        <v>8.76</v>
      </c>
    </row>
    <row r="39" spans="1:10" ht="39" customHeight="1">
      <c r="A39" s="64" t="s">
        <v>164</v>
      </c>
      <c r="B39" s="65" t="s">
        <v>376</v>
      </c>
      <c r="C39" s="64" t="s">
        <v>29</v>
      </c>
      <c r="D39" s="64" t="s">
        <v>377</v>
      </c>
      <c r="E39" s="157" t="s">
        <v>167</v>
      </c>
      <c r="F39" s="157"/>
      <c r="G39" s="66" t="s">
        <v>31</v>
      </c>
      <c r="H39" s="67">
        <v>0.79100000000000004</v>
      </c>
      <c r="I39" s="68">
        <v>54.26</v>
      </c>
      <c r="J39" s="128">
        <f t="shared" si="4"/>
        <v>42.92</v>
      </c>
    </row>
    <row r="40" spans="1:10" ht="25.95" customHeight="1">
      <c r="A40" s="64" t="s">
        <v>164</v>
      </c>
      <c r="B40" s="65" t="s">
        <v>173</v>
      </c>
      <c r="C40" s="64" t="s">
        <v>29</v>
      </c>
      <c r="D40" s="64" t="s">
        <v>174</v>
      </c>
      <c r="E40" s="157" t="s">
        <v>167</v>
      </c>
      <c r="F40" s="157"/>
      <c r="G40" s="66" t="s">
        <v>175</v>
      </c>
      <c r="H40" s="67">
        <v>0.01</v>
      </c>
      <c r="I40" s="68">
        <v>7.5</v>
      </c>
      <c r="J40" s="128">
        <f t="shared" si="4"/>
        <v>0.08</v>
      </c>
    </row>
    <row r="41" spans="1:10" ht="25.95" customHeight="1">
      <c r="A41" s="64" t="s">
        <v>164</v>
      </c>
      <c r="B41" s="65" t="s">
        <v>378</v>
      </c>
      <c r="C41" s="64" t="s">
        <v>29</v>
      </c>
      <c r="D41" s="64" t="s">
        <v>379</v>
      </c>
      <c r="E41" s="157" t="s">
        <v>167</v>
      </c>
      <c r="F41" s="157"/>
      <c r="G41" s="66" t="s">
        <v>40</v>
      </c>
      <c r="H41" s="67">
        <v>1.726</v>
      </c>
      <c r="I41" s="68">
        <v>10.050000000000001</v>
      </c>
      <c r="J41" s="128">
        <f t="shared" si="4"/>
        <v>17.350000000000001</v>
      </c>
    </row>
    <row r="42" spans="1:10" ht="25.95" customHeight="1">
      <c r="A42" s="64" t="s">
        <v>164</v>
      </c>
      <c r="B42" s="65" t="s">
        <v>178</v>
      </c>
      <c r="C42" s="64" t="s">
        <v>29</v>
      </c>
      <c r="D42" s="64" t="s">
        <v>179</v>
      </c>
      <c r="E42" s="157" t="s">
        <v>167</v>
      </c>
      <c r="F42" s="157"/>
      <c r="G42" s="66" t="s">
        <v>40</v>
      </c>
      <c r="H42" s="67">
        <v>14.378</v>
      </c>
      <c r="I42" s="68">
        <v>3.52</v>
      </c>
      <c r="J42" s="128">
        <f t="shared" si="4"/>
        <v>50.61</v>
      </c>
    </row>
    <row r="43" spans="1:10" ht="25.95" customHeight="1">
      <c r="A43" s="64" t="s">
        <v>164</v>
      </c>
      <c r="B43" s="65" t="s">
        <v>380</v>
      </c>
      <c r="C43" s="64" t="s">
        <v>29</v>
      </c>
      <c r="D43" s="64" t="s">
        <v>381</v>
      </c>
      <c r="E43" s="157" t="s">
        <v>167</v>
      </c>
      <c r="F43" s="157"/>
      <c r="G43" s="66" t="s">
        <v>126</v>
      </c>
      <c r="H43" s="67">
        <v>0.13</v>
      </c>
      <c r="I43" s="68">
        <v>22.81</v>
      </c>
      <c r="J43" s="128">
        <f t="shared" si="4"/>
        <v>2.97</v>
      </c>
    </row>
    <row r="44" spans="1:10" ht="25.95" customHeight="1">
      <c r="A44" s="64" t="s">
        <v>164</v>
      </c>
      <c r="B44" s="65" t="s">
        <v>382</v>
      </c>
      <c r="C44" s="64" t="s">
        <v>29</v>
      </c>
      <c r="D44" s="64" t="s">
        <v>383</v>
      </c>
      <c r="E44" s="157" t="s">
        <v>167</v>
      </c>
      <c r="F44" s="157"/>
      <c r="G44" s="66" t="s">
        <v>126</v>
      </c>
      <c r="H44" s="67">
        <v>2.4E-2</v>
      </c>
      <c r="I44" s="68">
        <v>25.07</v>
      </c>
      <c r="J44" s="128">
        <f t="shared" si="4"/>
        <v>0.6</v>
      </c>
    </row>
    <row r="45" spans="1:10" ht="25.95" customHeight="1">
      <c r="A45" s="64" t="s">
        <v>164</v>
      </c>
      <c r="B45" s="65" t="s">
        <v>384</v>
      </c>
      <c r="C45" s="64" t="s">
        <v>29</v>
      </c>
      <c r="D45" s="64" t="s">
        <v>385</v>
      </c>
      <c r="E45" s="157" t="s">
        <v>167</v>
      </c>
      <c r="F45" s="157"/>
      <c r="G45" s="66" t="s">
        <v>126</v>
      </c>
      <c r="H45" s="67">
        <v>3.1E-2</v>
      </c>
      <c r="I45" s="68">
        <v>24.78</v>
      </c>
      <c r="J45" s="128">
        <f t="shared" si="4"/>
        <v>0.77</v>
      </c>
    </row>
    <row r="46" spans="1:10" ht="25.95" customHeight="1">
      <c r="A46" s="64" t="s">
        <v>164</v>
      </c>
      <c r="B46" s="65" t="s">
        <v>386</v>
      </c>
      <c r="C46" s="64" t="s">
        <v>29</v>
      </c>
      <c r="D46" s="64" t="s">
        <v>387</v>
      </c>
      <c r="E46" s="157" t="s">
        <v>167</v>
      </c>
      <c r="F46" s="157"/>
      <c r="G46" s="66" t="s">
        <v>126</v>
      </c>
      <c r="H46" s="67">
        <v>2.4E-2</v>
      </c>
      <c r="I46" s="68">
        <v>27.62</v>
      </c>
      <c r="J46" s="128">
        <f t="shared" si="4"/>
        <v>0.66</v>
      </c>
    </row>
    <row r="47" spans="1:10" ht="30" customHeight="1" thickBot="1">
      <c r="A47" s="61"/>
      <c r="B47" s="61"/>
      <c r="C47" s="61"/>
      <c r="D47" s="61"/>
      <c r="E47" s="61"/>
      <c r="F47" s="61"/>
      <c r="G47" s="61" t="s">
        <v>158</v>
      </c>
      <c r="H47" s="62">
        <f>'MOCINHA BARBALHO'!F11</f>
        <v>0.72</v>
      </c>
      <c r="I47" s="61" t="s">
        <v>159</v>
      </c>
      <c r="J47" s="127">
        <f>'MOCINHA BARBALHO'!I11</f>
        <v>247.82</v>
      </c>
    </row>
    <row r="48" spans="1:10" ht="1.05" customHeight="1" thickTop="1">
      <c r="A48" s="63"/>
      <c r="B48" s="63"/>
      <c r="C48" s="63"/>
      <c r="D48" s="63"/>
      <c r="E48" s="63"/>
      <c r="F48" s="63"/>
      <c r="G48" s="63"/>
      <c r="H48" s="63"/>
      <c r="I48" s="63"/>
      <c r="J48" s="63"/>
    </row>
    <row r="49" spans="1:10" ht="18" customHeight="1">
      <c r="A49" s="48" t="s">
        <v>308</v>
      </c>
      <c r="B49" s="49" t="s">
        <v>9</v>
      </c>
      <c r="C49" s="48" t="s">
        <v>10</v>
      </c>
      <c r="D49" s="48" t="s">
        <v>11</v>
      </c>
      <c r="E49" s="159" t="s">
        <v>150</v>
      </c>
      <c r="F49" s="159"/>
      <c r="G49" s="50" t="s">
        <v>12</v>
      </c>
      <c r="H49" s="49" t="s">
        <v>13</v>
      </c>
      <c r="I49" s="49" t="s">
        <v>14</v>
      </c>
      <c r="J49" s="49" t="s">
        <v>16</v>
      </c>
    </row>
    <row r="50" spans="1:10" ht="39" customHeight="1">
      <c r="A50" s="51" t="s">
        <v>151</v>
      </c>
      <c r="B50" s="52" t="s">
        <v>309</v>
      </c>
      <c r="C50" s="51" t="s">
        <v>29</v>
      </c>
      <c r="D50" s="51" t="s">
        <v>310</v>
      </c>
      <c r="E50" s="160" t="s">
        <v>172</v>
      </c>
      <c r="F50" s="160"/>
      <c r="G50" s="53" t="s">
        <v>163</v>
      </c>
      <c r="H50" s="54">
        <v>1</v>
      </c>
      <c r="I50" s="55">
        <f>'MOCINHA BARBALHO'!G12</f>
        <v>621.98</v>
      </c>
      <c r="J50" s="128">
        <f t="shared" ref="J50:J55" si="5">ROUND(H50*I50,2)</f>
        <v>621.98</v>
      </c>
    </row>
    <row r="51" spans="1:10" ht="24" customHeight="1">
      <c r="A51" s="56" t="s">
        <v>153</v>
      </c>
      <c r="B51" s="57" t="s">
        <v>154</v>
      </c>
      <c r="C51" s="56" t="s">
        <v>29</v>
      </c>
      <c r="D51" s="56" t="s">
        <v>155</v>
      </c>
      <c r="E51" s="161" t="s">
        <v>152</v>
      </c>
      <c r="F51" s="161"/>
      <c r="G51" s="58" t="s">
        <v>24</v>
      </c>
      <c r="H51" s="59">
        <v>0.49299999999999999</v>
      </c>
      <c r="I51" s="60">
        <v>25.38</v>
      </c>
      <c r="J51" s="128">
        <f t="shared" si="5"/>
        <v>12.51</v>
      </c>
    </row>
    <row r="52" spans="1:10" ht="24" customHeight="1">
      <c r="A52" s="56" t="s">
        <v>153</v>
      </c>
      <c r="B52" s="57" t="s">
        <v>156</v>
      </c>
      <c r="C52" s="56" t="s">
        <v>29</v>
      </c>
      <c r="D52" s="56" t="s">
        <v>157</v>
      </c>
      <c r="E52" s="161" t="s">
        <v>152</v>
      </c>
      <c r="F52" s="161"/>
      <c r="G52" s="58" t="s">
        <v>24</v>
      </c>
      <c r="H52" s="59">
        <v>0.74</v>
      </c>
      <c r="I52" s="60">
        <v>20.420000000000002</v>
      </c>
      <c r="J52" s="128">
        <f t="shared" si="5"/>
        <v>15.11</v>
      </c>
    </row>
    <row r="53" spans="1:10" ht="39" customHeight="1">
      <c r="A53" s="56" t="s">
        <v>153</v>
      </c>
      <c r="B53" s="57" t="s">
        <v>388</v>
      </c>
      <c r="C53" s="56" t="s">
        <v>29</v>
      </c>
      <c r="D53" s="56" t="s">
        <v>389</v>
      </c>
      <c r="E53" s="161" t="s">
        <v>278</v>
      </c>
      <c r="F53" s="161"/>
      <c r="G53" s="58" t="s">
        <v>279</v>
      </c>
      <c r="H53" s="59">
        <v>0.12</v>
      </c>
      <c r="I53" s="60">
        <v>1.28</v>
      </c>
      <c r="J53" s="128">
        <f t="shared" si="5"/>
        <v>0.15</v>
      </c>
    </row>
    <row r="54" spans="1:10" ht="39" customHeight="1">
      <c r="A54" s="56" t="s">
        <v>153</v>
      </c>
      <c r="B54" s="57" t="s">
        <v>390</v>
      </c>
      <c r="C54" s="56" t="s">
        <v>29</v>
      </c>
      <c r="D54" s="56" t="s">
        <v>391</v>
      </c>
      <c r="E54" s="161" t="s">
        <v>278</v>
      </c>
      <c r="F54" s="161"/>
      <c r="G54" s="58" t="s">
        <v>282</v>
      </c>
      <c r="H54" s="59">
        <v>0.126</v>
      </c>
      <c r="I54" s="60">
        <v>0.49</v>
      </c>
      <c r="J54" s="128">
        <f t="shared" si="5"/>
        <v>0.06</v>
      </c>
    </row>
    <row r="55" spans="1:10" ht="39" customHeight="1">
      <c r="A55" s="64" t="s">
        <v>164</v>
      </c>
      <c r="B55" s="65" t="s">
        <v>392</v>
      </c>
      <c r="C55" s="64" t="s">
        <v>29</v>
      </c>
      <c r="D55" s="64" t="s">
        <v>393</v>
      </c>
      <c r="E55" s="157" t="s">
        <v>167</v>
      </c>
      <c r="F55" s="157"/>
      <c r="G55" s="66" t="s">
        <v>163</v>
      </c>
      <c r="H55" s="67">
        <v>1.1499999999999999</v>
      </c>
      <c r="I55" s="68">
        <v>516.66</v>
      </c>
      <c r="J55" s="128">
        <f t="shared" si="5"/>
        <v>594.16</v>
      </c>
    </row>
    <row r="56" spans="1:10" ht="30" customHeight="1" thickBot="1">
      <c r="A56" s="61"/>
      <c r="B56" s="61"/>
      <c r="C56" s="61"/>
      <c r="D56" s="61"/>
      <c r="E56" s="61"/>
      <c r="F56" s="61"/>
      <c r="G56" s="61" t="s">
        <v>158</v>
      </c>
      <c r="H56" s="62">
        <f>'MOCINHA BARBALHO'!F12</f>
        <v>0.32</v>
      </c>
      <c r="I56" s="61" t="s">
        <v>159</v>
      </c>
      <c r="J56" s="127">
        <f>'MOCINHA BARBALHO'!I12</f>
        <v>244.57</v>
      </c>
    </row>
    <row r="57" spans="1:10" ht="1.05" customHeight="1" thickTop="1">
      <c r="A57" s="63"/>
      <c r="B57" s="63"/>
      <c r="C57" s="63"/>
      <c r="D57" s="63"/>
      <c r="E57" s="63"/>
      <c r="F57" s="63"/>
      <c r="G57" s="63"/>
      <c r="H57" s="63"/>
      <c r="I57" s="63"/>
      <c r="J57" s="63"/>
    </row>
    <row r="58" spans="1:10" ht="18" customHeight="1">
      <c r="A58" s="48" t="s">
        <v>311</v>
      </c>
      <c r="B58" s="49" t="s">
        <v>9</v>
      </c>
      <c r="C58" s="48" t="s">
        <v>10</v>
      </c>
      <c r="D58" s="48" t="s">
        <v>11</v>
      </c>
      <c r="E58" s="159" t="s">
        <v>150</v>
      </c>
      <c r="F58" s="159"/>
      <c r="G58" s="50" t="s">
        <v>12</v>
      </c>
      <c r="H58" s="49" t="s">
        <v>13</v>
      </c>
      <c r="I58" s="49" t="s">
        <v>14</v>
      </c>
      <c r="J58" s="49" t="s">
        <v>16</v>
      </c>
    </row>
    <row r="59" spans="1:10" ht="25.95" customHeight="1">
      <c r="A59" s="51" t="s">
        <v>151</v>
      </c>
      <c r="B59" s="52" t="s">
        <v>312</v>
      </c>
      <c r="C59" s="51" t="s">
        <v>29</v>
      </c>
      <c r="D59" s="51" t="s">
        <v>313</v>
      </c>
      <c r="E59" s="160" t="s">
        <v>172</v>
      </c>
      <c r="F59" s="160"/>
      <c r="G59" s="53" t="s">
        <v>126</v>
      </c>
      <c r="H59" s="54">
        <v>1</v>
      </c>
      <c r="I59" s="55">
        <f>'MOCINHA BARBALHO'!G13</f>
        <v>20.37</v>
      </c>
      <c r="J59" s="128">
        <f t="shared" ref="J59:J64" si="6">ROUND(H59*I59,2)</f>
        <v>20.37</v>
      </c>
    </row>
    <row r="60" spans="1:10" ht="24" customHeight="1">
      <c r="A60" s="56" t="s">
        <v>153</v>
      </c>
      <c r="B60" s="57" t="s">
        <v>362</v>
      </c>
      <c r="C60" s="56" t="s">
        <v>29</v>
      </c>
      <c r="D60" s="56" t="s">
        <v>363</v>
      </c>
      <c r="E60" s="161" t="s">
        <v>152</v>
      </c>
      <c r="F60" s="161"/>
      <c r="G60" s="58" t="s">
        <v>24</v>
      </c>
      <c r="H60" s="59">
        <v>6.3500000000000001E-2</v>
      </c>
      <c r="I60" s="60">
        <v>20.43</v>
      </c>
      <c r="J60" s="128">
        <f t="shared" si="6"/>
        <v>1.3</v>
      </c>
    </row>
    <row r="61" spans="1:10" ht="24" customHeight="1">
      <c r="A61" s="56" t="s">
        <v>153</v>
      </c>
      <c r="B61" s="57" t="s">
        <v>364</v>
      </c>
      <c r="C61" s="56" t="s">
        <v>29</v>
      </c>
      <c r="D61" s="56" t="s">
        <v>365</v>
      </c>
      <c r="E61" s="161" t="s">
        <v>152</v>
      </c>
      <c r="F61" s="161"/>
      <c r="G61" s="58" t="s">
        <v>24</v>
      </c>
      <c r="H61" s="59">
        <v>0.19450000000000001</v>
      </c>
      <c r="I61" s="60">
        <v>25.18</v>
      </c>
      <c r="J61" s="128">
        <f t="shared" si="6"/>
        <v>4.9000000000000004</v>
      </c>
    </row>
    <row r="62" spans="1:10" ht="25.95" customHeight="1">
      <c r="A62" s="56" t="s">
        <v>153</v>
      </c>
      <c r="B62" s="57" t="s">
        <v>394</v>
      </c>
      <c r="C62" s="56" t="s">
        <v>29</v>
      </c>
      <c r="D62" s="56" t="s">
        <v>395</v>
      </c>
      <c r="E62" s="161" t="s">
        <v>172</v>
      </c>
      <c r="F62" s="161"/>
      <c r="G62" s="58" t="s">
        <v>126</v>
      </c>
      <c r="H62" s="59">
        <v>1</v>
      </c>
      <c r="I62" s="60">
        <v>13.17</v>
      </c>
      <c r="J62" s="128">
        <f t="shared" si="6"/>
        <v>13.17</v>
      </c>
    </row>
    <row r="63" spans="1:10" ht="39" customHeight="1">
      <c r="A63" s="64" t="s">
        <v>164</v>
      </c>
      <c r="B63" s="65" t="s">
        <v>368</v>
      </c>
      <c r="C63" s="64" t="s">
        <v>29</v>
      </c>
      <c r="D63" s="64" t="s">
        <v>369</v>
      </c>
      <c r="E63" s="157" t="s">
        <v>167</v>
      </c>
      <c r="F63" s="157"/>
      <c r="G63" s="66" t="s">
        <v>59</v>
      </c>
      <c r="H63" s="67">
        <v>1.9664999999999999</v>
      </c>
      <c r="I63" s="68">
        <v>0.18</v>
      </c>
      <c r="J63" s="128">
        <f t="shared" si="6"/>
        <v>0.35</v>
      </c>
    </row>
    <row r="64" spans="1:10" ht="25.95" customHeight="1">
      <c r="A64" s="64" t="s">
        <v>164</v>
      </c>
      <c r="B64" s="65" t="s">
        <v>195</v>
      </c>
      <c r="C64" s="64" t="s">
        <v>29</v>
      </c>
      <c r="D64" s="64" t="s">
        <v>196</v>
      </c>
      <c r="E64" s="157" t="s">
        <v>167</v>
      </c>
      <c r="F64" s="157"/>
      <c r="G64" s="66" t="s">
        <v>126</v>
      </c>
      <c r="H64" s="67">
        <v>2.5000000000000001E-2</v>
      </c>
      <c r="I64" s="68">
        <v>27</v>
      </c>
      <c r="J64" s="128">
        <f t="shared" si="6"/>
        <v>0.68</v>
      </c>
    </row>
    <row r="65" spans="1:10" ht="30" customHeight="1" thickBot="1">
      <c r="A65" s="61"/>
      <c r="B65" s="61"/>
      <c r="C65" s="61"/>
      <c r="D65" s="61"/>
      <c r="E65" s="61"/>
      <c r="F65" s="61"/>
      <c r="G65" s="61" t="s">
        <v>158</v>
      </c>
      <c r="H65" s="62">
        <f>'MOCINHA BARBALHO'!F13</f>
        <v>13.6906</v>
      </c>
      <c r="I65" s="61" t="s">
        <v>159</v>
      </c>
      <c r="J65" s="127">
        <f>'MOCINHA BARBALHO'!I13</f>
        <v>342.68</v>
      </c>
    </row>
    <row r="66" spans="1:10" ht="1.05" customHeight="1" thickTop="1">
      <c r="A66" s="63"/>
      <c r="B66" s="63"/>
      <c r="C66" s="63"/>
      <c r="D66" s="63"/>
      <c r="E66" s="63"/>
      <c r="F66" s="63"/>
      <c r="G66" s="63"/>
      <c r="H66" s="63"/>
      <c r="I66" s="63"/>
      <c r="J66" s="63"/>
    </row>
    <row r="67" spans="1:10" ht="18" customHeight="1">
      <c r="A67" s="48" t="s">
        <v>314</v>
      </c>
      <c r="B67" s="49" t="s">
        <v>9</v>
      </c>
      <c r="C67" s="48" t="s">
        <v>10</v>
      </c>
      <c r="D67" s="48" t="s">
        <v>11</v>
      </c>
      <c r="E67" s="159" t="s">
        <v>150</v>
      </c>
      <c r="F67" s="159"/>
      <c r="G67" s="50" t="s">
        <v>12</v>
      </c>
      <c r="H67" s="49" t="s">
        <v>13</v>
      </c>
      <c r="I67" s="49" t="s">
        <v>14</v>
      </c>
      <c r="J67" s="49" t="s">
        <v>16</v>
      </c>
    </row>
    <row r="68" spans="1:10" ht="39" customHeight="1">
      <c r="A68" s="51" t="s">
        <v>151</v>
      </c>
      <c r="B68" s="52" t="s">
        <v>315</v>
      </c>
      <c r="C68" s="51" t="s">
        <v>29</v>
      </c>
      <c r="D68" s="51" t="s">
        <v>316</v>
      </c>
      <c r="E68" s="160" t="s">
        <v>172</v>
      </c>
      <c r="F68" s="160"/>
      <c r="G68" s="53" t="s">
        <v>163</v>
      </c>
      <c r="H68" s="54">
        <v>1</v>
      </c>
      <c r="I68" s="55">
        <f>'MOCINHA BARBALHO'!G14</f>
        <v>614.61</v>
      </c>
      <c r="J68" s="128">
        <f t="shared" ref="J68:J73" si="7">ROUND(H68*I68,2)</f>
        <v>614.61</v>
      </c>
    </row>
    <row r="69" spans="1:10" ht="24" customHeight="1">
      <c r="A69" s="56" t="s">
        <v>153</v>
      </c>
      <c r="B69" s="57" t="s">
        <v>154</v>
      </c>
      <c r="C69" s="56" t="s">
        <v>29</v>
      </c>
      <c r="D69" s="56" t="s">
        <v>155</v>
      </c>
      <c r="E69" s="161" t="s">
        <v>152</v>
      </c>
      <c r="F69" s="161"/>
      <c r="G69" s="58" t="s">
        <v>24</v>
      </c>
      <c r="H69" s="59">
        <v>0.36299999999999999</v>
      </c>
      <c r="I69" s="60">
        <v>25.38</v>
      </c>
      <c r="J69" s="128">
        <f t="shared" si="7"/>
        <v>9.2100000000000009</v>
      </c>
    </row>
    <row r="70" spans="1:10" ht="24" customHeight="1">
      <c r="A70" s="56" t="s">
        <v>153</v>
      </c>
      <c r="B70" s="57" t="s">
        <v>156</v>
      </c>
      <c r="C70" s="56" t="s">
        <v>29</v>
      </c>
      <c r="D70" s="56" t="s">
        <v>157</v>
      </c>
      <c r="E70" s="161" t="s">
        <v>152</v>
      </c>
      <c r="F70" s="161"/>
      <c r="G70" s="58" t="s">
        <v>24</v>
      </c>
      <c r="H70" s="59">
        <v>0.54400000000000004</v>
      </c>
      <c r="I70" s="60">
        <v>20.420000000000002</v>
      </c>
      <c r="J70" s="128">
        <f t="shared" si="7"/>
        <v>11.11</v>
      </c>
    </row>
    <row r="71" spans="1:10" ht="39" customHeight="1">
      <c r="A71" s="56" t="s">
        <v>153</v>
      </c>
      <c r="B71" s="57" t="s">
        <v>388</v>
      </c>
      <c r="C71" s="56" t="s">
        <v>29</v>
      </c>
      <c r="D71" s="56" t="s">
        <v>389</v>
      </c>
      <c r="E71" s="161" t="s">
        <v>278</v>
      </c>
      <c r="F71" s="161"/>
      <c r="G71" s="58" t="s">
        <v>279</v>
      </c>
      <c r="H71" s="59">
        <v>8.7999999999999995E-2</v>
      </c>
      <c r="I71" s="60">
        <v>1.28</v>
      </c>
      <c r="J71" s="128">
        <f t="shared" si="7"/>
        <v>0.11</v>
      </c>
    </row>
    <row r="72" spans="1:10" ht="39" customHeight="1">
      <c r="A72" s="56" t="s">
        <v>153</v>
      </c>
      <c r="B72" s="57" t="s">
        <v>390</v>
      </c>
      <c r="C72" s="56" t="s">
        <v>29</v>
      </c>
      <c r="D72" s="56" t="s">
        <v>391</v>
      </c>
      <c r="E72" s="161" t="s">
        <v>278</v>
      </c>
      <c r="F72" s="161"/>
      <c r="G72" s="58" t="s">
        <v>282</v>
      </c>
      <c r="H72" s="59">
        <v>9.2999999999999999E-2</v>
      </c>
      <c r="I72" s="60">
        <v>0.49</v>
      </c>
      <c r="J72" s="128">
        <f t="shared" si="7"/>
        <v>0.05</v>
      </c>
    </row>
    <row r="73" spans="1:10" ht="39" customHeight="1">
      <c r="A73" s="64" t="s">
        <v>164</v>
      </c>
      <c r="B73" s="65" t="s">
        <v>392</v>
      </c>
      <c r="C73" s="64" t="s">
        <v>29</v>
      </c>
      <c r="D73" s="64" t="s">
        <v>393</v>
      </c>
      <c r="E73" s="157" t="s">
        <v>167</v>
      </c>
      <c r="F73" s="157"/>
      <c r="G73" s="66" t="s">
        <v>163</v>
      </c>
      <c r="H73" s="67">
        <v>1.1499999999999999</v>
      </c>
      <c r="I73" s="68">
        <v>516.66</v>
      </c>
      <c r="J73" s="128">
        <f t="shared" si="7"/>
        <v>594.16</v>
      </c>
    </row>
    <row r="74" spans="1:10" ht="30" customHeight="1" thickBot="1">
      <c r="A74" s="61"/>
      <c r="B74" s="61"/>
      <c r="C74" s="61"/>
      <c r="D74" s="61"/>
      <c r="E74" s="61"/>
      <c r="F74" s="61"/>
      <c r="G74" s="61" t="s">
        <v>158</v>
      </c>
      <c r="H74" s="62">
        <f>'MOCINHA BARBALHO'!F14</f>
        <v>0.76</v>
      </c>
      <c r="I74" s="61" t="s">
        <v>159</v>
      </c>
      <c r="J74" s="127">
        <f>'MOCINHA BARBALHO'!I14</f>
        <v>573.98</v>
      </c>
    </row>
    <row r="75" spans="1:10" ht="1.05" customHeight="1" thickTop="1">
      <c r="A75" s="63"/>
      <c r="B75" s="63"/>
      <c r="C75" s="63"/>
      <c r="D75" s="63"/>
      <c r="E75" s="63"/>
      <c r="F75" s="63"/>
      <c r="G75" s="63"/>
      <c r="H75" s="63"/>
      <c r="I75" s="63"/>
      <c r="J75" s="129"/>
    </row>
    <row r="76" spans="1:10" ht="24" customHeight="1">
      <c r="A76" s="45" t="s">
        <v>35</v>
      </c>
      <c r="B76" s="45"/>
      <c r="C76" s="45"/>
      <c r="D76" s="45" t="s">
        <v>317</v>
      </c>
      <c r="E76" s="45"/>
      <c r="F76" s="158"/>
      <c r="G76" s="158"/>
      <c r="H76" s="46"/>
      <c r="I76" s="45"/>
      <c r="J76" s="130">
        <f>SUM(J84,J93,J103,J117)</f>
        <v>3235.81</v>
      </c>
    </row>
    <row r="77" spans="1:10" ht="18" customHeight="1">
      <c r="A77" s="48" t="s">
        <v>37</v>
      </c>
      <c r="B77" s="49" t="s">
        <v>9</v>
      </c>
      <c r="C77" s="48" t="s">
        <v>10</v>
      </c>
      <c r="D77" s="48" t="s">
        <v>11</v>
      </c>
      <c r="E77" s="159" t="s">
        <v>150</v>
      </c>
      <c r="F77" s="159"/>
      <c r="G77" s="50" t="s">
        <v>12</v>
      </c>
      <c r="H77" s="49" t="s">
        <v>13</v>
      </c>
      <c r="I77" s="49" t="s">
        <v>14</v>
      </c>
      <c r="J77" s="49" t="s">
        <v>16</v>
      </c>
    </row>
    <row r="78" spans="1:10" ht="39" customHeight="1">
      <c r="A78" s="51" t="s">
        <v>151</v>
      </c>
      <c r="B78" s="52" t="s">
        <v>318</v>
      </c>
      <c r="C78" s="51" t="s">
        <v>29</v>
      </c>
      <c r="D78" s="51" t="s">
        <v>319</v>
      </c>
      <c r="E78" s="160" t="s">
        <v>172</v>
      </c>
      <c r="F78" s="160"/>
      <c r="G78" s="53" t="s">
        <v>126</v>
      </c>
      <c r="H78" s="54">
        <v>1</v>
      </c>
      <c r="I78" s="55">
        <f>'MOCINHA BARBALHO'!G16</f>
        <v>14.74</v>
      </c>
      <c r="J78" s="128">
        <f t="shared" ref="J78:J83" si="8">ROUND(H78*I78,2)</f>
        <v>14.74</v>
      </c>
    </row>
    <row r="79" spans="1:10" ht="24" customHeight="1">
      <c r="A79" s="56" t="s">
        <v>153</v>
      </c>
      <c r="B79" s="57" t="s">
        <v>362</v>
      </c>
      <c r="C79" s="56" t="s">
        <v>29</v>
      </c>
      <c r="D79" s="56" t="s">
        <v>363</v>
      </c>
      <c r="E79" s="161" t="s">
        <v>152</v>
      </c>
      <c r="F79" s="161"/>
      <c r="G79" s="58" t="s">
        <v>24</v>
      </c>
      <c r="H79" s="59">
        <v>6.4000000000000003E-3</v>
      </c>
      <c r="I79" s="60">
        <v>20.43</v>
      </c>
      <c r="J79" s="128">
        <f t="shared" si="8"/>
        <v>0.13</v>
      </c>
    </row>
    <row r="80" spans="1:10" ht="24" customHeight="1">
      <c r="A80" s="56" t="s">
        <v>153</v>
      </c>
      <c r="B80" s="57" t="s">
        <v>364</v>
      </c>
      <c r="C80" s="56" t="s">
        <v>29</v>
      </c>
      <c r="D80" s="56" t="s">
        <v>365</v>
      </c>
      <c r="E80" s="161" t="s">
        <v>152</v>
      </c>
      <c r="F80" s="161"/>
      <c r="G80" s="58" t="s">
        <v>24</v>
      </c>
      <c r="H80" s="59">
        <v>3.9199999999999999E-2</v>
      </c>
      <c r="I80" s="60">
        <v>25.18</v>
      </c>
      <c r="J80" s="128">
        <f t="shared" si="8"/>
        <v>0.99</v>
      </c>
    </row>
    <row r="81" spans="1:10" ht="25.95" customHeight="1">
      <c r="A81" s="56" t="s">
        <v>153</v>
      </c>
      <c r="B81" s="57" t="s">
        <v>396</v>
      </c>
      <c r="C81" s="56" t="s">
        <v>29</v>
      </c>
      <c r="D81" s="56" t="s">
        <v>397</v>
      </c>
      <c r="E81" s="161" t="s">
        <v>172</v>
      </c>
      <c r="F81" s="161"/>
      <c r="G81" s="58" t="s">
        <v>126</v>
      </c>
      <c r="H81" s="59">
        <v>1</v>
      </c>
      <c r="I81" s="60">
        <v>12.87</v>
      </c>
      <c r="J81" s="128">
        <f t="shared" si="8"/>
        <v>12.87</v>
      </c>
    </row>
    <row r="82" spans="1:10" ht="39" customHeight="1">
      <c r="A82" s="64" t="s">
        <v>164</v>
      </c>
      <c r="B82" s="65" t="s">
        <v>368</v>
      </c>
      <c r="C82" s="64" t="s">
        <v>29</v>
      </c>
      <c r="D82" s="64" t="s">
        <v>369</v>
      </c>
      <c r="E82" s="157" t="s">
        <v>167</v>
      </c>
      <c r="F82" s="157"/>
      <c r="G82" s="66" t="s">
        <v>59</v>
      </c>
      <c r="H82" s="67">
        <v>0.54300000000000004</v>
      </c>
      <c r="I82" s="68">
        <v>0.18</v>
      </c>
      <c r="J82" s="128">
        <f t="shared" si="8"/>
        <v>0.1</v>
      </c>
    </row>
    <row r="83" spans="1:10" ht="25.95" customHeight="1">
      <c r="A83" s="64" t="s">
        <v>164</v>
      </c>
      <c r="B83" s="65" t="s">
        <v>195</v>
      </c>
      <c r="C83" s="64" t="s">
        <v>29</v>
      </c>
      <c r="D83" s="64" t="s">
        <v>196</v>
      </c>
      <c r="E83" s="157" t="s">
        <v>167</v>
      </c>
      <c r="F83" s="157"/>
      <c r="G83" s="66" t="s">
        <v>126</v>
      </c>
      <c r="H83" s="67">
        <v>2.5000000000000001E-2</v>
      </c>
      <c r="I83" s="68">
        <v>27</v>
      </c>
      <c r="J83" s="128">
        <f t="shared" si="8"/>
        <v>0.68</v>
      </c>
    </row>
    <row r="84" spans="1:10" ht="30" customHeight="1" thickBot="1">
      <c r="A84" s="61"/>
      <c r="B84" s="61"/>
      <c r="C84" s="61"/>
      <c r="D84" s="61"/>
      <c r="E84" s="61"/>
      <c r="F84" s="61"/>
      <c r="G84" s="61" t="s">
        <v>158</v>
      </c>
      <c r="H84" s="62">
        <f>'MOCINHA BARBALHO'!F16</f>
        <v>51.828000000000003</v>
      </c>
      <c r="I84" s="61" t="s">
        <v>159</v>
      </c>
      <c r="J84" s="127">
        <f>'MOCINHA BARBALHO'!I16</f>
        <v>938.74</v>
      </c>
    </row>
    <row r="85" spans="1:10" ht="1.05" customHeight="1" thickTop="1">
      <c r="A85" s="63"/>
      <c r="B85" s="63"/>
      <c r="C85" s="63"/>
      <c r="D85" s="63"/>
      <c r="E85" s="63"/>
      <c r="F85" s="63"/>
      <c r="G85" s="63"/>
      <c r="H85" s="63"/>
      <c r="I85" s="63"/>
      <c r="J85" s="63"/>
    </row>
    <row r="86" spans="1:10" ht="18" customHeight="1">
      <c r="A86" s="48" t="s">
        <v>320</v>
      </c>
      <c r="B86" s="49" t="s">
        <v>9</v>
      </c>
      <c r="C86" s="48" t="s">
        <v>10</v>
      </c>
      <c r="D86" s="48" t="s">
        <v>11</v>
      </c>
      <c r="E86" s="159" t="s">
        <v>150</v>
      </c>
      <c r="F86" s="159"/>
      <c r="G86" s="50" t="s">
        <v>12</v>
      </c>
      <c r="H86" s="49" t="s">
        <v>13</v>
      </c>
      <c r="I86" s="49" t="s">
        <v>14</v>
      </c>
      <c r="J86" s="49" t="s">
        <v>16</v>
      </c>
    </row>
    <row r="87" spans="1:10" ht="39" customHeight="1">
      <c r="A87" s="51" t="s">
        <v>151</v>
      </c>
      <c r="B87" s="52" t="s">
        <v>321</v>
      </c>
      <c r="C87" s="51" t="s">
        <v>29</v>
      </c>
      <c r="D87" s="51" t="s">
        <v>322</v>
      </c>
      <c r="E87" s="160" t="s">
        <v>172</v>
      </c>
      <c r="F87" s="160"/>
      <c r="G87" s="53" t="s">
        <v>126</v>
      </c>
      <c r="H87" s="54">
        <v>1</v>
      </c>
      <c r="I87" s="55">
        <f>'MOCINHA BARBALHO'!G17</f>
        <v>17.09</v>
      </c>
      <c r="J87" s="128">
        <f t="shared" ref="J87:J92" si="9">ROUND(H87*I87,2)</f>
        <v>17.09</v>
      </c>
    </row>
    <row r="88" spans="1:10" ht="24" customHeight="1">
      <c r="A88" s="56" t="s">
        <v>153</v>
      </c>
      <c r="B88" s="57" t="s">
        <v>362</v>
      </c>
      <c r="C88" s="56" t="s">
        <v>29</v>
      </c>
      <c r="D88" s="56" t="s">
        <v>363</v>
      </c>
      <c r="E88" s="161" t="s">
        <v>152</v>
      </c>
      <c r="F88" s="161"/>
      <c r="G88" s="58" t="s">
        <v>24</v>
      </c>
      <c r="H88" s="59">
        <v>1.7500000000000002E-2</v>
      </c>
      <c r="I88" s="60">
        <v>20.43</v>
      </c>
      <c r="J88" s="128">
        <f t="shared" si="9"/>
        <v>0.36</v>
      </c>
    </row>
    <row r="89" spans="1:10" ht="24" customHeight="1">
      <c r="A89" s="56" t="s">
        <v>153</v>
      </c>
      <c r="B89" s="57" t="s">
        <v>364</v>
      </c>
      <c r="C89" s="56" t="s">
        <v>29</v>
      </c>
      <c r="D89" s="56" t="s">
        <v>365</v>
      </c>
      <c r="E89" s="161" t="s">
        <v>152</v>
      </c>
      <c r="F89" s="161"/>
      <c r="G89" s="58" t="s">
        <v>24</v>
      </c>
      <c r="H89" s="59">
        <v>0.1069</v>
      </c>
      <c r="I89" s="60">
        <v>25.18</v>
      </c>
      <c r="J89" s="128">
        <f t="shared" si="9"/>
        <v>2.69</v>
      </c>
    </row>
    <row r="90" spans="1:10" ht="25.95" customHeight="1">
      <c r="A90" s="56" t="s">
        <v>153</v>
      </c>
      <c r="B90" s="57" t="s">
        <v>394</v>
      </c>
      <c r="C90" s="56" t="s">
        <v>29</v>
      </c>
      <c r="D90" s="56" t="s">
        <v>395</v>
      </c>
      <c r="E90" s="161" t="s">
        <v>172</v>
      </c>
      <c r="F90" s="161"/>
      <c r="G90" s="58" t="s">
        <v>126</v>
      </c>
      <c r="H90" s="59">
        <v>1</v>
      </c>
      <c r="I90" s="60">
        <v>13.17</v>
      </c>
      <c r="J90" s="128">
        <f t="shared" si="9"/>
        <v>13.17</v>
      </c>
    </row>
    <row r="91" spans="1:10" ht="39" customHeight="1">
      <c r="A91" s="64" t="s">
        <v>164</v>
      </c>
      <c r="B91" s="65" t="s">
        <v>368</v>
      </c>
      <c r="C91" s="64" t="s">
        <v>29</v>
      </c>
      <c r="D91" s="64" t="s">
        <v>369</v>
      </c>
      <c r="E91" s="157" t="s">
        <v>167</v>
      </c>
      <c r="F91" s="157"/>
      <c r="G91" s="66" t="s">
        <v>59</v>
      </c>
      <c r="H91" s="67">
        <v>1.19</v>
      </c>
      <c r="I91" s="68">
        <v>0.18</v>
      </c>
      <c r="J91" s="128">
        <f t="shared" si="9"/>
        <v>0.21</v>
      </c>
    </row>
    <row r="92" spans="1:10" ht="25.95" customHeight="1">
      <c r="A92" s="64" t="s">
        <v>164</v>
      </c>
      <c r="B92" s="65" t="s">
        <v>195</v>
      </c>
      <c r="C92" s="64" t="s">
        <v>29</v>
      </c>
      <c r="D92" s="64" t="s">
        <v>196</v>
      </c>
      <c r="E92" s="157" t="s">
        <v>167</v>
      </c>
      <c r="F92" s="157"/>
      <c r="G92" s="66" t="s">
        <v>126</v>
      </c>
      <c r="H92" s="67">
        <v>2.5000000000000001E-2</v>
      </c>
      <c r="I92" s="68">
        <v>27</v>
      </c>
      <c r="J92" s="128">
        <f t="shared" si="9"/>
        <v>0.68</v>
      </c>
    </row>
    <row r="93" spans="1:10" ht="30" customHeight="1" thickBot="1">
      <c r="A93" s="61"/>
      <c r="B93" s="61"/>
      <c r="C93" s="61"/>
      <c r="D93" s="61"/>
      <c r="E93" s="61"/>
      <c r="F93" s="61"/>
      <c r="G93" s="61" t="s">
        <v>158</v>
      </c>
      <c r="H93" s="62">
        <f>'MOCINHA BARBALHO'!F17</f>
        <v>15.092000000000001</v>
      </c>
      <c r="I93" s="61" t="s">
        <v>159</v>
      </c>
      <c r="J93" s="127">
        <f>'MOCINHA BARBALHO'!I17</f>
        <v>316.93</v>
      </c>
    </row>
    <row r="94" spans="1:10" ht="1.05" customHeight="1" thickTop="1">
      <c r="A94" s="63"/>
      <c r="B94" s="63"/>
      <c r="C94" s="63"/>
      <c r="D94" s="63"/>
      <c r="E94" s="63"/>
      <c r="F94" s="63"/>
      <c r="G94" s="63"/>
      <c r="H94" s="63"/>
      <c r="I94" s="63"/>
      <c r="J94" s="63"/>
    </row>
    <row r="95" spans="1:10" ht="18" customHeight="1">
      <c r="A95" s="48" t="s">
        <v>323</v>
      </c>
      <c r="B95" s="49" t="s">
        <v>9</v>
      </c>
      <c r="C95" s="48" t="s">
        <v>10</v>
      </c>
      <c r="D95" s="48" t="s">
        <v>11</v>
      </c>
      <c r="E95" s="159" t="s">
        <v>150</v>
      </c>
      <c r="F95" s="159"/>
      <c r="G95" s="50" t="s">
        <v>12</v>
      </c>
      <c r="H95" s="49" t="s">
        <v>13</v>
      </c>
      <c r="I95" s="49" t="s">
        <v>14</v>
      </c>
      <c r="J95" s="49" t="s">
        <v>16</v>
      </c>
    </row>
    <row r="96" spans="1:10" ht="39" customHeight="1">
      <c r="A96" s="51" t="s">
        <v>151</v>
      </c>
      <c r="B96" s="52" t="s">
        <v>324</v>
      </c>
      <c r="C96" s="51" t="s">
        <v>29</v>
      </c>
      <c r="D96" s="51" t="s">
        <v>325</v>
      </c>
      <c r="E96" s="160" t="s">
        <v>172</v>
      </c>
      <c r="F96" s="160"/>
      <c r="G96" s="53" t="s">
        <v>163</v>
      </c>
      <c r="H96" s="54">
        <v>1</v>
      </c>
      <c r="I96" s="55">
        <f>'MOCINHA BARBALHO'!G18</f>
        <v>591.78</v>
      </c>
      <c r="J96" s="128">
        <f t="shared" ref="J96:J102" si="10">ROUND(H96*I96,2)</f>
        <v>591.78</v>
      </c>
    </row>
    <row r="97" spans="1:10" ht="24" customHeight="1">
      <c r="A97" s="56" t="s">
        <v>153</v>
      </c>
      <c r="B97" s="57" t="s">
        <v>168</v>
      </c>
      <c r="C97" s="56" t="s">
        <v>29</v>
      </c>
      <c r="D97" s="56" t="s">
        <v>169</v>
      </c>
      <c r="E97" s="161" t="s">
        <v>152</v>
      </c>
      <c r="F97" s="161"/>
      <c r="G97" s="58" t="s">
        <v>24</v>
      </c>
      <c r="H97" s="59">
        <v>0.224</v>
      </c>
      <c r="I97" s="60">
        <v>25</v>
      </c>
      <c r="J97" s="128">
        <f t="shared" si="10"/>
        <v>5.6</v>
      </c>
    </row>
    <row r="98" spans="1:10" ht="24" customHeight="1">
      <c r="A98" s="56" t="s">
        <v>153</v>
      </c>
      <c r="B98" s="57" t="s">
        <v>154</v>
      </c>
      <c r="C98" s="56" t="s">
        <v>29</v>
      </c>
      <c r="D98" s="56" t="s">
        <v>155</v>
      </c>
      <c r="E98" s="161" t="s">
        <v>152</v>
      </c>
      <c r="F98" s="161"/>
      <c r="G98" s="58" t="s">
        <v>24</v>
      </c>
      <c r="H98" s="59">
        <v>0.224</v>
      </c>
      <c r="I98" s="60">
        <v>25.38</v>
      </c>
      <c r="J98" s="128">
        <f t="shared" si="10"/>
        <v>5.69</v>
      </c>
    </row>
    <row r="99" spans="1:10" ht="24" customHeight="1">
      <c r="A99" s="56" t="s">
        <v>153</v>
      </c>
      <c r="B99" s="57" t="s">
        <v>156</v>
      </c>
      <c r="C99" s="56" t="s">
        <v>29</v>
      </c>
      <c r="D99" s="56" t="s">
        <v>157</v>
      </c>
      <c r="E99" s="161" t="s">
        <v>152</v>
      </c>
      <c r="F99" s="161"/>
      <c r="G99" s="58" t="s">
        <v>24</v>
      </c>
      <c r="H99" s="59">
        <v>1.345</v>
      </c>
      <c r="I99" s="60">
        <v>20.420000000000002</v>
      </c>
      <c r="J99" s="128">
        <f t="shared" si="10"/>
        <v>27.46</v>
      </c>
    </row>
    <row r="100" spans="1:10" ht="39" customHeight="1">
      <c r="A100" s="56" t="s">
        <v>153</v>
      </c>
      <c r="B100" s="57" t="s">
        <v>388</v>
      </c>
      <c r="C100" s="56" t="s">
        <v>29</v>
      </c>
      <c r="D100" s="56" t="s">
        <v>389</v>
      </c>
      <c r="E100" s="161" t="s">
        <v>278</v>
      </c>
      <c r="F100" s="161"/>
      <c r="G100" s="58" t="s">
        <v>279</v>
      </c>
      <c r="H100" s="59">
        <v>9.4E-2</v>
      </c>
      <c r="I100" s="60">
        <v>1.28</v>
      </c>
      <c r="J100" s="128">
        <f t="shared" si="10"/>
        <v>0.12</v>
      </c>
    </row>
    <row r="101" spans="1:10" ht="39" customHeight="1">
      <c r="A101" s="56" t="s">
        <v>153</v>
      </c>
      <c r="B101" s="57" t="s">
        <v>390</v>
      </c>
      <c r="C101" s="56" t="s">
        <v>29</v>
      </c>
      <c r="D101" s="56" t="s">
        <v>391</v>
      </c>
      <c r="E101" s="161" t="s">
        <v>278</v>
      </c>
      <c r="F101" s="161"/>
      <c r="G101" s="58" t="s">
        <v>282</v>
      </c>
      <c r="H101" s="59">
        <v>0.13</v>
      </c>
      <c r="I101" s="60">
        <v>0.49</v>
      </c>
      <c r="J101" s="128">
        <f t="shared" si="10"/>
        <v>0.06</v>
      </c>
    </row>
    <row r="102" spans="1:10" ht="39" customHeight="1">
      <c r="A102" s="64" t="s">
        <v>164</v>
      </c>
      <c r="B102" s="65" t="s">
        <v>398</v>
      </c>
      <c r="C102" s="64" t="s">
        <v>29</v>
      </c>
      <c r="D102" s="64" t="s">
        <v>399</v>
      </c>
      <c r="E102" s="157" t="s">
        <v>167</v>
      </c>
      <c r="F102" s="157"/>
      <c r="G102" s="66" t="s">
        <v>163</v>
      </c>
      <c r="H102" s="67">
        <v>1.103</v>
      </c>
      <c r="I102" s="68">
        <v>501.24</v>
      </c>
      <c r="J102" s="128">
        <f t="shared" si="10"/>
        <v>552.87</v>
      </c>
    </row>
    <row r="103" spans="1:10" ht="30" customHeight="1" thickBot="1">
      <c r="A103" s="61"/>
      <c r="B103" s="61"/>
      <c r="C103" s="61"/>
      <c r="D103" s="61"/>
      <c r="E103" s="61"/>
      <c r="F103" s="61"/>
      <c r="G103" s="61" t="s">
        <v>158</v>
      </c>
      <c r="H103" s="62">
        <f>'MOCINHA BARBALHO'!F18</f>
        <v>0.84</v>
      </c>
      <c r="I103" s="61" t="s">
        <v>159</v>
      </c>
      <c r="J103" s="127">
        <f>'MOCINHA BARBALHO'!I18</f>
        <v>610.83000000000004</v>
      </c>
    </row>
    <row r="104" spans="1:10" ht="1.05" customHeight="1" thickTop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</row>
    <row r="105" spans="1:10" ht="18" customHeight="1">
      <c r="A105" s="48" t="s">
        <v>326</v>
      </c>
      <c r="B105" s="49" t="s">
        <v>9</v>
      </c>
      <c r="C105" s="48" t="s">
        <v>10</v>
      </c>
      <c r="D105" s="48" t="s">
        <v>11</v>
      </c>
      <c r="E105" s="159" t="s">
        <v>150</v>
      </c>
      <c r="F105" s="159"/>
      <c r="G105" s="50" t="s">
        <v>12</v>
      </c>
      <c r="H105" s="49" t="s">
        <v>13</v>
      </c>
      <c r="I105" s="49" t="s">
        <v>14</v>
      </c>
      <c r="J105" s="49" t="s">
        <v>16</v>
      </c>
    </row>
    <row r="106" spans="1:10" ht="39" customHeight="1">
      <c r="A106" s="51" t="s">
        <v>151</v>
      </c>
      <c r="B106" s="52" t="s">
        <v>327</v>
      </c>
      <c r="C106" s="51" t="s">
        <v>29</v>
      </c>
      <c r="D106" s="51" t="s">
        <v>328</v>
      </c>
      <c r="E106" s="160" t="s">
        <v>172</v>
      </c>
      <c r="F106" s="160"/>
      <c r="G106" s="53" t="s">
        <v>31</v>
      </c>
      <c r="H106" s="54">
        <v>1</v>
      </c>
      <c r="I106" s="55">
        <f>'MOCINHA BARBALHO'!G19</f>
        <v>66.33</v>
      </c>
      <c r="J106" s="128">
        <f t="shared" ref="J106:J116" si="11">ROUND(H106*I106,2)</f>
        <v>66.33</v>
      </c>
    </row>
    <row r="107" spans="1:10" ht="25.95" customHeight="1">
      <c r="A107" s="56" t="s">
        <v>153</v>
      </c>
      <c r="B107" s="57" t="s">
        <v>370</v>
      </c>
      <c r="C107" s="56" t="s">
        <v>29</v>
      </c>
      <c r="D107" s="56" t="s">
        <v>371</v>
      </c>
      <c r="E107" s="161" t="s">
        <v>152</v>
      </c>
      <c r="F107" s="161"/>
      <c r="G107" s="58" t="s">
        <v>24</v>
      </c>
      <c r="H107" s="59">
        <v>0.17299999999999999</v>
      </c>
      <c r="I107" s="60">
        <v>20.27</v>
      </c>
      <c r="J107" s="128">
        <f t="shared" si="11"/>
        <v>3.51</v>
      </c>
    </row>
    <row r="108" spans="1:10" ht="24" customHeight="1">
      <c r="A108" s="56" t="s">
        <v>153</v>
      </c>
      <c r="B108" s="57" t="s">
        <v>168</v>
      </c>
      <c r="C108" s="56" t="s">
        <v>29</v>
      </c>
      <c r="D108" s="56" t="s">
        <v>169</v>
      </c>
      <c r="E108" s="161" t="s">
        <v>152</v>
      </c>
      <c r="F108" s="161"/>
      <c r="G108" s="58" t="s">
        <v>24</v>
      </c>
      <c r="H108" s="59">
        <v>0.94199999999999995</v>
      </c>
      <c r="I108" s="60">
        <v>25</v>
      </c>
      <c r="J108" s="128">
        <f t="shared" si="11"/>
        <v>23.55</v>
      </c>
    </row>
    <row r="109" spans="1:10" ht="25.95" customHeight="1">
      <c r="A109" s="56" t="s">
        <v>153</v>
      </c>
      <c r="B109" s="57" t="s">
        <v>400</v>
      </c>
      <c r="C109" s="56" t="s">
        <v>29</v>
      </c>
      <c r="D109" s="56" t="s">
        <v>401</v>
      </c>
      <c r="E109" s="161" t="s">
        <v>172</v>
      </c>
      <c r="F109" s="161"/>
      <c r="G109" s="58" t="s">
        <v>31</v>
      </c>
      <c r="H109" s="59">
        <v>0.105</v>
      </c>
      <c r="I109" s="60">
        <v>171.39</v>
      </c>
      <c r="J109" s="128">
        <f t="shared" si="11"/>
        <v>18</v>
      </c>
    </row>
    <row r="110" spans="1:10" ht="25.95" customHeight="1">
      <c r="A110" s="64" t="s">
        <v>164</v>
      </c>
      <c r="B110" s="65" t="s">
        <v>173</v>
      </c>
      <c r="C110" s="64" t="s">
        <v>29</v>
      </c>
      <c r="D110" s="64" t="s">
        <v>174</v>
      </c>
      <c r="E110" s="157" t="s">
        <v>167</v>
      </c>
      <c r="F110" s="157"/>
      <c r="G110" s="66" t="s">
        <v>175</v>
      </c>
      <c r="H110" s="67">
        <v>4.0000000000000001E-3</v>
      </c>
      <c r="I110" s="68">
        <v>7.5</v>
      </c>
      <c r="J110" s="128">
        <f t="shared" si="11"/>
        <v>0.03</v>
      </c>
    </row>
    <row r="111" spans="1:10" ht="25.95" customHeight="1">
      <c r="A111" s="64" t="s">
        <v>164</v>
      </c>
      <c r="B111" s="65" t="s">
        <v>378</v>
      </c>
      <c r="C111" s="64" t="s">
        <v>29</v>
      </c>
      <c r="D111" s="64" t="s">
        <v>379</v>
      </c>
      <c r="E111" s="157" t="s">
        <v>167</v>
      </c>
      <c r="F111" s="157"/>
      <c r="G111" s="66" t="s">
        <v>40</v>
      </c>
      <c r="H111" s="67">
        <v>0.13200000000000001</v>
      </c>
      <c r="I111" s="68">
        <v>10.050000000000001</v>
      </c>
      <c r="J111" s="128">
        <f t="shared" si="11"/>
        <v>1.33</v>
      </c>
    </row>
    <row r="112" spans="1:10" ht="52.05" customHeight="1">
      <c r="A112" s="64" t="s">
        <v>164</v>
      </c>
      <c r="B112" s="65" t="s">
        <v>402</v>
      </c>
      <c r="C112" s="64" t="s">
        <v>29</v>
      </c>
      <c r="D112" s="64" t="s">
        <v>403</v>
      </c>
      <c r="E112" s="157" t="s">
        <v>253</v>
      </c>
      <c r="F112" s="157"/>
      <c r="G112" s="66" t="s">
        <v>404</v>
      </c>
      <c r="H112" s="67">
        <v>1.1859999999999999</v>
      </c>
      <c r="I112" s="68">
        <v>6.64</v>
      </c>
      <c r="J112" s="128">
        <f t="shared" si="11"/>
        <v>7.88</v>
      </c>
    </row>
    <row r="113" spans="1:10" ht="39" customHeight="1">
      <c r="A113" s="64" t="s">
        <v>164</v>
      </c>
      <c r="B113" s="65" t="s">
        <v>405</v>
      </c>
      <c r="C113" s="64" t="s">
        <v>29</v>
      </c>
      <c r="D113" s="64" t="s">
        <v>406</v>
      </c>
      <c r="E113" s="157" t="s">
        <v>253</v>
      </c>
      <c r="F113" s="157"/>
      <c r="G113" s="66" t="s">
        <v>404</v>
      </c>
      <c r="H113" s="67">
        <v>0.35599999999999998</v>
      </c>
      <c r="I113" s="68">
        <v>14.5</v>
      </c>
      <c r="J113" s="128">
        <f t="shared" si="11"/>
        <v>5.16</v>
      </c>
    </row>
    <row r="114" spans="1:10" ht="39" customHeight="1">
      <c r="A114" s="64" t="s">
        <v>164</v>
      </c>
      <c r="B114" s="65" t="s">
        <v>407</v>
      </c>
      <c r="C114" s="64" t="s">
        <v>29</v>
      </c>
      <c r="D114" s="64" t="s">
        <v>408</v>
      </c>
      <c r="E114" s="157" t="s">
        <v>253</v>
      </c>
      <c r="F114" s="157"/>
      <c r="G114" s="66" t="s">
        <v>404</v>
      </c>
      <c r="H114" s="67">
        <v>0.47399999999999998</v>
      </c>
      <c r="I114" s="68">
        <v>3.62</v>
      </c>
      <c r="J114" s="128">
        <f t="shared" si="11"/>
        <v>1.72</v>
      </c>
    </row>
    <row r="115" spans="1:10" ht="25.95" customHeight="1">
      <c r="A115" s="64" t="s">
        <v>164</v>
      </c>
      <c r="B115" s="65" t="s">
        <v>386</v>
      </c>
      <c r="C115" s="64" t="s">
        <v>29</v>
      </c>
      <c r="D115" s="64" t="s">
        <v>387</v>
      </c>
      <c r="E115" s="157" t="s">
        <v>167</v>
      </c>
      <c r="F115" s="157"/>
      <c r="G115" s="66" t="s">
        <v>126</v>
      </c>
      <c r="H115" s="67">
        <v>3.3000000000000002E-2</v>
      </c>
      <c r="I115" s="68">
        <v>27.62</v>
      </c>
      <c r="J115" s="128">
        <f t="shared" si="11"/>
        <v>0.91</v>
      </c>
    </row>
    <row r="116" spans="1:10" ht="24" customHeight="1">
      <c r="A116" s="64" t="s">
        <v>164</v>
      </c>
      <c r="B116" s="65" t="s">
        <v>409</v>
      </c>
      <c r="C116" s="64" t="s">
        <v>29</v>
      </c>
      <c r="D116" s="64" t="s">
        <v>410</v>
      </c>
      <c r="E116" s="157" t="s">
        <v>253</v>
      </c>
      <c r="F116" s="157"/>
      <c r="G116" s="66" t="s">
        <v>404</v>
      </c>
      <c r="H116" s="67">
        <v>1.1859999999999999</v>
      </c>
      <c r="I116" s="68">
        <v>3.62</v>
      </c>
      <c r="J116" s="128">
        <f t="shared" si="11"/>
        <v>4.29</v>
      </c>
    </row>
    <row r="117" spans="1:10" ht="30" customHeight="1" thickBot="1">
      <c r="A117" s="61"/>
      <c r="B117" s="61"/>
      <c r="C117" s="61"/>
      <c r="D117" s="61"/>
      <c r="E117" s="61"/>
      <c r="F117" s="61"/>
      <c r="G117" s="61" t="s">
        <v>158</v>
      </c>
      <c r="H117" s="62">
        <f>'MOCINHA BARBALHO'!F19</f>
        <v>16.8</v>
      </c>
      <c r="I117" s="61" t="s">
        <v>159</v>
      </c>
      <c r="J117" s="127">
        <f>'MOCINHA BARBALHO'!I19</f>
        <v>1369.31</v>
      </c>
    </row>
    <row r="118" spans="1:10" ht="1.05" customHeight="1" thickTop="1">
      <c r="A118" s="63"/>
      <c r="B118" s="63"/>
      <c r="C118" s="63"/>
      <c r="D118" s="63"/>
      <c r="E118" s="63"/>
      <c r="F118" s="63"/>
      <c r="G118" s="63"/>
      <c r="H118" s="63"/>
      <c r="I118" s="63"/>
      <c r="J118" s="129"/>
    </row>
    <row r="119" spans="1:10" ht="24" customHeight="1">
      <c r="A119" s="45" t="s">
        <v>41</v>
      </c>
      <c r="B119" s="45"/>
      <c r="C119" s="45"/>
      <c r="D119" s="45" t="s">
        <v>26</v>
      </c>
      <c r="E119" s="45"/>
      <c r="F119" s="158"/>
      <c r="G119" s="158"/>
      <c r="H119" s="46"/>
      <c r="I119" s="45"/>
      <c r="J119" s="130">
        <f>SUM(J126,J139,J147)</f>
        <v>31199.78</v>
      </c>
    </row>
    <row r="120" spans="1:10" ht="18" customHeight="1">
      <c r="A120" s="48" t="s">
        <v>43</v>
      </c>
      <c r="B120" s="49" t="s">
        <v>9</v>
      </c>
      <c r="C120" s="48" t="s">
        <v>10</v>
      </c>
      <c r="D120" s="48" t="s">
        <v>11</v>
      </c>
      <c r="E120" s="159" t="s">
        <v>150</v>
      </c>
      <c r="F120" s="159"/>
      <c r="G120" s="50" t="s">
        <v>12</v>
      </c>
      <c r="H120" s="49" t="s">
        <v>13</v>
      </c>
      <c r="I120" s="49" t="s">
        <v>14</v>
      </c>
      <c r="J120" s="49" t="s">
        <v>16</v>
      </c>
    </row>
    <row r="121" spans="1:10" ht="52.05" customHeight="1">
      <c r="A121" s="51" t="s">
        <v>151</v>
      </c>
      <c r="B121" s="52" t="s">
        <v>28</v>
      </c>
      <c r="C121" s="51" t="s">
        <v>29</v>
      </c>
      <c r="D121" s="51" t="s">
        <v>30</v>
      </c>
      <c r="E121" s="160" t="s">
        <v>160</v>
      </c>
      <c r="F121" s="160"/>
      <c r="G121" s="53" t="s">
        <v>31</v>
      </c>
      <c r="H121" s="54">
        <v>1</v>
      </c>
      <c r="I121" s="55">
        <f>'MOCINHA BARBALHO'!G21</f>
        <v>52.2</v>
      </c>
      <c r="J121" s="128">
        <f t="shared" ref="J121:J125" si="12">ROUND(H121*I121,2)</f>
        <v>52.2</v>
      </c>
    </row>
    <row r="122" spans="1:10" ht="39" customHeight="1">
      <c r="A122" s="56" t="s">
        <v>153</v>
      </c>
      <c r="B122" s="57" t="s">
        <v>161</v>
      </c>
      <c r="C122" s="56" t="s">
        <v>29</v>
      </c>
      <c r="D122" s="56" t="s">
        <v>162</v>
      </c>
      <c r="E122" s="161" t="s">
        <v>152</v>
      </c>
      <c r="F122" s="161"/>
      <c r="G122" s="58" t="s">
        <v>163</v>
      </c>
      <c r="H122" s="59">
        <v>4.3099999999999999E-2</v>
      </c>
      <c r="I122" s="60">
        <v>717.37</v>
      </c>
      <c r="J122" s="128">
        <f t="shared" si="12"/>
        <v>30.92</v>
      </c>
    </row>
    <row r="123" spans="1:10" ht="24" customHeight="1">
      <c r="A123" s="56" t="s">
        <v>153</v>
      </c>
      <c r="B123" s="57" t="s">
        <v>154</v>
      </c>
      <c r="C123" s="56" t="s">
        <v>29</v>
      </c>
      <c r="D123" s="56" t="s">
        <v>155</v>
      </c>
      <c r="E123" s="161" t="s">
        <v>152</v>
      </c>
      <c r="F123" s="161"/>
      <c r="G123" s="58" t="s">
        <v>24</v>
      </c>
      <c r="H123" s="59">
        <v>0.58899999999999997</v>
      </c>
      <c r="I123" s="60">
        <v>25.38</v>
      </c>
      <c r="J123" s="128">
        <f t="shared" si="12"/>
        <v>14.95</v>
      </c>
    </row>
    <row r="124" spans="1:10" ht="24" customHeight="1">
      <c r="A124" s="56" t="s">
        <v>153</v>
      </c>
      <c r="B124" s="57" t="s">
        <v>156</v>
      </c>
      <c r="C124" s="56" t="s">
        <v>29</v>
      </c>
      <c r="D124" s="56" t="s">
        <v>157</v>
      </c>
      <c r="E124" s="161" t="s">
        <v>152</v>
      </c>
      <c r="F124" s="161"/>
      <c r="G124" s="58" t="s">
        <v>24</v>
      </c>
      <c r="H124" s="59">
        <v>0.29399999999999998</v>
      </c>
      <c r="I124" s="60">
        <v>20.420000000000002</v>
      </c>
      <c r="J124" s="128">
        <f t="shared" si="12"/>
        <v>6</v>
      </c>
    </row>
    <row r="125" spans="1:10" ht="24" customHeight="1">
      <c r="A125" s="64" t="s">
        <v>164</v>
      </c>
      <c r="B125" s="65" t="s">
        <v>165</v>
      </c>
      <c r="C125" s="64" t="s">
        <v>29</v>
      </c>
      <c r="D125" s="64" t="s">
        <v>166</v>
      </c>
      <c r="E125" s="157" t="s">
        <v>167</v>
      </c>
      <c r="F125" s="157"/>
      <c r="G125" s="66" t="s">
        <v>126</v>
      </c>
      <c r="H125" s="67">
        <v>0.5</v>
      </c>
      <c r="I125" s="68">
        <v>0.7</v>
      </c>
      <c r="J125" s="128">
        <f t="shared" si="12"/>
        <v>0.35</v>
      </c>
    </row>
    <row r="126" spans="1:10" ht="30" customHeight="1" thickBot="1">
      <c r="A126" s="61"/>
      <c r="B126" s="61"/>
      <c r="C126" s="61"/>
      <c r="D126" s="61"/>
      <c r="E126" s="61"/>
      <c r="F126" s="61"/>
      <c r="G126" s="61" t="s">
        <v>158</v>
      </c>
      <c r="H126" s="62">
        <f>'MOCINHA BARBALHO'!F21</f>
        <v>207.35</v>
      </c>
      <c r="I126" s="61" t="s">
        <v>159</v>
      </c>
      <c r="J126" s="127">
        <f>'MOCINHA BARBALHO'!I21</f>
        <v>13300.13</v>
      </c>
    </row>
    <row r="127" spans="1:10" ht="1.05" customHeight="1" thickTop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</row>
    <row r="128" spans="1:10" ht="18" customHeight="1">
      <c r="A128" s="48" t="s">
        <v>47</v>
      </c>
      <c r="B128" s="49" t="s">
        <v>9</v>
      </c>
      <c r="C128" s="48" t="s">
        <v>10</v>
      </c>
      <c r="D128" s="48" t="s">
        <v>11</v>
      </c>
      <c r="E128" s="159" t="s">
        <v>150</v>
      </c>
      <c r="F128" s="159"/>
      <c r="G128" s="50" t="s">
        <v>12</v>
      </c>
      <c r="H128" s="49" t="s">
        <v>13</v>
      </c>
      <c r="I128" s="49" t="s">
        <v>14</v>
      </c>
      <c r="J128" s="49" t="s">
        <v>16</v>
      </c>
    </row>
    <row r="129" spans="1:11" ht="52.05" customHeight="1">
      <c r="A129" s="51" t="s">
        <v>151</v>
      </c>
      <c r="B129" s="52" t="s">
        <v>33</v>
      </c>
      <c r="C129" s="51" t="s">
        <v>29</v>
      </c>
      <c r="D129" s="51" t="s">
        <v>34</v>
      </c>
      <c r="E129" s="160" t="s">
        <v>160</v>
      </c>
      <c r="F129" s="160"/>
      <c r="G129" s="53" t="s">
        <v>31</v>
      </c>
      <c r="H129" s="54">
        <v>1</v>
      </c>
      <c r="I129" s="55">
        <f>'MOCINHA BARBALHO'!G22</f>
        <v>100.43</v>
      </c>
      <c r="J129" s="128">
        <f t="shared" ref="J129:J138" si="13">ROUND(H129*I129,2)</f>
        <v>100.43</v>
      </c>
    </row>
    <row r="130" spans="1:11" ht="24" customHeight="1">
      <c r="A130" s="56" t="s">
        <v>153</v>
      </c>
      <c r="B130" s="57" t="s">
        <v>168</v>
      </c>
      <c r="C130" s="56" t="s">
        <v>29</v>
      </c>
      <c r="D130" s="56" t="s">
        <v>169</v>
      </c>
      <c r="E130" s="161" t="s">
        <v>152</v>
      </c>
      <c r="F130" s="161"/>
      <c r="G130" s="58" t="s">
        <v>24</v>
      </c>
      <c r="H130" s="59">
        <v>0.13009999999999999</v>
      </c>
      <c r="I130" s="60">
        <v>25</v>
      </c>
      <c r="J130" s="128">
        <f t="shared" si="13"/>
        <v>3.25</v>
      </c>
    </row>
    <row r="131" spans="1:11" ht="24" customHeight="1">
      <c r="A131" s="56" t="s">
        <v>153</v>
      </c>
      <c r="B131" s="57" t="s">
        <v>154</v>
      </c>
      <c r="C131" s="56" t="s">
        <v>29</v>
      </c>
      <c r="D131" s="56" t="s">
        <v>155</v>
      </c>
      <c r="E131" s="161" t="s">
        <v>152</v>
      </c>
      <c r="F131" s="161"/>
      <c r="G131" s="58" t="s">
        <v>24</v>
      </c>
      <c r="H131" s="59">
        <v>0.18820000000000001</v>
      </c>
      <c r="I131" s="60">
        <v>25.38</v>
      </c>
      <c r="J131" s="128">
        <f t="shared" si="13"/>
        <v>4.78</v>
      </c>
    </row>
    <row r="132" spans="1:11" ht="24" customHeight="1">
      <c r="A132" s="56" t="s">
        <v>153</v>
      </c>
      <c r="B132" s="57" t="s">
        <v>156</v>
      </c>
      <c r="C132" s="56" t="s">
        <v>29</v>
      </c>
      <c r="D132" s="56" t="s">
        <v>157</v>
      </c>
      <c r="E132" s="161" t="s">
        <v>152</v>
      </c>
      <c r="F132" s="161"/>
      <c r="G132" s="58" t="s">
        <v>24</v>
      </c>
      <c r="H132" s="59">
        <v>0.31830000000000003</v>
      </c>
      <c r="I132" s="60">
        <v>20.420000000000002</v>
      </c>
      <c r="J132" s="128">
        <f t="shared" si="13"/>
        <v>6.5</v>
      </c>
    </row>
    <row r="133" spans="1:11" ht="39" customHeight="1">
      <c r="A133" s="56" t="s">
        <v>153</v>
      </c>
      <c r="B133" s="57" t="s">
        <v>170</v>
      </c>
      <c r="C133" s="56" t="s">
        <v>29</v>
      </c>
      <c r="D133" s="56" t="s">
        <v>171</v>
      </c>
      <c r="E133" s="161" t="s">
        <v>172</v>
      </c>
      <c r="F133" s="161"/>
      <c r="G133" s="58" t="s">
        <v>163</v>
      </c>
      <c r="H133" s="59">
        <v>9.8500000000000004E-2</v>
      </c>
      <c r="I133" s="60">
        <v>474.55</v>
      </c>
      <c r="J133" s="128">
        <f t="shared" si="13"/>
        <v>46.74</v>
      </c>
    </row>
    <row r="134" spans="1:11" ht="25.95" customHeight="1">
      <c r="A134" s="64" t="s">
        <v>164</v>
      </c>
      <c r="B134" s="65" t="s">
        <v>173</v>
      </c>
      <c r="C134" s="64" t="s">
        <v>29</v>
      </c>
      <c r="D134" s="64" t="s">
        <v>174</v>
      </c>
      <c r="E134" s="157" t="s">
        <v>167</v>
      </c>
      <c r="F134" s="157"/>
      <c r="G134" s="66" t="s">
        <v>175</v>
      </c>
      <c r="H134" s="67">
        <v>1.6999999999999999E-3</v>
      </c>
      <c r="I134" s="68">
        <v>7.5</v>
      </c>
      <c r="J134" s="128">
        <f t="shared" si="13"/>
        <v>0.01</v>
      </c>
    </row>
    <row r="135" spans="1:11" ht="25.95" customHeight="1">
      <c r="A135" s="64" t="s">
        <v>164</v>
      </c>
      <c r="B135" s="65" t="s">
        <v>176</v>
      </c>
      <c r="C135" s="64" t="s">
        <v>29</v>
      </c>
      <c r="D135" s="64" t="s">
        <v>177</v>
      </c>
      <c r="E135" s="157" t="s">
        <v>167</v>
      </c>
      <c r="F135" s="157"/>
      <c r="G135" s="66" t="s">
        <v>40</v>
      </c>
      <c r="H135" s="67">
        <v>0.25</v>
      </c>
      <c r="I135" s="68">
        <v>5.0999999999999996</v>
      </c>
      <c r="J135" s="128">
        <f t="shared" si="13"/>
        <v>1.28</v>
      </c>
    </row>
    <row r="136" spans="1:11" ht="25.95" customHeight="1">
      <c r="A136" s="64" t="s">
        <v>164</v>
      </c>
      <c r="B136" s="65" t="s">
        <v>178</v>
      </c>
      <c r="C136" s="64" t="s">
        <v>29</v>
      </c>
      <c r="D136" s="64" t="s">
        <v>179</v>
      </c>
      <c r="E136" s="157" t="s">
        <v>167</v>
      </c>
      <c r="F136" s="157"/>
      <c r="G136" s="66" t="s">
        <v>40</v>
      </c>
      <c r="H136" s="67">
        <v>0.2</v>
      </c>
      <c r="I136" s="68">
        <v>3.52</v>
      </c>
      <c r="J136" s="128">
        <f t="shared" si="13"/>
        <v>0.7</v>
      </c>
    </row>
    <row r="137" spans="1:11" ht="24" customHeight="1">
      <c r="A137" s="64" t="s">
        <v>164</v>
      </c>
      <c r="B137" s="65" t="s">
        <v>180</v>
      </c>
      <c r="C137" s="64" t="s">
        <v>29</v>
      </c>
      <c r="D137" s="64" t="s">
        <v>181</v>
      </c>
      <c r="E137" s="157" t="s">
        <v>167</v>
      </c>
      <c r="F137" s="157"/>
      <c r="G137" s="66" t="s">
        <v>126</v>
      </c>
      <c r="H137" s="67">
        <v>2.4E-2</v>
      </c>
      <c r="I137" s="68">
        <v>22.38</v>
      </c>
      <c r="J137" s="128">
        <f t="shared" si="13"/>
        <v>0.54</v>
      </c>
    </row>
    <row r="138" spans="1:11" ht="39" customHeight="1">
      <c r="A138" s="64" t="s">
        <v>164</v>
      </c>
      <c r="B138" s="65" t="s">
        <v>182</v>
      </c>
      <c r="C138" s="64" t="s">
        <v>29</v>
      </c>
      <c r="D138" s="64" t="s">
        <v>183</v>
      </c>
      <c r="E138" s="157" t="s">
        <v>167</v>
      </c>
      <c r="F138" s="157"/>
      <c r="G138" s="66" t="s">
        <v>31</v>
      </c>
      <c r="H138" s="67">
        <v>1.0815999999999999</v>
      </c>
      <c r="I138" s="68">
        <v>33.909999999999997</v>
      </c>
      <c r="J138" s="128">
        <f t="shared" si="13"/>
        <v>36.68</v>
      </c>
    </row>
    <row r="139" spans="1:11" ht="30" customHeight="1" thickBot="1">
      <c r="A139" s="61"/>
      <c r="B139" s="61"/>
      <c r="C139" s="61"/>
      <c r="D139" s="61"/>
      <c r="E139" s="61"/>
      <c r="F139" s="61"/>
      <c r="G139" s="61" t="s">
        <v>158</v>
      </c>
      <c r="H139" s="62">
        <f>'MOCINHA BARBALHO'!F22</f>
        <v>76</v>
      </c>
      <c r="I139" s="61" t="s">
        <v>159</v>
      </c>
      <c r="J139" s="127">
        <f>'MOCINHA BARBALHO'!I22</f>
        <v>9379.0400000000009</v>
      </c>
    </row>
    <row r="140" spans="1:11" ht="1.05" customHeight="1" thickTop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</row>
    <row r="141" spans="1:11" ht="18" customHeight="1">
      <c r="A141" s="48" t="s">
        <v>329</v>
      </c>
      <c r="B141" s="49" t="s">
        <v>9</v>
      </c>
      <c r="C141" s="48" t="s">
        <v>10</v>
      </c>
      <c r="D141" s="48" t="s">
        <v>11</v>
      </c>
      <c r="E141" s="159" t="s">
        <v>150</v>
      </c>
      <c r="F141" s="159"/>
      <c r="G141" s="50" t="s">
        <v>12</v>
      </c>
      <c r="H141" s="49" t="s">
        <v>13</v>
      </c>
      <c r="I141" s="49" t="s">
        <v>14</v>
      </c>
      <c r="J141" s="49" t="s">
        <v>16</v>
      </c>
    </row>
    <row r="142" spans="1:11" ht="39" customHeight="1">
      <c r="A142" s="51" t="s">
        <v>151</v>
      </c>
      <c r="B142" s="52" t="s">
        <v>330</v>
      </c>
      <c r="C142" s="51" t="s">
        <v>22</v>
      </c>
      <c r="D142" s="51" t="s">
        <v>331</v>
      </c>
      <c r="E142" s="160" t="s">
        <v>205</v>
      </c>
      <c r="F142" s="160"/>
      <c r="G142" s="53" t="s">
        <v>71</v>
      </c>
      <c r="H142" s="54">
        <v>1</v>
      </c>
      <c r="I142" s="55">
        <f>'MOCINHA BARBALHO'!G23</f>
        <v>96.04</v>
      </c>
      <c r="J142" s="128">
        <f t="shared" ref="J142:J146" si="14">ROUND(H142*I142,2)</f>
        <v>96.04</v>
      </c>
      <c r="K142" s="143"/>
    </row>
    <row r="143" spans="1:11" ht="24" customHeight="1">
      <c r="A143" s="56" t="s">
        <v>153</v>
      </c>
      <c r="B143" s="57" t="s">
        <v>411</v>
      </c>
      <c r="C143" s="56" t="s">
        <v>29</v>
      </c>
      <c r="D143" s="56" t="s">
        <v>412</v>
      </c>
      <c r="E143" s="161" t="s">
        <v>152</v>
      </c>
      <c r="F143" s="161"/>
      <c r="G143" s="58" t="s">
        <v>24</v>
      </c>
      <c r="H143" s="59">
        <v>0.5</v>
      </c>
      <c r="I143" s="60">
        <v>25.18</v>
      </c>
      <c r="J143" s="128">
        <f t="shared" si="14"/>
        <v>12.59</v>
      </c>
    </row>
    <row r="144" spans="1:11" ht="24" customHeight="1">
      <c r="A144" s="56" t="s">
        <v>153</v>
      </c>
      <c r="B144" s="57" t="s">
        <v>156</v>
      </c>
      <c r="C144" s="56" t="s">
        <v>29</v>
      </c>
      <c r="D144" s="56" t="s">
        <v>157</v>
      </c>
      <c r="E144" s="161" t="s">
        <v>152</v>
      </c>
      <c r="F144" s="161"/>
      <c r="G144" s="58" t="s">
        <v>24</v>
      </c>
      <c r="H144" s="59">
        <v>1</v>
      </c>
      <c r="I144" s="60">
        <v>20.420000000000002</v>
      </c>
      <c r="J144" s="128">
        <f t="shared" si="14"/>
        <v>20.420000000000002</v>
      </c>
    </row>
    <row r="145" spans="1:10" ht="25.95" customHeight="1">
      <c r="A145" s="64" t="s">
        <v>164</v>
      </c>
      <c r="B145" s="65" t="s">
        <v>413</v>
      </c>
      <c r="C145" s="64" t="s">
        <v>29</v>
      </c>
      <c r="D145" s="64" t="s">
        <v>414</v>
      </c>
      <c r="E145" s="157" t="s">
        <v>167</v>
      </c>
      <c r="F145" s="157"/>
      <c r="G145" s="66" t="s">
        <v>163</v>
      </c>
      <c r="H145" s="67">
        <v>0.13</v>
      </c>
      <c r="I145" s="68">
        <v>129</v>
      </c>
      <c r="J145" s="128">
        <f t="shared" si="14"/>
        <v>16.77</v>
      </c>
    </row>
    <row r="146" spans="1:10" ht="39" customHeight="1">
      <c r="A146" s="64" t="s">
        <v>164</v>
      </c>
      <c r="B146" s="65" t="s">
        <v>415</v>
      </c>
      <c r="C146" s="64" t="s">
        <v>209</v>
      </c>
      <c r="D146" s="64" t="s">
        <v>416</v>
      </c>
      <c r="E146" s="157" t="s">
        <v>167</v>
      </c>
      <c r="F146" s="157"/>
      <c r="G146" s="66" t="s">
        <v>211</v>
      </c>
      <c r="H146" s="67">
        <v>18</v>
      </c>
      <c r="I146" s="68">
        <v>2.57</v>
      </c>
      <c r="J146" s="128">
        <f t="shared" si="14"/>
        <v>46.26</v>
      </c>
    </row>
    <row r="147" spans="1:10" ht="30" customHeight="1" thickBot="1">
      <c r="A147" s="61"/>
      <c r="B147" s="61"/>
      <c r="C147" s="61"/>
      <c r="D147" s="61"/>
      <c r="E147" s="61"/>
      <c r="F147" s="61"/>
      <c r="G147" s="61" t="s">
        <v>158</v>
      </c>
      <c r="H147" s="62">
        <f>'MOCINHA BARBALHO'!F23</f>
        <v>72.2</v>
      </c>
      <c r="I147" s="61" t="s">
        <v>159</v>
      </c>
      <c r="J147" s="127">
        <f>'MOCINHA BARBALHO'!I23</f>
        <v>8520.61</v>
      </c>
    </row>
    <row r="148" spans="1:10" ht="1.05" customHeight="1" thickTop="1">
      <c r="A148" s="63"/>
      <c r="B148" s="63"/>
      <c r="C148" s="63"/>
      <c r="D148" s="63"/>
      <c r="E148" s="63"/>
      <c r="F148" s="63"/>
      <c r="G148" s="63"/>
      <c r="H148" s="63"/>
      <c r="I148" s="63"/>
      <c r="J148" s="129"/>
    </row>
    <row r="149" spans="1:10" ht="24" customHeight="1">
      <c r="A149" s="45" t="s">
        <v>50</v>
      </c>
      <c r="B149" s="45"/>
      <c r="C149" s="45"/>
      <c r="D149" s="45" t="s">
        <v>332</v>
      </c>
      <c r="E149" s="45"/>
      <c r="F149" s="158"/>
      <c r="G149" s="158"/>
      <c r="H149" s="46"/>
      <c r="I149" s="45"/>
      <c r="J149" s="130">
        <f>SUM(J155,J163,J170,J177)</f>
        <v>2590.8500000000004</v>
      </c>
    </row>
    <row r="150" spans="1:10" ht="18" customHeight="1">
      <c r="A150" s="48" t="s">
        <v>52</v>
      </c>
      <c r="B150" s="49" t="s">
        <v>9</v>
      </c>
      <c r="C150" s="48" t="s">
        <v>10</v>
      </c>
      <c r="D150" s="48" t="s">
        <v>11</v>
      </c>
      <c r="E150" s="159" t="s">
        <v>150</v>
      </c>
      <c r="F150" s="159"/>
      <c r="G150" s="50" t="s">
        <v>12</v>
      </c>
      <c r="H150" s="49" t="s">
        <v>13</v>
      </c>
      <c r="I150" s="49" t="s">
        <v>14</v>
      </c>
      <c r="J150" s="49" t="s">
        <v>16</v>
      </c>
    </row>
    <row r="151" spans="1:10" ht="64.95" customHeight="1">
      <c r="A151" s="51" t="s">
        <v>151</v>
      </c>
      <c r="B151" s="52" t="s">
        <v>333</v>
      </c>
      <c r="C151" s="51" t="s">
        <v>29</v>
      </c>
      <c r="D151" s="51" t="s">
        <v>334</v>
      </c>
      <c r="E151" s="160" t="s">
        <v>244</v>
      </c>
      <c r="F151" s="160"/>
      <c r="G151" s="53" t="s">
        <v>31</v>
      </c>
      <c r="H151" s="54">
        <v>1</v>
      </c>
      <c r="I151" s="55">
        <f>'MOCINHA BARBALHO'!G25</f>
        <v>40.24</v>
      </c>
      <c r="J151" s="128">
        <f t="shared" ref="J151:J154" si="15">ROUND(H151*I151,2)</f>
        <v>40.24</v>
      </c>
    </row>
    <row r="152" spans="1:10" ht="52.05" customHeight="1">
      <c r="A152" s="56" t="s">
        <v>153</v>
      </c>
      <c r="B152" s="57" t="s">
        <v>417</v>
      </c>
      <c r="C152" s="56" t="s">
        <v>29</v>
      </c>
      <c r="D152" s="56" t="s">
        <v>418</v>
      </c>
      <c r="E152" s="161" t="s">
        <v>152</v>
      </c>
      <c r="F152" s="161"/>
      <c r="G152" s="58" t="s">
        <v>163</v>
      </c>
      <c r="H152" s="59">
        <v>3.7600000000000001E-2</v>
      </c>
      <c r="I152" s="60">
        <v>660.42</v>
      </c>
      <c r="J152" s="128">
        <f t="shared" si="15"/>
        <v>24.83</v>
      </c>
    </row>
    <row r="153" spans="1:10" ht="24" customHeight="1">
      <c r="A153" s="56" t="s">
        <v>153</v>
      </c>
      <c r="B153" s="57" t="s">
        <v>154</v>
      </c>
      <c r="C153" s="56" t="s">
        <v>29</v>
      </c>
      <c r="D153" s="56" t="s">
        <v>155</v>
      </c>
      <c r="E153" s="161" t="s">
        <v>152</v>
      </c>
      <c r="F153" s="161"/>
      <c r="G153" s="58" t="s">
        <v>24</v>
      </c>
      <c r="H153" s="59">
        <v>0.47</v>
      </c>
      <c r="I153" s="60">
        <v>25.38</v>
      </c>
      <c r="J153" s="128">
        <f t="shared" si="15"/>
        <v>11.93</v>
      </c>
    </row>
    <row r="154" spans="1:10" ht="24" customHeight="1">
      <c r="A154" s="56" t="s">
        <v>153</v>
      </c>
      <c r="B154" s="57" t="s">
        <v>156</v>
      </c>
      <c r="C154" s="56" t="s">
        <v>29</v>
      </c>
      <c r="D154" s="56" t="s">
        <v>157</v>
      </c>
      <c r="E154" s="161" t="s">
        <v>152</v>
      </c>
      <c r="F154" s="161"/>
      <c r="G154" s="58" t="s">
        <v>24</v>
      </c>
      <c r="H154" s="59">
        <v>0.17100000000000001</v>
      </c>
      <c r="I154" s="60">
        <v>20.420000000000002</v>
      </c>
      <c r="J154" s="128">
        <f t="shared" si="15"/>
        <v>3.49</v>
      </c>
    </row>
    <row r="155" spans="1:10" ht="30" customHeight="1" thickBot="1">
      <c r="A155" s="61"/>
      <c r="B155" s="61"/>
      <c r="C155" s="61"/>
      <c r="D155" s="61"/>
      <c r="E155" s="61"/>
      <c r="F155" s="61"/>
      <c r="G155" s="61" t="s">
        <v>158</v>
      </c>
      <c r="H155" s="62">
        <f>'MOCINHA BARBALHO'!F25</f>
        <v>28.5</v>
      </c>
      <c r="I155" s="61" t="s">
        <v>159</v>
      </c>
      <c r="J155" s="127">
        <f>'MOCINHA BARBALHO'!I25</f>
        <v>1409.24</v>
      </c>
    </row>
    <row r="156" spans="1:10" ht="1.05" customHeight="1" thickTop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</row>
    <row r="157" spans="1:10" ht="18" customHeight="1">
      <c r="A157" s="48" t="s">
        <v>56</v>
      </c>
      <c r="B157" s="49" t="s">
        <v>9</v>
      </c>
      <c r="C157" s="48" t="s">
        <v>10</v>
      </c>
      <c r="D157" s="48" t="s">
        <v>11</v>
      </c>
      <c r="E157" s="159" t="s">
        <v>150</v>
      </c>
      <c r="F157" s="159"/>
      <c r="G157" s="50" t="s">
        <v>12</v>
      </c>
      <c r="H157" s="49" t="s">
        <v>13</v>
      </c>
      <c r="I157" s="49" t="s">
        <v>14</v>
      </c>
      <c r="J157" s="49" t="s">
        <v>16</v>
      </c>
    </row>
    <row r="158" spans="1:10" ht="25.95" customHeight="1">
      <c r="A158" s="51" t="s">
        <v>151</v>
      </c>
      <c r="B158" s="52" t="s">
        <v>335</v>
      </c>
      <c r="C158" s="51" t="s">
        <v>29</v>
      </c>
      <c r="D158" s="51" t="s">
        <v>336</v>
      </c>
      <c r="E158" s="160" t="s">
        <v>184</v>
      </c>
      <c r="F158" s="160"/>
      <c r="G158" s="53" t="s">
        <v>31</v>
      </c>
      <c r="H158" s="54">
        <v>1</v>
      </c>
      <c r="I158" s="55">
        <f>'MOCINHA BARBALHO'!G26</f>
        <v>14.34</v>
      </c>
      <c r="J158" s="128">
        <f t="shared" ref="J158:J162" si="16">ROUND(H158*I158,2)</f>
        <v>14.34</v>
      </c>
    </row>
    <row r="159" spans="1:10" ht="24" customHeight="1">
      <c r="A159" s="56" t="s">
        <v>153</v>
      </c>
      <c r="B159" s="57" t="s">
        <v>185</v>
      </c>
      <c r="C159" s="56" t="s">
        <v>29</v>
      </c>
      <c r="D159" s="56" t="s">
        <v>186</v>
      </c>
      <c r="E159" s="161" t="s">
        <v>152</v>
      </c>
      <c r="F159" s="161"/>
      <c r="G159" s="58" t="s">
        <v>24</v>
      </c>
      <c r="H159" s="59">
        <v>0.312</v>
      </c>
      <c r="I159" s="60">
        <v>26.6</v>
      </c>
      <c r="J159" s="128">
        <f t="shared" si="16"/>
        <v>8.3000000000000007</v>
      </c>
    </row>
    <row r="160" spans="1:10" ht="24" customHeight="1">
      <c r="A160" s="56" t="s">
        <v>153</v>
      </c>
      <c r="B160" s="57" t="s">
        <v>156</v>
      </c>
      <c r="C160" s="56" t="s">
        <v>29</v>
      </c>
      <c r="D160" s="56" t="s">
        <v>157</v>
      </c>
      <c r="E160" s="161" t="s">
        <v>152</v>
      </c>
      <c r="F160" s="161"/>
      <c r="G160" s="58" t="s">
        <v>24</v>
      </c>
      <c r="H160" s="59">
        <v>0.114</v>
      </c>
      <c r="I160" s="60">
        <v>20.420000000000002</v>
      </c>
      <c r="J160" s="128">
        <f t="shared" si="16"/>
        <v>2.33</v>
      </c>
    </row>
    <row r="161" spans="1:10" ht="25.95" customHeight="1">
      <c r="A161" s="64" t="s">
        <v>164</v>
      </c>
      <c r="B161" s="65" t="s">
        <v>419</v>
      </c>
      <c r="C161" s="64" t="s">
        <v>29</v>
      </c>
      <c r="D161" s="64" t="s">
        <v>420</v>
      </c>
      <c r="E161" s="157" t="s">
        <v>167</v>
      </c>
      <c r="F161" s="157"/>
      <c r="G161" s="66" t="s">
        <v>59</v>
      </c>
      <c r="H161" s="67">
        <v>0.1</v>
      </c>
      <c r="I161" s="68">
        <v>0.79</v>
      </c>
      <c r="J161" s="128">
        <f t="shared" si="16"/>
        <v>0.08</v>
      </c>
    </row>
    <row r="162" spans="1:10" ht="25.95" customHeight="1">
      <c r="A162" s="64" t="s">
        <v>164</v>
      </c>
      <c r="B162" s="65" t="s">
        <v>421</v>
      </c>
      <c r="C162" s="64" t="s">
        <v>29</v>
      </c>
      <c r="D162" s="64" t="s">
        <v>422</v>
      </c>
      <c r="E162" s="157" t="s">
        <v>167</v>
      </c>
      <c r="F162" s="157"/>
      <c r="G162" s="66" t="s">
        <v>126</v>
      </c>
      <c r="H162" s="67">
        <v>1.5550200000000001</v>
      </c>
      <c r="I162" s="68">
        <v>2.36</v>
      </c>
      <c r="J162" s="128">
        <f t="shared" si="16"/>
        <v>3.67</v>
      </c>
    </row>
    <row r="163" spans="1:10" ht="30" customHeight="1" thickBot="1">
      <c r="A163" s="61"/>
      <c r="B163" s="61"/>
      <c r="C163" s="61"/>
      <c r="D163" s="61"/>
      <c r="E163" s="61"/>
      <c r="F163" s="61"/>
      <c r="G163" s="61" t="s">
        <v>158</v>
      </c>
      <c r="H163" s="62">
        <f>'MOCINHA BARBALHO'!F26</f>
        <v>28.5</v>
      </c>
      <c r="I163" s="61" t="s">
        <v>159</v>
      </c>
      <c r="J163" s="127">
        <f>'MOCINHA BARBALHO'!I26</f>
        <v>502.2</v>
      </c>
    </row>
    <row r="164" spans="1:10" ht="1.05" customHeight="1" thickTop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</row>
    <row r="165" spans="1:10" ht="18" customHeight="1">
      <c r="A165" s="48" t="s">
        <v>60</v>
      </c>
      <c r="B165" s="49" t="s">
        <v>9</v>
      </c>
      <c r="C165" s="48" t="s">
        <v>10</v>
      </c>
      <c r="D165" s="48" t="s">
        <v>11</v>
      </c>
      <c r="E165" s="159" t="s">
        <v>150</v>
      </c>
      <c r="F165" s="159"/>
      <c r="G165" s="50" t="s">
        <v>12</v>
      </c>
      <c r="H165" s="49" t="s">
        <v>13</v>
      </c>
      <c r="I165" s="49" t="s">
        <v>14</v>
      </c>
      <c r="J165" s="49" t="s">
        <v>16</v>
      </c>
    </row>
    <row r="166" spans="1:10" ht="25.95" customHeight="1">
      <c r="A166" s="51" t="s">
        <v>151</v>
      </c>
      <c r="B166" s="52" t="s">
        <v>337</v>
      </c>
      <c r="C166" s="51" t="s">
        <v>29</v>
      </c>
      <c r="D166" s="51" t="s">
        <v>338</v>
      </c>
      <c r="E166" s="160" t="s">
        <v>184</v>
      </c>
      <c r="F166" s="160"/>
      <c r="G166" s="53" t="s">
        <v>31</v>
      </c>
      <c r="H166" s="54">
        <v>1</v>
      </c>
      <c r="I166" s="55">
        <f>'MOCINHA BARBALHO'!G27</f>
        <v>3.19</v>
      </c>
      <c r="J166" s="128">
        <f t="shared" ref="J166:J169" si="17">ROUND(H166*I166,2)</f>
        <v>3.19</v>
      </c>
    </row>
    <row r="167" spans="1:10" ht="24" customHeight="1">
      <c r="A167" s="56" t="s">
        <v>153</v>
      </c>
      <c r="B167" s="57" t="s">
        <v>185</v>
      </c>
      <c r="C167" s="56" t="s">
        <v>29</v>
      </c>
      <c r="D167" s="56" t="s">
        <v>186</v>
      </c>
      <c r="E167" s="161" t="s">
        <v>152</v>
      </c>
      <c r="F167" s="161"/>
      <c r="G167" s="58" t="s">
        <v>24</v>
      </c>
      <c r="H167" s="59">
        <v>5.3999999999999999E-2</v>
      </c>
      <c r="I167" s="60">
        <v>26.6</v>
      </c>
      <c r="J167" s="128">
        <f t="shared" si="17"/>
        <v>1.44</v>
      </c>
    </row>
    <row r="168" spans="1:10" ht="24" customHeight="1">
      <c r="A168" s="56" t="s">
        <v>153</v>
      </c>
      <c r="B168" s="57" t="s">
        <v>156</v>
      </c>
      <c r="C168" s="56" t="s">
        <v>29</v>
      </c>
      <c r="D168" s="56" t="s">
        <v>157</v>
      </c>
      <c r="E168" s="161" t="s">
        <v>152</v>
      </c>
      <c r="F168" s="161"/>
      <c r="G168" s="58" t="s">
        <v>24</v>
      </c>
      <c r="H168" s="59">
        <v>1.4E-2</v>
      </c>
      <c r="I168" s="60">
        <v>20.420000000000002</v>
      </c>
      <c r="J168" s="128">
        <f t="shared" si="17"/>
        <v>0.28999999999999998</v>
      </c>
    </row>
    <row r="169" spans="1:10" ht="24" customHeight="1">
      <c r="A169" s="64" t="s">
        <v>164</v>
      </c>
      <c r="B169" s="65" t="s">
        <v>423</v>
      </c>
      <c r="C169" s="64" t="s">
        <v>29</v>
      </c>
      <c r="D169" s="64" t="s">
        <v>424</v>
      </c>
      <c r="E169" s="157" t="s">
        <v>167</v>
      </c>
      <c r="F169" s="157"/>
      <c r="G169" s="66" t="s">
        <v>175</v>
      </c>
      <c r="H169" s="67">
        <v>0.16</v>
      </c>
      <c r="I169" s="68">
        <v>9.2899999999999991</v>
      </c>
      <c r="J169" s="128">
        <f t="shared" si="17"/>
        <v>1.49</v>
      </c>
    </row>
    <row r="170" spans="1:10" ht="30" customHeight="1" thickBot="1">
      <c r="A170" s="61"/>
      <c r="B170" s="61"/>
      <c r="C170" s="61"/>
      <c r="D170" s="61"/>
      <c r="E170" s="61"/>
      <c r="F170" s="61"/>
      <c r="G170" s="61" t="s">
        <v>158</v>
      </c>
      <c r="H170" s="62">
        <f>'MOCINHA BARBALHO'!F27</f>
        <v>28.5</v>
      </c>
      <c r="I170" s="61" t="s">
        <v>159</v>
      </c>
      <c r="J170" s="127">
        <f>'MOCINHA BARBALHO'!I27</f>
        <v>111.72</v>
      </c>
    </row>
    <row r="171" spans="1:10" ht="1.05" customHeight="1" thickTop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</row>
    <row r="172" spans="1:10" ht="18" customHeight="1">
      <c r="A172" s="48" t="s">
        <v>63</v>
      </c>
      <c r="B172" s="49" t="s">
        <v>9</v>
      </c>
      <c r="C172" s="48" t="s">
        <v>10</v>
      </c>
      <c r="D172" s="48" t="s">
        <v>11</v>
      </c>
      <c r="E172" s="159" t="s">
        <v>150</v>
      </c>
      <c r="F172" s="159"/>
      <c r="G172" s="50" t="s">
        <v>12</v>
      </c>
      <c r="H172" s="49" t="s">
        <v>13</v>
      </c>
      <c r="I172" s="49" t="s">
        <v>14</v>
      </c>
      <c r="J172" s="49" t="s">
        <v>16</v>
      </c>
    </row>
    <row r="173" spans="1:10" ht="25.95" customHeight="1">
      <c r="A173" s="51" t="s">
        <v>151</v>
      </c>
      <c r="B173" s="52" t="s">
        <v>339</v>
      </c>
      <c r="C173" s="51" t="s">
        <v>29</v>
      </c>
      <c r="D173" s="51" t="s">
        <v>340</v>
      </c>
      <c r="E173" s="160" t="s">
        <v>184</v>
      </c>
      <c r="F173" s="160"/>
      <c r="G173" s="53" t="s">
        <v>31</v>
      </c>
      <c r="H173" s="54">
        <v>1</v>
      </c>
      <c r="I173" s="55">
        <f>'MOCINHA BARBALHO'!G28</f>
        <v>16.21</v>
      </c>
      <c r="J173" s="128">
        <f t="shared" ref="J173:J176" si="18">ROUND(H173*I173,2)</f>
        <v>16.21</v>
      </c>
    </row>
    <row r="174" spans="1:10" ht="24" customHeight="1">
      <c r="A174" s="56" t="s">
        <v>153</v>
      </c>
      <c r="B174" s="57" t="s">
        <v>185</v>
      </c>
      <c r="C174" s="56" t="s">
        <v>29</v>
      </c>
      <c r="D174" s="56" t="s">
        <v>186</v>
      </c>
      <c r="E174" s="161" t="s">
        <v>152</v>
      </c>
      <c r="F174" s="161"/>
      <c r="G174" s="58" t="s">
        <v>24</v>
      </c>
      <c r="H174" s="59">
        <v>0.34399999999999997</v>
      </c>
      <c r="I174" s="60">
        <v>26.6</v>
      </c>
      <c r="J174" s="128">
        <f t="shared" si="18"/>
        <v>9.15</v>
      </c>
    </row>
    <row r="175" spans="1:10" ht="24" customHeight="1">
      <c r="A175" s="56" t="s">
        <v>153</v>
      </c>
      <c r="B175" s="57" t="s">
        <v>156</v>
      </c>
      <c r="C175" s="56" t="s">
        <v>29</v>
      </c>
      <c r="D175" s="56" t="s">
        <v>157</v>
      </c>
      <c r="E175" s="161" t="s">
        <v>152</v>
      </c>
      <c r="F175" s="161"/>
      <c r="G175" s="58" t="s">
        <v>24</v>
      </c>
      <c r="H175" s="59">
        <v>8.5999999999999993E-2</v>
      </c>
      <c r="I175" s="60">
        <v>20.420000000000002</v>
      </c>
      <c r="J175" s="128">
        <f t="shared" si="18"/>
        <v>1.76</v>
      </c>
    </row>
    <row r="176" spans="1:10" ht="24" customHeight="1">
      <c r="A176" s="64" t="s">
        <v>164</v>
      </c>
      <c r="B176" s="65" t="s">
        <v>425</v>
      </c>
      <c r="C176" s="64" t="s">
        <v>29</v>
      </c>
      <c r="D176" s="64" t="s">
        <v>426</v>
      </c>
      <c r="E176" s="157" t="s">
        <v>167</v>
      </c>
      <c r="F176" s="157"/>
      <c r="G176" s="66" t="s">
        <v>175</v>
      </c>
      <c r="H176" s="67">
        <v>0.2</v>
      </c>
      <c r="I176" s="68">
        <v>26.59</v>
      </c>
      <c r="J176" s="128">
        <f t="shared" si="18"/>
        <v>5.32</v>
      </c>
    </row>
    <row r="177" spans="1:11" ht="30" customHeight="1" thickBot="1">
      <c r="A177" s="61"/>
      <c r="B177" s="61"/>
      <c r="C177" s="61"/>
      <c r="D177" s="61"/>
      <c r="E177" s="61"/>
      <c r="F177" s="61"/>
      <c r="G177" s="61" t="s">
        <v>158</v>
      </c>
      <c r="H177" s="62">
        <f>'MOCINHA BARBALHO'!F28</f>
        <v>28.5</v>
      </c>
      <c r="I177" s="61" t="s">
        <v>159</v>
      </c>
      <c r="J177" s="127">
        <f>'MOCINHA BARBALHO'!I28</f>
        <v>567.69000000000005</v>
      </c>
    </row>
    <row r="178" spans="1:11" ht="1.05" customHeight="1" thickTop="1">
      <c r="A178" s="63"/>
      <c r="B178" s="63"/>
      <c r="C178" s="63"/>
      <c r="D178" s="63"/>
      <c r="E178" s="63"/>
      <c r="F178" s="63"/>
      <c r="G178" s="63"/>
      <c r="H178" s="63"/>
      <c r="I178" s="63"/>
      <c r="J178" s="129"/>
    </row>
    <row r="179" spans="1:11" ht="24" customHeight="1">
      <c r="A179" s="45" t="s">
        <v>66</v>
      </c>
      <c r="B179" s="45"/>
      <c r="C179" s="45"/>
      <c r="D179" s="45" t="s">
        <v>42</v>
      </c>
      <c r="E179" s="45"/>
      <c r="F179" s="158"/>
      <c r="G179" s="158"/>
      <c r="H179" s="46"/>
      <c r="I179" s="45"/>
      <c r="J179" s="130">
        <f>SUM(J188,J198,J208,J216)</f>
        <v>2952.39</v>
      </c>
    </row>
    <row r="180" spans="1:11" ht="18" customHeight="1">
      <c r="A180" s="48" t="s">
        <v>68</v>
      </c>
      <c r="B180" s="49" t="s">
        <v>9</v>
      </c>
      <c r="C180" s="48" t="s">
        <v>10</v>
      </c>
      <c r="D180" s="48" t="s">
        <v>11</v>
      </c>
      <c r="E180" s="159" t="s">
        <v>150</v>
      </c>
      <c r="F180" s="159"/>
      <c r="G180" s="50" t="s">
        <v>12</v>
      </c>
      <c r="H180" s="49" t="s">
        <v>13</v>
      </c>
      <c r="I180" s="49" t="s">
        <v>14</v>
      </c>
      <c r="J180" s="49" t="s">
        <v>16</v>
      </c>
    </row>
    <row r="181" spans="1:11" ht="25.95" customHeight="1">
      <c r="A181" s="51" t="s">
        <v>151</v>
      </c>
      <c r="B181" s="52" t="s">
        <v>44</v>
      </c>
      <c r="C181" s="51" t="s">
        <v>22</v>
      </c>
      <c r="D181" s="51" t="s">
        <v>45</v>
      </c>
      <c r="E181" s="160" t="s">
        <v>152</v>
      </c>
      <c r="F181" s="160"/>
      <c r="G181" s="53" t="s">
        <v>46</v>
      </c>
      <c r="H181" s="54">
        <v>1</v>
      </c>
      <c r="I181" s="55">
        <f>'MOCINHA BARBALHO'!G30</f>
        <v>123.61</v>
      </c>
      <c r="J181" s="128">
        <f t="shared" ref="J181:J187" si="19">ROUND(H181*I181,2)</f>
        <v>123.61</v>
      </c>
      <c r="K181" s="143"/>
    </row>
    <row r="182" spans="1:11" ht="24" customHeight="1">
      <c r="A182" s="56" t="s">
        <v>153</v>
      </c>
      <c r="B182" s="57" t="s">
        <v>193</v>
      </c>
      <c r="C182" s="56" t="s">
        <v>29</v>
      </c>
      <c r="D182" s="56" t="s">
        <v>194</v>
      </c>
      <c r="E182" s="161" t="s">
        <v>152</v>
      </c>
      <c r="F182" s="161"/>
      <c r="G182" s="58" t="s">
        <v>24</v>
      </c>
      <c r="H182" s="59">
        <v>2</v>
      </c>
      <c r="I182" s="60">
        <v>25.69</v>
      </c>
      <c r="J182" s="128">
        <f t="shared" si="19"/>
        <v>51.38</v>
      </c>
      <c r="K182" s="143"/>
    </row>
    <row r="183" spans="1:11" ht="24" customHeight="1">
      <c r="A183" s="56" t="s">
        <v>153</v>
      </c>
      <c r="B183" s="57" t="s">
        <v>156</v>
      </c>
      <c r="C183" s="56" t="s">
        <v>29</v>
      </c>
      <c r="D183" s="56" t="s">
        <v>157</v>
      </c>
      <c r="E183" s="161" t="s">
        <v>152</v>
      </c>
      <c r="F183" s="161"/>
      <c r="G183" s="58" t="s">
        <v>24</v>
      </c>
      <c r="H183" s="59">
        <v>1</v>
      </c>
      <c r="I183" s="60">
        <v>20.420000000000002</v>
      </c>
      <c r="J183" s="128">
        <f t="shared" si="19"/>
        <v>20.420000000000002</v>
      </c>
    </row>
    <row r="184" spans="1:11" ht="25.95" customHeight="1">
      <c r="A184" s="64" t="s">
        <v>164</v>
      </c>
      <c r="B184" s="65" t="s">
        <v>195</v>
      </c>
      <c r="C184" s="64" t="s">
        <v>29</v>
      </c>
      <c r="D184" s="64" t="s">
        <v>196</v>
      </c>
      <c r="E184" s="157" t="s">
        <v>167</v>
      </c>
      <c r="F184" s="157"/>
      <c r="G184" s="66" t="s">
        <v>126</v>
      </c>
      <c r="H184" s="67">
        <v>6.0000000000000001E-3</v>
      </c>
      <c r="I184" s="68">
        <v>27</v>
      </c>
      <c r="J184" s="128">
        <f t="shared" si="19"/>
        <v>0.16</v>
      </c>
    </row>
    <row r="185" spans="1:11" ht="25.95" customHeight="1">
      <c r="A185" s="64" t="s">
        <v>164</v>
      </c>
      <c r="B185" s="65" t="s">
        <v>197</v>
      </c>
      <c r="C185" s="64" t="s">
        <v>29</v>
      </c>
      <c r="D185" s="64" t="s">
        <v>198</v>
      </c>
      <c r="E185" s="157" t="s">
        <v>167</v>
      </c>
      <c r="F185" s="157"/>
      <c r="G185" s="66" t="s">
        <v>40</v>
      </c>
      <c r="H185" s="67">
        <v>12</v>
      </c>
      <c r="I185" s="68">
        <v>2.6</v>
      </c>
      <c r="J185" s="128">
        <f t="shared" si="19"/>
        <v>31.2</v>
      </c>
    </row>
    <row r="186" spans="1:11" ht="25.95" customHeight="1">
      <c r="A186" s="64" t="s">
        <v>164</v>
      </c>
      <c r="B186" s="65" t="s">
        <v>199</v>
      </c>
      <c r="C186" s="64" t="s">
        <v>29</v>
      </c>
      <c r="D186" s="64" t="s">
        <v>200</v>
      </c>
      <c r="E186" s="157" t="s">
        <v>167</v>
      </c>
      <c r="F186" s="157"/>
      <c r="G186" s="66" t="s">
        <v>59</v>
      </c>
      <c r="H186" s="67">
        <v>0.5</v>
      </c>
      <c r="I186" s="68">
        <v>23.96</v>
      </c>
      <c r="J186" s="128">
        <f t="shared" si="19"/>
        <v>11.98</v>
      </c>
    </row>
    <row r="187" spans="1:11" ht="24" customHeight="1">
      <c r="A187" s="64" t="s">
        <v>164</v>
      </c>
      <c r="B187" s="65" t="s">
        <v>201</v>
      </c>
      <c r="C187" s="64" t="s">
        <v>29</v>
      </c>
      <c r="D187" s="64" t="s">
        <v>202</v>
      </c>
      <c r="E187" s="157" t="s">
        <v>167</v>
      </c>
      <c r="F187" s="157"/>
      <c r="G187" s="66" t="s">
        <v>59</v>
      </c>
      <c r="H187" s="67">
        <v>1</v>
      </c>
      <c r="I187" s="68">
        <v>8.4700000000000006</v>
      </c>
      <c r="J187" s="128">
        <f t="shared" si="19"/>
        <v>8.4700000000000006</v>
      </c>
    </row>
    <row r="188" spans="1:11" ht="30" customHeight="1" thickBot="1">
      <c r="A188" s="61"/>
      <c r="B188" s="61"/>
      <c r="C188" s="61"/>
      <c r="D188" s="61"/>
      <c r="E188" s="61"/>
      <c r="F188" s="61"/>
      <c r="G188" s="61" t="s">
        <v>158</v>
      </c>
      <c r="H188" s="62">
        <f>'MOCINHA BARBALHO'!F30</f>
        <v>5</v>
      </c>
      <c r="I188" s="61" t="s">
        <v>159</v>
      </c>
      <c r="J188" s="127">
        <f>'MOCINHA BARBALHO'!I30</f>
        <v>759.46</v>
      </c>
    </row>
    <row r="189" spans="1:11" ht="1.05" customHeight="1" thickTop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</row>
    <row r="190" spans="1:11" ht="18" customHeight="1">
      <c r="A190" s="48" t="s">
        <v>72</v>
      </c>
      <c r="B190" s="49" t="s">
        <v>9</v>
      </c>
      <c r="C190" s="48" t="s">
        <v>10</v>
      </c>
      <c r="D190" s="48" t="s">
        <v>11</v>
      </c>
      <c r="E190" s="159" t="s">
        <v>150</v>
      </c>
      <c r="F190" s="159"/>
      <c r="G190" s="50" t="s">
        <v>12</v>
      </c>
      <c r="H190" s="49" t="s">
        <v>13</v>
      </c>
      <c r="I190" s="49" t="s">
        <v>14</v>
      </c>
      <c r="J190" s="49" t="s">
        <v>16</v>
      </c>
    </row>
    <row r="191" spans="1:11" ht="25.95" customHeight="1">
      <c r="A191" s="51" t="s">
        <v>151</v>
      </c>
      <c r="B191" s="52" t="s">
        <v>48</v>
      </c>
      <c r="C191" s="51" t="s">
        <v>22</v>
      </c>
      <c r="D191" s="51" t="s">
        <v>49</v>
      </c>
      <c r="E191" s="160" t="s">
        <v>152</v>
      </c>
      <c r="F191" s="160"/>
      <c r="G191" s="53" t="s">
        <v>46</v>
      </c>
      <c r="H191" s="54">
        <v>1</v>
      </c>
      <c r="I191" s="55">
        <f>'MOCINHA BARBALHO'!G31</f>
        <v>128.58000000000001</v>
      </c>
      <c r="J191" s="128">
        <f t="shared" ref="J191:J197" si="20">ROUND(H191*I191,2)</f>
        <v>128.58000000000001</v>
      </c>
      <c r="K191" s="143"/>
    </row>
    <row r="192" spans="1:11" ht="24" customHeight="1">
      <c r="A192" s="56" t="s">
        <v>153</v>
      </c>
      <c r="B192" s="57" t="s">
        <v>193</v>
      </c>
      <c r="C192" s="56" t="s">
        <v>29</v>
      </c>
      <c r="D192" s="56" t="s">
        <v>194</v>
      </c>
      <c r="E192" s="161" t="s">
        <v>152</v>
      </c>
      <c r="F192" s="161"/>
      <c r="G192" s="58" t="s">
        <v>24</v>
      </c>
      <c r="H192" s="59">
        <v>2</v>
      </c>
      <c r="I192" s="60">
        <v>25.69</v>
      </c>
      <c r="J192" s="128">
        <f t="shared" si="20"/>
        <v>51.38</v>
      </c>
      <c r="K192" s="143"/>
    </row>
    <row r="193" spans="1:11" ht="24" customHeight="1">
      <c r="A193" s="56" t="s">
        <v>153</v>
      </c>
      <c r="B193" s="57" t="s">
        <v>156</v>
      </c>
      <c r="C193" s="56" t="s">
        <v>29</v>
      </c>
      <c r="D193" s="56" t="s">
        <v>157</v>
      </c>
      <c r="E193" s="161" t="s">
        <v>152</v>
      </c>
      <c r="F193" s="161"/>
      <c r="G193" s="58" t="s">
        <v>24</v>
      </c>
      <c r="H193" s="59">
        <v>1</v>
      </c>
      <c r="I193" s="60">
        <v>20.420000000000002</v>
      </c>
      <c r="J193" s="128">
        <f t="shared" si="20"/>
        <v>20.420000000000002</v>
      </c>
    </row>
    <row r="194" spans="1:11" ht="25.95" customHeight="1">
      <c r="A194" s="64" t="s">
        <v>164</v>
      </c>
      <c r="B194" s="65" t="s">
        <v>195</v>
      </c>
      <c r="C194" s="64" t="s">
        <v>29</v>
      </c>
      <c r="D194" s="64" t="s">
        <v>196</v>
      </c>
      <c r="E194" s="157" t="s">
        <v>167</v>
      </c>
      <c r="F194" s="157"/>
      <c r="G194" s="66" t="s">
        <v>126</v>
      </c>
      <c r="H194" s="67">
        <v>6.0000000000000001E-3</v>
      </c>
      <c r="I194" s="68">
        <v>27</v>
      </c>
      <c r="J194" s="128">
        <f t="shared" si="20"/>
        <v>0.16</v>
      </c>
    </row>
    <row r="195" spans="1:11" ht="25.95" customHeight="1">
      <c r="A195" s="64" t="s">
        <v>164</v>
      </c>
      <c r="B195" s="65" t="s">
        <v>197</v>
      </c>
      <c r="C195" s="64" t="s">
        <v>29</v>
      </c>
      <c r="D195" s="64" t="s">
        <v>198</v>
      </c>
      <c r="E195" s="157" t="s">
        <v>167</v>
      </c>
      <c r="F195" s="157"/>
      <c r="G195" s="66" t="s">
        <v>40</v>
      </c>
      <c r="H195" s="67">
        <v>12</v>
      </c>
      <c r="I195" s="68">
        <v>2.6</v>
      </c>
      <c r="J195" s="128">
        <f t="shared" si="20"/>
        <v>31.2</v>
      </c>
    </row>
    <row r="196" spans="1:11" ht="25.95" customHeight="1">
      <c r="A196" s="64" t="s">
        <v>164</v>
      </c>
      <c r="B196" s="65" t="s">
        <v>199</v>
      </c>
      <c r="C196" s="64" t="s">
        <v>29</v>
      </c>
      <c r="D196" s="64" t="s">
        <v>200</v>
      </c>
      <c r="E196" s="157" t="s">
        <v>167</v>
      </c>
      <c r="F196" s="157"/>
      <c r="G196" s="66" t="s">
        <v>59</v>
      </c>
      <c r="H196" s="67">
        <v>0.5</v>
      </c>
      <c r="I196" s="68">
        <v>23.96</v>
      </c>
      <c r="J196" s="128">
        <f t="shared" si="20"/>
        <v>11.98</v>
      </c>
    </row>
    <row r="197" spans="1:11" ht="24" customHeight="1">
      <c r="A197" s="64" t="s">
        <v>164</v>
      </c>
      <c r="B197" s="65" t="s">
        <v>203</v>
      </c>
      <c r="C197" s="64" t="s">
        <v>29</v>
      </c>
      <c r="D197" s="64" t="s">
        <v>204</v>
      </c>
      <c r="E197" s="157" t="s">
        <v>167</v>
      </c>
      <c r="F197" s="157"/>
      <c r="G197" s="66" t="s">
        <v>59</v>
      </c>
      <c r="H197" s="67">
        <v>1</v>
      </c>
      <c r="I197" s="68">
        <v>7.44</v>
      </c>
      <c r="J197" s="128">
        <f t="shared" si="20"/>
        <v>7.44</v>
      </c>
    </row>
    <row r="198" spans="1:11" ht="30" customHeight="1" thickBot="1">
      <c r="A198" s="61"/>
      <c r="B198" s="61"/>
      <c r="C198" s="61"/>
      <c r="D198" s="61"/>
      <c r="E198" s="61"/>
      <c r="F198" s="61"/>
      <c r="G198" s="61" t="s">
        <v>158</v>
      </c>
      <c r="H198" s="62">
        <f>'MOCINHA BARBALHO'!F31</f>
        <v>5</v>
      </c>
      <c r="I198" s="61" t="s">
        <v>159</v>
      </c>
      <c r="J198" s="127">
        <f>'MOCINHA BARBALHO'!I31</f>
        <v>790</v>
      </c>
    </row>
    <row r="199" spans="1:11" ht="1.05" customHeight="1" thickTop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</row>
    <row r="200" spans="1:11" ht="18" customHeight="1">
      <c r="A200" s="48" t="s">
        <v>75</v>
      </c>
      <c r="B200" s="49" t="s">
        <v>9</v>
      </c>
      <c r="C200" s="48" t="s">
        <v>10</v>
      </c>
      <c r="D200" s="48" t="s">
        <v>11</v>
      </c>
      <c r="E200" s="159" t="s">
        <v>150</v>
      </c>
      <c r="F200" s="159"/>
      <c r="G200" s="50" t="s">
        <v>12</v>
      </c>
      <c r="H200" s="49" t="s">
        <v>13</v>
      </c>
      <c r="I200" s="49" t="s">
        <v>14</v>
      </c>
      <c r="J200" s="49" t="s">
        <v>16</v>
      </c>
    </row>
    <row r="201" spans="1:11" ht="24" customHeight="1">
      <c r="A201" s="51" t="s">
        <v>151</v>
      </c>
      <c r="B201" s="52" t="s">
        <v>341</v>
      </c>
      <c r="C201" s="51" t="s">
        <v>22</v>
      </c>
      <c r="D201" s="51" t="s">
        <v>342</v>
      </c>
      <c r="E201" s="160" t="s">
        <v>205</v>
      </c>
      <c r="F201" s="160"/>
      <c r="G201" s="53" t="s">
        <v>46</v>
      </c>
      <c r="H201" s="54">
        <v>1</v>
      </c>
      <c r="I201" s="55">
        <f>'MOCINHA BARBALHO'!G32</f>
        <v>191.22</v>
      </c>
      <c r="J201" s="128">
        <f t="shared" ref="J201:J207" si="21">ROUND(H201*I201,2)</f>
        <v>191.22</v>
      </c>
      <c r="K201" s="143"/>
    </row>
    <row r="202" spans="1:11" ht="24" customHeight="1">
      <c r="A202" s="56" t="s">
        <v>153</v>
      </c>
      <c r="B202" s="57" t="s">
        <v>193</v>
      </c>
      <c r="C202" s="56" t="s">
        <v>29</v>
      </c>
      <c r="D202" s="56" t="s">
        <v>194</v>
      </c>
      <c r="E202" s="161" t="s">
        <v>152</v>
      </c>
      <c r="F202" s="161"/>
      <c r="G202" s="58" t="s">
        <v>24</v>
      </c>
      <c r="H202" s="59">
        <v>3.14</v>
      </c>
      <c r="I202" s="60">
        <v>25.69</v>
      </c>
      <c r="J202" s="128">
        <f t="shared" si="21"/>
        <v>80.67</v>
      </c>
      <c r="K202" s="143"/>
    </row>
    <row r="203" spans="1:11" ht="24" customHeight="1">
      <c r="A203" s="56" t="s">
        <v>153</v>
      </c>
      <c r="B203" s="57" t="s">
        <v>156</v>
      </c>
      <c r="C203" s="56" t="s">
        <v>29</v>
      </c>
      <c r="D203" s="56" t="s">
        <v>157</v>
      </c>
      <c r="E203" s="161" t="s">
        <v>152</v>
      </c>
      <c r="F203" s="161"/>
      <c r="G203" s="58" t="s">
        <v>24</v>
      </c>
      <c r="H203" s="59">
        <v>2.94</v>
      </c>
      <c r="I203" s="60">
        <v>20.420000000000002</v>
      </c>
      <c r="J203" s="128">
        <f t="shared" si="21"/>
        <v>60.03</v>
      </c>
    </row>
    <row r="204" spans="1:11" ht="25.95" customHeight="1">
      <c r="A204" s="64" t="s">
        <v>164</v>
      </c>
      <c r="B204" s="65" t="s">
        <v>195</v>
      </c>
      <c r="C204" s="64" t="s">
        <v>29</v>
      </c>
      <c r="D204" s="64" t="s">
        <v>196</v>
      </c>
      <c r="E204" s="157" t="s">
        <v>167</v>
      </c>
      <c r="F204" s="157"/>
      <c r="G204" s="66" t="s">
        <v>126</v>
      </c>
      <c r="H204" s="67">
        <v>1.2E-2</v>
      </c>
      <c r="I204" s="68">
        <v>27</v>
      </c>
      <c r="J204" s="128">
        <f t="shared" si="21"/>
        <v>0.32</v>
      </c>
    </row>
    <row r="205" spans="1:11" ht="39" customHeight="1">
      <c r="A205" s="64" t="s">
        <v>164</v>
      </c>
      <c r="B205" s="65" t="s">
        <v>427</v>
      </c>
      <c r="C205" s="64" t="s">
        <v>29</v>
      </c>
      <c r="D205" s="64" t="s">
        <v>428</v>
      </c>
      <c r="E205" s="157" t="s">
        <v>167</v>
      </c>
      <c r="F205" s="157"/>
      <c r="G205" s="66" t="s">
        <v>40</v>
      </c>
      <c r="H205" s="67">
        <v>6.6</v>
      </c>
      <c r="I205" s="68">
        <v>5.52</v>
      </c>
      <c r="J205" s="128">
        <f t="shared" si="21"/>
        <v>36.43</v>
      </c>
    </row>
    <row r="206" spans="1:11" ht="25.95" customHeight="1">
      <c r="A206" s="64" t="s">
        <v>164</v>
      </c>
      <c r="B206" s="65" t="s">
        <v>199</v>
      </c>
      <c r="C206" s="64" t="s">
        <v>29</v>
      </c>
      <c r="D206" s="64" t="s">
        <v>200</v>
      </c>
      <c r="E206" s="157" t="s">
        <v>167</v>
      </c>
      <c r="F206" s="157"/>
      <c r="G206" s="66" t="s">
        <v>59</v>
      </c>
      <c r="H206" s="67">
        <v>0.09</v>
      </c>
      <c r="I206" s="68">
        <v>23.96</v>
      </c>
      <c r="J206" s="128">
        <f t="shared" si="21"/>
        <v>2.16</v>
      </c>
    </row>
    <row r="207" spans="1:11" ht="25.95" customHeight="1">
      <c r="A207" s="64" t="s">
        <v>164</v>
      </c>
      <c r="B207" s="65" t="s">
        <v>429</v>
      </c>
      <c r="C207" s="64" t="s">
        <v>29</v>
      </c>
      <c r="D207" s="64" t="s">
        <v>430</v>
      </c>
      <c r="E207" s="157" t="s">
        <v>167</v>
      </c>
      <c r="F207" s="157"/>
      <c r="G207" s="66" t="s">
        <v>40</v>
      </c>
      <c r="H207" s="67">
        <v>2.7</v>
      </c>
      <c r="I207" s="68">
        <v>4.3</v>
      </c>
      <c r="J207" s="128">
        <f t="shared" si="21"/>
        <v>11.61</v>
      </c>
    </row>
    <row r="208" spans="1:11" ht="30" customHeight="1" thickBot="1">
      <c r="A208" s="61"/>
      <c r="B208" s="61"/>
      <c r="C208" s="61"/>
      <c r="D208" s="61"/>
      <c r="E208" s="61"/>
      <c r="F208" s="61"/>
      <c r="G208" s="61" t="s">
        <v>158</v>
      </c>
      <c r="H208" s="62">
        <f>'MOCINHA BARBALHO'!F32</f>
        <v>5</v>
      </c>
      <c r="I208" s="61" t="s">
        <v>159</v>
      </c>
      <c r="J208" s="127">
        <f>'MOCINHA BARBALHO'!I32</f>
        <v>1174.8599999999999</v>
      </c>
    </row>
    <row r="209" spans="1:10" ht="1.05" customHeight="1" thickTop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</row>
    <row r="210" spans="1:10" ht="18" customHeight="1">
      <c r="A210" s="48" t="s">
        <v>78</v>
      </c>
      <c r="B210" s="49" t="s">
        <v>9</v>
      </c>
      <c r="C210" s="48" t="s">
        <v>10</v>
      </c>
      <c r="D210" s="48" t="s">
        <v>11</v>
      </c>
      <c r="E210" s="159" t="s">
        <v>150</v>
      </c>
      <c r="F210" s="159"/>
      <c r="G210" s="50" t="s">
        <v>12</v>
      </c>
      <c r="H210" s="49" t="s">
        <v>13</v>
      </c>
      <c r="I210" s="49" t="s">
        <v>14</v>
      </c>
      <c r="J210" s="49" t="s">
        <v>16</v>
      </c>
    </row>
    <row r="211" spans="1:10" ht="25.95" customHeight="1">
      <c r="A211" s="51" t="s">
        <v>151</v>
      </c>
      <c r="B211" s="52" t="s">
        <v>343</v>
      </c>
      <c r="C211" s="51" t="s">
        <v>29</v>
      </c>
      <c r="D211" s="51" t="s">
        <v>344</v>
      </c>
      <c r="E211" s="160" t="s">
        <v>431</v>
      </c>
      <c r="F211" s="160"/>
      <c r="G211" s="53" t="s">
        <v>59</v>
      </c>
      <c r="H211" s="54">
        <v>1</v>
      </c>
      <c r="I211" s="55">
        <f>'MOCINHA BARBALHO'!G33</f>
        <v>18.559999999999999</v>
      </c>
      <c r="J211" s="128">
        <f t="shared" ref="J211:J215" si="22">ROUND(H211*I211,2)</f>
        <v>18.559999999999999</v>
      </c>
    </row>
    <row r="212" spans="1:10" ht="25.95" customHeight="1">
      <c r="A212" s="56" t="s">
        <v>153</v>
      </c>
      <c r="B212" s="57" t="s">
        <v>432</v>
      </c>
      <c r="C212" s="56" t="s">
        <v>29</v>
      </c>
      <c r="D212" s="56" t="s">
        <v>433</v>
      </c>
      <c r="E212" s="161" t="s">
        <v>152</v>
      </c>
      <c r="F212" s="161"/>
      <c r="G212" s="58" t="s">
        <v>24</v>
      </c>
      <c r="H212" s="59">
        <v>6.9000000000000006E-2</v>
      </c>
      <c r="I212" s="60">
        <v>20</v>
      </c>
      <c r="J212" s="128">
        <f t="shared" si="22"/>
        <v>1.38</v>
      </c>
    </row>
    <row r="213" spans="1:10" ht="24" customHeight="1">
      <c r="A213" s="56" t="s">
        <v>153</v>
      </c>
      <c r="B213" s="57" t="s">
        <v>193</v>
      </c>
      <c r="C213" s="56" t="s">
        <v>29</v>
      </c>
      <c r="D213" s="56" t="s">
        <v>194</v>
      </c>
      <c r="E213" s="161" t="s">
        <v>152</v>
      </c>
      <c r="F213" s="161"/>
      <c r="G213" s="58" t="s">
        <v>24</v>
      </c>
      <c r="H213" s="59">
        <v>0.16550000000000001</v>
      </c>
      <c r="I213" s="60">
        <v>25.69</v>
      </c>
      <c r="J213" s="128">
        <f t="shared" si="22"/>
        <v>4.25</v>
      </c>
    </row>
    <row r="214" spans="1:10" ht="24" customHeight="1">
      <c r="A214" s="64" t="s">
        <v>164</v>
      </c>
      <c r="B214" s="65" t="s">
        <v>434</v>
      </c>
      <c r="C214" s="64" t="s">
        <v>29</v>
      </c>
      <c r="D214" s="64" t="s">
        <v>435</v>
      </c>
      <c r="E214" s="157" t="s">
        <v>167</v>
      </c>
      <c r="F214" s="157"/>
      <c r="G214" s="66" t="s">
        <v>59</v>
      </c>
      <c r="H214" s="67">
        <v>1</v>
      </c>
      <c r="I214" s="68">
        <v>3.03</v>
      </c>
      <c r="J214" s="128">
        <f t="shared" si="22"/>
        <v>3.03</v>
      </c>
    </row>
    <row r="215" spans="1:10" ht="25.95" customHeight="1">
      <c r="A215" s="64" t="s">
        <v>164</v>
      </c>
      <c r="B215" s="65" t="s">
        <v>436</v>
      </c>
      <c r="C215" s="64" t="s">
        <v>29</v>
      </c>
      <c r="D215" s="64" t="s">
        <v>437</v>
      </c>
      <c r="E215" s="157" t="s">
        <v>167</v>
      </c>
      <c r="F215" s="157"/>
      <c r="G215" s="66" t="s">
        <v>59</v>
      </c>
      <c r="H215" s="67">
        <v>1</v>
      </c>
      <c r="I215" s="68">
        <v>9.9</v>
      </c>
      <c r="J215" s="128">
        <f t="shared" si="22"/>
        <v>9.9</v>
      </c>
    </row>
    <row r="216" spans="1:10" ht="30" customHeight="1" thickBot="1">
      <c r="A216" s="61"/>
      <c r="B216" s="61"/>
      <c r="C216" s="61"/>
      <c r="D216" s="61"/>
      <c r="E216" s="61"/>
      <c r="F216" s="61"/>
      <c r="G216" s="61" t="s">
        <v>158</v>
      </c>
      <c r="H216" s="62">
        <f>'MOCINHA BARBALHO'!F33</f>
        <v>10</v>
      </c>
      <c r="I216" s="61" t="s">
        <v>159</v>
      </c>
      <c r="J216" s="127">
        <f>'MOCINHA BARBALHO'!I33</f>
        <v>228.07</v>
      </c>
    </row>
    <row r="217" spans="1:10" ht="1.05" customHeight="1" thickTop="1">
      <c r="A217" s="63"/>
      <c r="B217" s="63"/>
      <c r="C217" s="63"/>
      <c r="D217" s="63"/>
      <c r="E217" s="63"/>
      <c r="F217" s="63"/>
      <c r="G217" s="63"/>
      <c r="H217" s="63"/>
      <c r="I217" s="63"/>
      <c r="J217" s="129"/>
    </row>
    <row r="218" spans="1:10" ht="24" customHeight="1">
      <c r="A218" s="45" t="s">
        <v>81</v>
      </c>
      <c r="B218" s="45"/>
      <c r="C218" s="45"/>
      <c r="D218" s="45" t="s">
        <v>82</v>
      </c>
      <c r="E218" s="45"/>
      <c r="F218" s="158"/>
      <c r="G218" s="158"/>
      <c r="H218" s="46"/>
      <c r="I218" s="45"/>
      <c r="J218" s="130">
        <f>SUM(J231,J240,J247,J255,J264,J274)</f>
        <v>28807.82</v>
      </c>
    </row>
    <row r="219" spans="1:10" ht="18" customHeight="1">
      <c r="A219" s="48" t="s">
        <v>83</v>
      </c>
      <c r="B219" s="49" t="s">
        <v>9</v>
      </c>
      <c r="C219" s="48" t="s">
        <v>10</v>
      </c>
      <c r="D219" s="48" t="s">
        <v>11</v>
      </c>
      <c r="E219" s="159" t="s">
        <v>150</v>
      </c>
      <c r="F219" s="159"/>
      <c r="G219" s="50" t="s">
        <v>12</v>
      </c>
      <c r="H219" s="49" t="s">
        <v>13</v>
      </c>
      <c r="I219" s="49" t="s">
        <v>14</v>
      </c>
      <c r="J219" s="49" t="s">
        <v>16</v>
      </c>
    </row>
    <row r="220" spans="1:10" ht="52.05" customHeight="1">
      <c r="A220" s="51" t="s">
        <v>151</v>
      </c>
      <c r="B220" s="52" t="s">
        <v>345</v>
      </c>
      <c r="C220" s="51" t="s">
        <v>29</v>
      </c>
      <c r="D220" s="51" t="s">
        <v>346</v>
      </c>
      <c r="E220" s="160" t="s">
        <v>273</v>
      </c>
      <c r="F220" s="160"/>
      <c r="G220" s="53" t="s">
        <v>31</v>
      </c>
      <c r="H220" s="54">
        <v>1</v>
      </c>
      <c r="I220" s="55">
        <f>'MOCINHA BARBALHO'!G35</f>
        <v>92.53</v>
      </c>
      <c r="J220" s="128">
        <f t="shared" ref="J220:J230" si="23">ROUND(H220*I220,2)</f>
        <v>92.53</v>
      </c>
    </row>
    <row r="221" spans="1:10" ht="25.95" customHeight="1">
      <c r="A221" s="56" t="s">
        <v>153</v>
      </c>
      <c r="B221" s="57" t="s">
        <v>370</v>
      </c>
      <c r="C221" s="56" t="s">
        <v>29</v>
      </c>
      <c r="D221" s="56" t="s">
        <v>371</v>
      </c>
      <c r="E221" s="161" t="s">
        <v>152</v>
      </c>
      <c r="F221" s="161"/>
      <c r="G221" s="58" t="s">
        <v>24</v>
      </c>
      <c r="H221" s="59">
        <v>0.40200000000000002</v>
      </c>
      <c r="I221" s="60">
        <v>20.27</v>
      </c>
      <c r="J221" s="128">
        <f t="shared" si="23"/>
        <v>8.15</v>
      </c>
    </row>
    <row r="222" spans="1:10" ht="24" customHeight="1">
      <c r="A222" s="56" t="s">
        <v>153</v>
      </c>
      <c r="B222" s="57" t="s">
        <v>168</v>
      </c>
      <c r="C222" s="56" t="s">
        <v>29</v>
      </c>
      <c r="D222" s="56" t="s">
        <v>169</v>
      </c>
      <c r="E222" s="161" t="s">
        <v>152</v>
      </c>
      <c r="F222" s="161"/>
      <c r="G222" s="58" t="s">
        <v>24</v>
      </c>
      <c r="H222" s="59">
        <v>0.4</v>
      </c>
      <c r="I222" s="60">
        <v>25</v>
      </c>
      <c r="J222" s="128">
        <f t="shared" si="23"/>
        <v>10</v>
      </c>
    </row>
    <row r="223" spans="1:10" ht="39" customHeight="1">
      <c r="A223" s="56" t="s">
        <v>153</v>
      </c>
      <c r="B223" s="57" t="s">
        <v>276</v>
      </c>
      <c r="C223" s="56" t="s">
        <v>29</v>
      </c>
      <c r="D223" s="56" t="s">
        <v>277</v>
      </c>
      <c r="E223" s="161" t="s">
        <v>278</v>
      </c>
      <c r="F223" s="161"/>
      <c r="G223" s="58" t="s">
        <v>279</v>
      </c>
      <c r="H223" s="59">
        <v>4.1200000000000001E-2</v>
      </c>
      <c r="I223" s="60">
        <v>31.23</v>
      </c>
      <c r="J223" s="128">
        <f t="shared" si="23"/>
        <v>1.29</v>
      </c>
    </row>
    <row r="224" spans="1:10" ht="39" customHeight="1">
      <c r="A224" s="56" t="s">
        <v>153</v>
      </c>
      <c r="B224" s="57" t="s">
        <v>280</v>
      </c>
      <c r="C224" s="56" t="s">
        <v>29</v>
      </c>
      <c r="D224" s="56" t="s">
        <v>281</v>
      </c>
      <c r="E224" s="161" t="s">
        <v>278</v>
      </c>
      <c r="F224" s="161"/>
      <c r="G224" s="58" t="s">
        <v>282</v>
      </c>
      <c r="H224" s="59">
        <v>5.7099999999999998E-2</v>
      </c>
      <c r="I224" s="60">
        <v>30.17</v>
      </c>
      <c r="J224" s="128">
        <f t="shared" si="23"/>
        <v>1.72</v>
      </c>
    </row>
    <row r="225" spans="1:10" ht="25.95" customHeight="1">
      <c r="A225" s="64" t="s">
        <v>164</v>
      </c>
      <c r="B225" s="65" t="s">
        <v>438</v>
      </c>
      <c r="C225" s="64" t="s">
        <v>29</v>
      </c>
      <c r="D225" s="64" t="s">
        <v>439</v>
      </c>
      <c r="E225" s="157" t="s">
        <v>167</v>
      </c>
      <c r="F225" s="157"/>
      <c r="G225" s="66" t="s">
        <v>40</v>
      </c>
      <c r="H225" s="67">
        <v>2.573</v>
      </c>
      <c r="I225" s="68">
        <v>2.95</v>
      </c>
      <c r="J225" s="128">
        <f t="shared" si="23"/>
        <v>7.59</v>
      </c>
    </row>
    <row r="226" spans="1:10" ht="25.95" customHeight="1">
      <c r="A226" s="64" t="s">
        <v>164</v>
      </c>
      <c r="B226" s="65" t="s">
        <v>440</v>
      </c>
      <c r="C226" s="64" t="s">
        <v>29</v>
      </c>
      <c r="D226" s="64" t="s">
        <v>441</v>
      </c>
      <c r="E226" s="157" t="s">
        <v>167</v>
      </c>
      <c r="F226" s="157"/>
      <c r="G226" s="66" t="s">
        <v>40</v>
      </c>
      <c r="H226" s="67">
        <v>0.73499999999999999</v>
      </c>
      <c r="I226" s="68">
        <v>32.78</v>
      </c>
      <c r="J226" s="128">
        <f t="shared" si="23"/>
        <v>24.09</v>
      </c>
    </row>
    <row r="227" spans="1:10" ht="25.95" customHeight="1">
      <c r="A227" s="64" t="s">
        <v>164</v>
      </c>
      <c r="B227" s="65" t="s">
        <v>442</v>
      </c>
      <c r="C227" s="64" t="s">
        <v>29</v>
      </c>
      <c r="D227" s="64" t="s">
        <v>443</v>
      </c>
      <c r="E227" s="157" t="s">
        <v>167</v>
      </c>
      <c r="F227" s="157"/>
      <c r="G227" s="66" t="s">
        <v>40</v>
      </c>
      <c r="H227" s="67">
        <v>2.3359999999999999</v>
      </c>
      <c r="I227" s="68">
        <v>15.5</v>
      </c>
      <c r="J227" s="128">
        <f t="shared" si="23"/>
        <v>36.21</v>
      </c>
    </row>
    <row r="228" spans="1:10" ht="25.95" customHeight="1">
      <c r="A228" s="64" t="s">
        <v>164</v>
      </c>
      <c r="B228" s="65" t="s">
        <v>384</v>
      </c>
      <c r="C228" s="64" t="s">
        <v>29</v>
      </c>
      <c r="D228" s="64" t="s">
        <v>385</v>
      </c>
      <c r="E228" s="157" t="s">
        <v>167</v>
      </c>
      <c r="F228" s="157"/>
      <c r="G228" s="66" t="s">
        <v>126</v>
      </c>
      <c r="H228" s="67">
        <v>7.0000000000000007E-2</v>
      </c>
      <c r="I228" s="68">
        <v>24.78</v>
      </c>
      <c r="J228" s="128">
        <f t="shared" si="23"/>
        <v>1.73</v>
      </c>
    </row>
    <row r="229" spans="1:10" ht="25.95" customHeight="1">
      <c r="A229" s="64" t="s">
        <v>164</v>
      </c>
      <c r="B229" s="65" t="s">
        <v>444</v>
      </c>
      <c r="C229" s="64" t="s">
        <v>29</v>
      </c>
      <c r="D229" s="64" t="s">
        <v>445</v>
      </c>
      <c r="E229" s="157" t="s">
        <v>167</v>
      </c>
      <c r="F229" s="157"/>
      <c r="G229" s="66" t="s">
        <v>126</v>
      </c>
      <c r="H229" s="67">
        <v>0.05</v>
      </c>
      <c r="I229" s="68">
        <v>22.36</v>
      </c>
      <c r="J229" s="128">
        <f t="shared" si="23"/>
        <v>1.1200000000000001</v>
      </c>
    </row>
    <row r="230" spans="1:10" ht="25.95" customHeight="1">
      <c r="A230" s="64" t="s">
        <v>164</v>
      </c>
      <c r="B230" s="65" t="s">
        <v>446</v>
      </c>
      <c r="C230" s="64" t="s">
        <v>29</v>
      </c>
      <c r="D230" s="64" t="s">
        <v>447</v>
      </c>
      <c r="E230" s="157" t="s">
        <v>167</v>
      </c>
      <c r="F230" s="157"/>
      <c r="G230" s="66" t="s">
        <v>126</v>
      </c>
      <c r="H230" s="67">
        <v>0.03</v>
      </c>
      <c r="I230" s="68">
        <v>22.55</v>
      </c>
      <c r="J230" s="128">
        <f t="shared" si="23"/>
        <v>0.68</v>
      </c>
    </row>
    <row r="231" spans="1:10" ht="30" customHeight="1" thickBot="1">
      <c r="A231" s="61"/>
      <c r="B231" s="61"/>
      <c r="C231" s="61"/>
      <c r="D231" s="61"/>
      <c r="E231" s="61"/>
      <c r="F231" s="61"/>
      <c r="G231" s="61" t="s">
        <v>158</v>
      </c>
      <c r="H231" s="62">
        <f>'MOCINHA BARBALHO'!F35</f>
        <v>72.2</v>
      </c>
      <c r="I231" s="61" t="s">
        <v>159</v>
      </c>
      <c r="J231" s="127">
        <f>'MOCINHA BARBALHO'!I35</f>
        <v>8209.2000000000007</v>
      </c>
    </row>
    <row r="232" spans="1:10" ht="1.05" customHeight="1" thickTop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</row>
    <row r="233" spans="1:10" ht="18" customHeight="1">
      <c r="A233" s="48" t="s">
        <v>86</v>
      </c>
      <c r="B233" s="49" t="s">
        <v>9</v>
      </c>
      <c r="C233" s="48" t="s">
        <v>10</v>
      </c>
      <c r="D233" s="48" t="s">
        <v>11</v>
      </c>
      <c r="E233" s="159" t="s">
        <v>150</v>
      </c>
      <c r="F233" s="159"/>
      <c r="G233" s="50" t="s">
        <v>12</v>
      </c>
      <c r="H233" s="49" t="s">
        <v>13</v>
      </c>
      <c r="I233" s="49" t="s">
        <v>14</v>
      </c>
      <c r="J233" s="49" t="s">
        <v>16</v>
      </c>
    </row>
    <row r="234" spans="1:10" ht="39" customHeight="1">
      <c r="A234" s="51" t="s">
        <v>151</v>
      </c>
      <c r="B234" s="52" t="s">
        <v>347</v>
      </c>
      <c r="C234" s="51" t="s">
        <v>29</v>
      </c>
      <c r="D234" s="51" t="s">
        <v>348</v>
      </c>
      <c r="E234" s="160" t="s">
        <v>273</v>
      </c>
      <c r="F234" s="160"/>
      <c r="G234" s="53" t="s">
        <v>31</v>
      </c>
      <c r="H234" s="54">
        <v>1</v>
      </c>
      <c r="I234" s="55">
        <f>'MOCINHA BARBALHO'!G36</f>
        <v>51.4</v>
      </c>
      <c r="J234" s="128">
        <f t="shared" ref="J234:J239" si="24">ROUND(H234*I234,2)</f>
        <v>51.4</v>
      </c>
    </row>
    <row r="235" spans="1:10" ht="24" customHeight="1">
      <c r="A235" s="56" t="s">
        <v>153</v>
      </c>
      <c r="B235" s="57" t="s">
        <v>156</v>
      </c>
      <c r="C235" s="56" t="s">
        <v>29</v>
      </c>
      <c r="D235" s="56" t="s">
        <v>157</v>
      </c>
      <c r="E235" s="161" t="s">
        <v>152</v>
      </c>
      <c r="F235" s="161"/>
      <c r="G235" s="58" t="s">
        <v>24</v>
      </c>
      <c r="H235" s="59">
        <v>0.39900000000000002</v>
      </c>
      <c r="I235" s="60">
        <v>20.420000000000002</v>
      </c>
      <c r="J235" s="128">
        <f t="shared" si="24"/>
        <v>8.15</v>
      </c>
    </row>
    <row r="236" spans="1:10" ht="24" customHeight="1">
      <c r="A236" s="56" t="s">
        <v>153</v>
      </c>
      <c r="B236" s="57" t="s">
        <v>274</v>
      </c>
      <c r="C236" s="56" t="s">
        <v>29</v>
      </c>
      <c r="D236" s="56" t="s">
        <v>275</v>
      </c>
      <c r="E236" s="161" t="s">
        <v>152</v>
      </c>
      <c r="F236" s="161"/>
      <c r="G236" s="58" t="s">
        <v>24</v>
      </c>
      <c r="H236" s="59">
        <v>0.13300000000000001</v>
      </c>
      <c r="I236" s="60">
        <v>24.76</v>
      </c>
      <c r="J236" s="128">
        <f t="shared" si="24"/>
        <v>3.29</v>
      </c>
    </row>
    <row r="237" spans="1:10" ht="39" customHeight="1">
      <c r="A237" s="56" t="s">
        <v>153</v>
      </c>
      <c r="B237" s="57" t="s">
        <v>276</v>
      </c>
      <c r="C237" s="56" t="s">
        <v>29</v>
      </c>
      <c r="D237" s="56" t="s">
        <v>277</v>
      </c>
      <c r="E237" s="161" t="s">
        <v>278</v>
      </c>
      <c r="F237" s="161"/>
      <c r="G237" s="58" t="s">
        <v>279</v>
      </c>
      <c r="H237" s="59">
        <v>3.7199999999999997E-2</v>
      </c>
      <c r="I237" s="60">
        <v>31.23</v>
      </c>
      <c r="J237" s="128">
        <f t="shared" si="24"/>
        <v>1.1599999999999999</v>
      </c>
    </row>
    <row r="238" spans="1:10" ht="39" customHeight="1">
      <c r="A238" s="56" t="s">
        <v>153</v>
      </c>
      <c r="B238" s="57" t="s">
        <v>280</v>
      </c>
      <c r="C238" s="56" t="s">
        <v>29</v>
      </c>
      <c r="D238" s="56" t="s">
        <v>281</v>
      </c>
      <c r="E238" s="161" t="s">
        <v>278</v>
      </c>
      <c r="F238" s="161"/>
      <c r="G238" s="58" t="s">
        <v>282</v>
      </c>
      <c r="H238" s="59">
        <v>5.16E-2</v>
      </c>
      <c r="I238" s="60">
        <v>30.17</v>
      </c>
      <c r="J238" s="128">
        <f t="shared" si="24"/>
        <v>1.56</v>
      </c>
    </row>
    <row r="239" spans="1:10" ht="52.05" customHeight="1">
      <c r="A239" s="64" t="s">
        <v>164</v>
      </c>
      <c r="B239" s="65" t="s">
        <v>283</v>
      </c>
      <c r="C239" s="64" t="s">
        <v>29</v>
      </c>
      <c r="D239" s="64" t="s">
        <v>284</v>
      </c>
      <c r="E239" s="157" t="s">
        <v>167</v>
      </c>
      <c r="F239" s="157"/>
      <c r="G239" s="66" t="s">
        <v>285</v>
      </c>
      <c r="H239" s="67">
        <v>2.75E-2</v>
      </c>
      <c r="I239" s="68">
        <v>1355</v>
      </c>
      <c r="J239" s="128">
        <f t="shared" si="24"/>
        <v>37.26</v>
      </c>
    </row>
    <row r="240" spans="1:10" ht="30" customHeight="1" thickBot="1">
      <c r="A240" s="61"/>
      <c r="B240" s="61"/>
      <c r="C240" s="61"/>
      <c r="D240" s="61"/>
      <c r="E240" s="61"/>
      <c r="F240" s="61"/>
      <c r="G240" s="61" t="s">
        <v>158</v>
      </c>
      <c r="H240" s="62">
        <f>'MOCINHA BARBALHO'!F36</f>
        <v>72.2</v>
      </c>
      <c r="I240" s="61" t="s">
        <v>159</v>
      </c>
      <c r="J240" s="127">
        <f>'MOCINHA BARBALHO'!I36</f>
        <v>4560.18</v>
      </c>
    </row>
    <row r="241" spans="1:11" ht="1.05" customHeight="1" thickTop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</row>
    <row r="242" spans="1:11" ht="18" customHeight="1">
      <c r="A242" s="48" t="s">
        <v>349</v>
      </c>
      <c r="B242" s="49" t="s">
        <v>9</v>
      </c>
      <c r="C242" s="48" t="s">
        <v>10</v>
      </c>
      <c r="D242" s="48" t="s">
        <v>11</v>
      </c>
      <c r="E242" s="159" t="s">
        <v>150</v>
      </c>
      <c r="F242" s="159"/>
      <c r="G242" s="50" t="s">
        <v>12</v>
      </c>
      <c r="H242" s="49" t="s">
        <v>13</v>
      </c>
      <c r="I242" s="49" t="s">
        <v>14</v>
      </c>
      <c r="J242" s="49" t="s">
        <v>16</v>
      </c>
    </row>
    <row r="243" spans="1:11" ht="25.95" customHeight="1">
      <c r="A243" s="51" t="s">
        <v>151</v>
      </c>
      <c r="B243" s="52" t="s">
        <v>350</v>
      </c>
      <c r="C243" s="51" t="s">
        <v>22</v>
      </c>
      <c r="D243" s="51" t="s">
        <v>351</v>
      </c>
      <c r="E243" s="160" t="s">
        <v>205</v>
      </c>
      <c r="F243" s="160"/>
      <c r="G243" s="53" t="s">
        <v>40</v>
      </c>
      <c r="H243" s="54">
        <v>1</v>
      </c>
      <c r="I243" s="55">
        <f>'MOCINHA BARBALHO'!G37</f>
        <v>234.61</v>
      </c>
      <c r="J243" s="128">
        <f t="shared" ref="J243:J246" si="25">ROUND(H243*I243,2)</f>
        <v>234.61</v>
      </c>
      <c r="K243" s="143"/>
    </row>
    <row r="244" spans="1:11" ht="24" customHeight="1">
      <c r="A244" s="56" t="s">
        <v>153</v>
      </c>
      <c r="B244" s="57" t="s">
        <v>168</v>
      </c>
      <c r="C244" s="56" t="s">
        <v>29</v>
      </c>
      <c r="D244" s="56" t="s">
        <v>169</v>
      </c>
      <c r="E244" s="161" t="s">
        <v>152</v>
      </c>
      <c r="F244" s="161"/>
      <c r="G244" s="58" t="s">
        <v>24</v>
      </c>
      <c r="H244" s="59">
        <v>2.4</v>
      </c>
      <c r="I244" s="60">
        <v>25</v>
      </c>
      <c r="J244" s="128">
        <f t="shared" si="25"/>
        <v>60</v>
      </c>
      <c r="K244" s="143"/>
    </row>
    <row r="245" spans="1:11" ht="24" customHeight="1">
      <c r="A245" s="56" t="s">
        <v>153</v>
      </c>
      <c r="B245" s="57" t="s">
        <v>156</v>
      </c>
      <c r="C245" s="56" t="s">
        <v>29</v>
      </c>
      <c r="D245" s="56" t="s">
        <v>157</v>
      </c>
      <c r="E245" s="161" t="s">
        <v>152</v>
      </c>
      <c r="F245" s="161"/>
      <c r="G245" s="58" t="s">
        <v>24</v>
      </c>
      <c r="H245" s="59">
        <v>2.4</v>
      </c>
      <c r="I245" s="60">
        <v>20.420000000000002</v>
      </c>
      <c r="J245" s="128">
        <f t="shared" si="25"/>
        <v>49.01</v>
      </c>
    </row>
    <row r="246" spans="1:11" ht="25.95" customHeight="1">
      <c r="A246" s="64" t="s">
        <v>164</v>
      </c>
      <c r="B246" s="65" t="s">
        <v>448</v>
      </c>
      <c r="C246" s="64" t="s">
        <v>209</v>
      </c>
      <c r="D246" s="64" t="s">
        <v>449</v>
      </c>
      <c r="E246" s="157" t="s">
        <v>167</v>
      </c>
      <c r="F246" s="157"/>
      <c r="G246" s="66" t="s">
        <v>450</v>
      </c>
      <c r="H246" s="67">
        <v>1</v>
      </c>
      <c r="I246" s="68">
        <v>125.6</v>
      </c>
      <c r="J246" s="128">
        <f t="shared" si="25"/>
        <v>125.6</v>
      </c>
    </row>
    <row r="247" spans="1:11" ht="30" customHeight="1" thickBot="1">
      <c r="A247" s="61"/>
      <c r="B247" s="61"/>
      <c r="C247" s="61"/>
      <c r="D247" s="61"/>
      <c r="E247" s="61"/>
      <c r="F247" s="61"/>
      <c r="G247" s="61" t="s">
        <v>158</v>
      </c>
      <c r="H247" s="62">
        <f>'MOCINHA BARBALHO'!F37</f>
        <v>19</v>
      </c>
      <c r="I247" s="61" t="s">
        <v>159</v>
      </c>
      <c r="J247" s="127">
        <f>'MOCINHA BARBALHO'!I37</f>
        <v>5477.49</v>
      </c>
    </row>
    <row r="248" spans="1:11" ht="1.05" customHeight="1" thickTop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</row>
    <row r="249" spans="1:11" ht="18" customHeight="1">
      <c r="A249" s="48" t="s">
        <v>352</v>
      </c>
      <c r="B249" s="49" t="s">
        <v>9</v>
      </c>
      <c r="C249" s="48" t="s">
        <v>10</v>
      </c>
      <c r="D249" s="48" t="s">
        <v>11</v>
      </c>
      <c r="E249" s="159" t="s">
        <v>150</v>
      </c>
      <c r="F249" s="159"/>
      <c r="G249" s="50" t="s">
        <v>12</v>
      </c>
      <c r="H249" s="49" t="s">
        <v>13</v>
      </c>
      <c r="I249" s="49" t="s">
        <v>14</v>
      </c>
      <c r="J249" s="49" t="s">
        <v>16</v>
      </c>
    </row>
    <row r="250" spans="1:11" ht="39" customHeight="1">
      <c r="A250" s="51" t="s">
        <v>151</v>
      </c>
      <c r="B250" s="52" t="s">
        <v>353</v>
      </c>
      <c r="C250" s="51" t="s">
        <v>29</v>
      </c>
      <c r="D250" s="51" t="s">
        <v>354</v>
      </c>
      <c r="E250" s="160" t="s">
        <v>216</v>
      </c>
      <c r="F250" s="160"/>
      <c r="G250" s="53" t="s">
        <v>40</v>
      </c>
      <c r="H250" s="54">
        <v>1</v>
      </c>
      <c r="I250" s="55">
        <f>'MOCINHA BARBALHO'!G38</f>
        <v>46.85</v>
      </c>
      <c r="J250" s="128">
        <f t="shared" ref="J250:J254" si="26">ROUND(H250*I250,2)</f>
        <v>46.85</v>
      </c>
    </row>
    <row r="251" spans="1:11" ht="25.95" customHeight="1">
      <c r="A251" s="56" t="s">
        <v>153</v>
      </c>
      <c r="B251" s="57" t="s">
        <v>451</v>
      </c>
      <c r="C251" s="56" t="s">
        <v>29</v>
      </c>
      <c r="D251" s="56" t="s">
        <v>452</v>
      </c>
      <c r="E251" s="161" t="s">
        <v>152</v>
      </c>
      <c r="F251" s="161"/>
      <c r="G251" s="58" t="s">
        <v>24</v>
      </c>
      <c r="H251" s="59">
        <v>0.40239999999999998</v>
      </c>
      <c r="I251" s="60">
        <v>19.82</v>
      </c>
      <c r="J251" s="128">
        <f t="shared" si="26"/>
        <v>7.98</v>
      </c>
    </row>
    <row r="252" spans="1:11" ht="25.95" customHeight="1">
      <c r="A252" s="56" t="s">
        <v>153</v>
      </c>
      <c r="B252" s="57" t="s">
        <v>217</v>
      </c>
      <c r="C252" s="56" t="s">
        <v>29</v>
      </c>
      <c r="D252" s="56" t="s">
        <v>218</v>
      </c>
      <c r="E252" s="161" t="s">
        <v>152</v>
      </c>
      <c r="F252" s="161"/>
      <c r="G252" s="58" t="s">
        <v>24</v>
      </c>
      <c r="H252" s="59">
        <v>0.40239999999999998</v>
      </c>
      <c r="I252" s="60">
        <v>24.63</v>
      </c>
      <c r="J252" s="128">
        <f t="shared" si="26"/>
        <v>9.91</v>
      </c>
    </row>
    <row r="253" spans="1:11" ht="25.95" customHeight="1">
      <c r="A253" s="64" t="s">
        <v>164</v>
      </c>
      <c r="B253" s="65" t="s">
        <v>453</v>
      </c>
      <c r="C253" s="64" t="s">
        <v>29</v>
      </c>
      <c r="D253" s="64" t="s">
        <v>454</v>
      </c>
      <c r="E253" s="157" t="s">
        <v>167</v>
      </c>
      <c r="F253" s="157"/>
      <c r="G253" s="66" t="s">
        <v>40</v>
      </c>
      <c r="H253" s="67">
        <v>1.0353000000000001</v>
      </c>
      <c r="I253" s="68">
        <v>27.94</v>
      </c>
      <c r="J253" s="128">
        <f t="shared" si="26"/>
        <v>28.93</v>
      </c>
    </row>
    <row r="254" spans="1:11" ht="24" customHeight="1">
      <c r="A254" s="64" t="s">
        <v>164</v>
      </c>
      <c r="B254" s="65" t="s">
        <v>455</v>
      </c>
      <c r="C254" s="64" t="s">
        <v>29</v>
      </c>
      <c r="D254" s="64" t="s">
        <v>456</v>
      </c>
      <c r="E254" s="157" t="s">
        <v>167</v>
      </c>
      <c r="F254" s="157"/>
      <c r="G254" s="66" t="s">
        <v>59</v>
      </c>
      <c r="H254" s="67">
        <v>2.24E-2</v>
      </c>
      <c r="I254" s="68">
        <v>2.46</v>
      </c>
      <c r="J254" s="128">
        <f t="shared" si="26"/>
        <v>0.06</v>
      </c>
    </row>
    <row r="255" spans="1:11" ht="30" customHeight="1" thickBot="1">
      <c r="A255" s="61"/>
      <c r="B255" s="61"/>
      <c r="C255" s="61"/>
      <c r="D255" s="61"/>
      <c r="E255" s="61"/>
      <c r="F255" s="61"/>
      <c r="G255" s="61" t="s">
        <v>158</v>
      </c>
      <c r="H255" s="62">
        <f>'MOCINHA BARBALHO'!F38</f>
        <v>8</v>
      </c>
      <c r="I255" s="61" t="s">
        <v>159</v>
      </c>
      <c r="J255" s="127">
        <f>'MOCINHA BARBALHO'!I38</f>
        <v>460.55</v>
      </c>
    </row>
    <row r="256" spans="1:11" ht="1.05" customHeight="1" thickTop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</row>
    <row r="257" spans="1:10" ht="18" customHeight="1">
      <c r="A257" s="48" t="s">
        <v>355</v>
      </c>
      <c r="B257" s="49" t="s">
        <v>9</v>
      </c>
      <c r="C257" s="48" t="s">
        <v>10</v>
      </c>
      <c r="D257" s="48" t="s">
        <v>11</v>
      </c>
      <c r="E257" s="159" t="s">
        <v>150</v>
      </c>
      <c r="F257" s="159"/>
      <c r="G257" s="50" t="s">
        <v>12</v>
      </c>
      <c r="H257" s="49" t="s">
        <v>13</v>
      </c>
      <c r="I257" s="49" t="s">
        <v>14</v>
      </c>
      <c r="J257" s="49" t="s">
        <v>16</v>
      </c>
    </row>
    <row r="258" spans="1:10" ht="39" customHeight="1">
      <c r="A258" s="51" t="s">
        <v>151</v>
      </c>
      <c r="B258" s="52" t="s">
        <v>84</v>
      </c>
      <c r="C258" s="51" t="s">
        <v>29</v>
      </c>
      <c r="D258" s="51" t="s">
        <v>85</v>
      </c>
      <c r="E258" s="160" t="s">
        <v>273</v>
      </c>
      <c r="F258" s="160"/>
      <c r="G258" s="53" t="s">
        <v>31</v>
      </c>
      <c r="H258" s="54">
        <v>1</v>
      </c>
      <c r="I258" s="55">
        <f>'MOCINHA BARBALHO'!G39</f>
        <v>18.329999999999998</v>
      </c>
      <c r="J258" s="128">
        <f t="shared" ref="J258:J263" si="27">ROUND(H258*I258,2)</f>
        <v>18.329999999999998</v>
      </c>
    </row>
    <row r="259" spans="1:10" ht="24" customHeight="1">
      <c r="A259" s="56" t="s">
        <v>153</v>
      </c>
      <c r="B259" s="57" t="s">
        <v>156</v>
      </c>
      <c r="C259" s="56" t="s">
        <v>29</v>
      </c>
      <c r="D259" s="56" t="s">
        <v>157</v>
      </c>
      <c r="E259" s="161" t="s">
        <v>152</v>
      </c>
      <c r="F259" s="161"/>
      <c r="G259" s="58" t="s">
        <v>24</v>
      </c>
      <c r="H259" s="59">
        <v>0.28499999999999998</v>
      </c>
      <c r="I259" s="60">
        <v>20.420000000000002</v>
      </c>
      <c r="J259" s="128">
        <f t="shared" si="27"/>
        <v>5.82</v>
      </c>
    </row>
    <row r="260" spans="1:10" ht="24" customHeight="1">
      <c r="A260" s="56" t="s">
        <v>153</v>
      </c>
      <c r="B260" s="57" t="s">
        <v>274</v>
      </c>
      <c r="C260" s="56" t="s">
        <v>29</v>
      </c>
      <c r="D260" s="56" t="s">
        <v>275</v>
      </c>
      <c r="E260" s="161" t="s">
        <v>152</v>
      </c>
      <c r="F260" s="161"/>
      <c r="G260" s="58" t="s">
        <v>24</v>
      </c>
      <c r="H260" s="59">
        <v>0.183</v>
      </c>
      <c r="I260" s="60">
        <v>24.76</v>
      </c>
      <c r="J260" s="128">
        <f t="shared" si="27"/>
        <v>4.53</v>
      </c>
    </row>
    <row r="261" spans="1:10" ht="39" customHeight="1">
      <c r="A261" s="56" t="s">
        <v>153</v>
      </c>
      <c r="B261" s="57" t="s">
        <v>276</v>
      </c>
      <c r="C261" s="56" t="s">
        <v>29</v>
      </c>
      <c r="D261" s="56" t="s">
        <v>277</v>
      </c>
      <c r="E261" s="161" t="s">
        <v>278</v>
      </c>
      <c r="F261" s="161"/>
      <c r="G261" s="58" t="s">
        <v>279</v>
      </c>
      <c r="H261" s="59">
        <v>7.4000000000000003E-3</v>
      </c>
      <c r="I261" s="60">
        <v>31.23</v>
      </c>
      <c r="J261" s="128">
        <f t="shared" si="27"/>
        <v>0.23</v>
      </c>
    </row>
    <row r="262" spans="1:10" ht="39" customHeight="1">
      <c r="A262" s="56" t="s">
        <v>153</v>
      </c>
      <c r="B262" s="57" t="s">
        <v>280</v>
      </c>
      <c r="C262" s="56" t="s">
        <v>29</v>
      </c>
      <c r="D262" s="56" t="s">
        <v>281</v>
      </c>
      <c r="E262" s="161" t="s">
        <v>278</v>
      </c>
      <c r="F262" s="161"/>
      <c r="G262" s="58" t="s">
        <v>282</v>
      </c>
      <c r="H262" s="59">
        <v>1.03E-2</v>
      </c>
      <c r="I262" s="60">
        <v>30.17</v>
      </c>
      <c r="J262" s="128">
        <f t="shared" si="27"/>
        <v>0.31</v>
      </c>
    </row>
    <row r="263" spans="1:10" ht="52.05" customHeight="1">
      <c r="A263" s="64" t="s">
        <v>164</v>
      </c>
      <c r="B263" s="65" t="s">
        <v>283</v>
      </c>
      <c r="C263" s="64" t="s">
        <v>29</v>
      </c>
      <c r="D263" s="64" t="s">
        <v>284</v>
      </c>
      <c r="E263" s="157" t="s">
        <v>167</v>
      </c>
      <c r="F263" s="157"/>
      <c r="G263" s="66" t="s">
        <v>285</v>
      </c>
      <c r="H263" s="67">
        <v>5.4999999999999997E-3</v>
      </c>
      <c r="I263" s="68">
        <v>1355</v>
      </c>
      <c r="J263" s="128">
        <f t="shared" si="27"/>
        <v>7.45</v>
      </c>
    </row>
    <row r="264" spans="1:10" ht="30" customHeight="1" thickBot="1">
      <c r="A264" s="61"/>
      <c r="B264" s="61"/>
      <c r="C264" s="61"/>
      <c r="D264" s="61"/>
      <c r="E264" s="61"/>
      <c r="F264" s="61"/>
      <c r="G264" s="61" t="s">
        <v>158</v>
      </c>
      <c r="H264" s="62">
        <f>'MOCINHA BARBALHO'!F39</f>
        <v>369</v>
      </c>
      <c r="I264" s="61" t="s">
        <v>159</v>
      </c>
      <c r="J264" s="127">
        <f>'MOCINHA BARBALHO'!I39</f>
        <v>8311.32</v>
      </c>
    </row>
    <row r="265" spans="1:10" ht="1.05" customHeight="1" thickTop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</row>
    <row r="266" spans="1:10" ht="18" customHeight="1">
      <c r="A266" s="48" t="s">
        <v>356</v>
      </c>
      <c r="B266" s="49" t="s">
        <v>9</v>
      </c>
      <c r="C266" s="48" t="s">
        <v>10</v>
      </c>
      <c r="D266" s="48" t="s">
        <v>11</v>
      </c>
      <c r="E266" s="159" t="s">
        <v>150</v>
      </c>
      <c r="F266" s="159"/>
      <c r="G266" s="50" t="s">
        <v>12</v>
      </c>
      <c r="H266" s="49" t="s">
        <v>13</v>
      </c>
      <c r="I266" s="49" t="s">
        <v>14</v>
      </c>
      <c r="J266" s="49" t="s">
        <v>16</v>
      </c>
    </row>
    <row r="267" spans="1:10" ht="52.05" customHeight="1">
      <c r="A267" s="51" t="s">
        <v>151</v>
      </c>
      <c r="B267" s="52" t="s">
        <v>87</v>
      </c>
      <c r="C267" s="51" t="s">
        <v>29</v>
      </c>
      <c r="D267" s="51" t="s">
        <v>88</v>
      </c>
      <c r="E267" s="160" t="s">
        <v>273</v>
      </c>
      <c r="F267" s="160"/>
      <c r="G267" s="53" t="s">
        <v>40</v>
      </c>
      <c r="H267" s="54">
        <v>1</v>
      </c>
      <c r="I267" s="55">
        <f>'MOCINHA BARBALHO'!G40</f>
        <v>33.090000000000003</v>
      </c>
      <c r="J267" s="128">
        <f t="shared" ref="J267:J273" si="28">ROUND(H267*I267,2)</f>
        <v>33.090000000000003</v>
      </c>
    </row>
    <row r="268" spans="1:10" ht="64.95" customHeight="1">
      <c r="A268" s="56" t="s">
        <v>153</v>
      </c>
      <c r="B268" s="57" t="s">
        <v>286</v>
      </c>
      <c r="C268" s="56" t="s">
        <v>29</v>
      </c>
      <c r="D268" s="56" t="s">
        <v>287</v>
      </c>
      <c r="E268" s="161" t="s">
        <v>152</v>
      </c>
      <c r="F268" s="161"/>
      <c r="G268" s="58" t="s">
        <v>163</v>
      </c>
      <c r="H268" s="59">
        <v>1.17E-2</v>
      </c>
      <c r="I268" s="60">
        <v>634.25</v>
      </c>
      <c r="J268" s="128">
        <f t="shared" si="28"/>
        <v>7.42</v>
      </c>
    </row>
    <row r="269" spans="1:10" ht="24" customHeight="1">
      <c r="A269" s="56" t="s">
        <v>153</v>
      </c>
      <c r="B269" s="57" t="s">
        <v>156</v>
      </c>
      <c r="C269" s="56" t="s">
        <v>29</v>
      </c>
      <c r="D269" s="56" t="s">
        <v>157</v>
      </c>
      <c r="E269" s="161" t="s">
        <v>152</v>
      </c>
      <c r="F269" s="161"/>
      <c r="G269" s="58" t="s">
        <v>24</v>
      </c>
      <c r="H269" s="59">
        <v>0.35</v>
      </c>
      <c r="I269" s="60">
        <v>20.420000000000002</v>
      </c>
      <c r="J269" s="128">
        <f t="shared" si="28"/>
        <v>7.15</v>
      </c>
    </row>
    <row r="270" spans="1:10" ht="24" customHeight="1">
      <c r="A270" s="56" t="s">
        <v>153</v>
      </c>
      <c r="B270" s="57" t="s">
        <v>274</v>
      </c>
      <c r="C270" s="56" t="s">
        <v>29</v>
      </c>
      <c r="D270" s="56" t="s">
        <v>275</v>
      </c>
      <c r="E270" s="161" t="s">
        <v>152</v>
      </c>
      <c r="F270" s="161"/>
      <c r="G270" s="58" t="s">
        <v>24</v>
      </c>
      <c r="H270" s="59">
        <v>0.30499999999999999</v>
      </c>
      <c r="I270" s="60">
        <v>24.76</v>
      </c>
      <c r="J270" s="128">
        <f t="shared" si="28"/>
        <v>7.55</v>
      </c>
    </row>
    <row r="271" spans="1:10" ht="39" customHeight="1">
      <c r="A271" s="56" t="s">
        <v>153</v>
      </c>
      <c r="B271" s="57" t="s">
        <v>276</v>
      </c>
      <c r="C271" s="56" t="s">
        <v>29</v>
      </c>
      <c r="D271" s="56" t="s">
        <v>277</v>
      </c>
      <c r="E271" s="161" t="s">
        <v>278</v>
      </c>
      <c r="F271" s="161"/>
      <c r="G271" s="58" t="s">
        <v>279</v>
      </c>
      <c r="H271" s="59">
        <v>6.3E-3</v>
      </c>
      <c r="I271" s="60">
        <v>31.23</v>
      </c>
      <c r="J271" s="128">
        <f t="shared" si="28"/>
        <v>0.2</v>
      </c>
    </row>
    <row r="272" spans="1:10" ht="39" customHeight="1">
      <c r="A272" s="56" t="s">
        <v>153</v>
      </c>
      <c r="B272" s="57" t="s">
        <v>280</v>
      </c>
      <c r="C272" s="56" t="s">
        <v>29</v>
      </c>
      <c r="D272" s="56" t="s">
        <v>281</v>
      </c>
      <c r="E272" s="161" t="s">
        <v>278</v>
      </c>
      <c r="F272" s="161"/>
      <c r="G272" s="58" t="s">
        <v>282</v>
      </c>
      <c r="H272" s="59">
        <v>8.6999999999999994E-3</v>
      </c>
      <c r="I272" s="60">
        <v>30.17</v>
      </c>
      <c r="J272" s="128">
        <f t="shared" si="28"/>
        <v>0.26</v>
      </c>
    </row>
    <row r="273" spans="1:10" ht="25.95" customHeight="1">
      <c r="A273" s="64" t="s">
        <v>164</v>
      </c>
      <c r="B273" s="65" t="s">
        <v>288</v>
      </c>
      <c r="C273" s="64" t="s">
        <v>29</v>
      </c>
      <c r="D273" s="64" t="s">
        <v>289</v>
      </c>
      <c r="E273" s="157" t="s">
        <v>167</v>
      </c>
      <c r="F273" s="157"/>
      <c r="G273" s="66" t="s">
        <v>59</v>
      </c>
      <c r="H273" s="67">
        <v>3</v>
      </c>
      <c r="I273" s="68">
        <v>3.51</v>
      </c>
      <c r="J273" s="128">
        <f t="shared" si="28"/>
        <v>10.53</v>
      </c>
    </row>
    <row r="274" spans="1:10" ht="30" customHeight="1" thickBot="1">
      <c r="A274" s="61"/>
      <c r="B274" s="61"/>
      <c r="C274" s="61"/>
      <c r="D274" s="61"/>
      <c r="E274" s="61"/>
      <c r="F274" s="61"/>
      <c r="G274" s="61" t="s">
        <v>158</v>
      </c>
      <c r="H274" s="62">
        <f>'MOCINHA BARBALHO'!F40</f>
        <v>44</v>
      </c>
      <c r="I274" s="61" t="s">
        <v>159</v>
      </c>
      <c r="J274" s="127">
        <f>'MOCINHA BARBALHO'!I40</f>
        <v>1789.08</v>
      </c>
    </row>
    <row r="275" spans="1:10" ht="1.05" customHeight="1" thickTop="1">
      <c r="A275" s="63"/>
      <c r="B275" s="63"/>
      <c r="C275" s="63"/>
      <c r="D275" s="63"/>
      <c r="E275" s="63"/>
      <c r="F275" s="63"/>
      <c r="G275" s="63"/>
      <c r="H275" s="63"/>
      <c r="I275" s="63"/>
      <c r="J275" s="129"/>
    </row>
    <row r="276" spans="1:10" ht="24" customHeight="1">
      <c r="A276" s="45" t="s">
        <v>89</v>
      </c>
      <c r="B276" s="45"/>
      <c r="C276" s="45"/>
      <c r="D276" s="45" t="s">
        <v>67</v>
      </c>
      <c r="E276" s="45"/>
      <c r="F276" s="158"/>
      <c r="G276" s="158"/>
      <c r="H276" s="46"/>
      <c r="I276" s="45"/>
      <c r="J276" s="130">
        <f>SUM(J287,J294)</f>
        <v>1860.79</v>
      </c>
    </row>
    <row r="277" spans="1:10" ht="18" customHeight="1">
      <c r="A277" s="48" t="s">
        <v>90</v>
      </c>
      <c r="B277" s="49" t="s">
        <v>9</v>
      </c>
      <c r="C277" s="48" t="s">
        <v>10</v>
      </c>
      <c r="D277" s="48" t="s">
        <v>11</v>
      </c>
      <c r="E277" s="159" t="s">
        <v>150</v>
      </c>
      <c r="F277" s="159"/>
      <c r="G277" s="50" t="s">
        <v>12</v>
      </c>
      <c r="H277" s="49" t="s">
        <v>13</v>
      </c>
      <c r="I277" s="49" t="s">
        <v>14</v>
      </c>
      <c r="J277" s="49" t="s">
        <v>16</v>
      </c>
    </row>
    <row r="278" spans="1:10" ht="39" customHeight="1">
      <c r="A278" s="51" t="s">
        <v>151</v>
      </c>
      <c r="B278" s="52" t="s">
        <v>76</v>
      </c>
      <c r="C278" s="51" t="s">
        <v>29</v>
      </c>
      <c r="D278" s="51" t="s">
        <v>77</v>
      </c>
      <c r="E278" s="160" t="s">
        <v>244</v>
      </c>
      <c r="F278" s="160"/>
      <c r="G278" s="53" t="s">
        <v>31</v>
      </c>
      <c r="H278" s="54">
        <v>1</v>
      </c>
      <c r="I278" s="55">
        <f>'MOCINHA BARBALHO'!G42</f>
        <v>73.739999999999995</v>
      </c>
      <c r="J278" s="128">
        <f t="shared" ref="J278:J286" si="29">ROUND(H278*I278,2)</f>
        <v>73.739999999999995</v>
      </c>
    </row>
    <row r="279" spans="1:10" ht="25.95" customHeight="1">
      <c r="A279" s="56" t="s">
        <v>153</v>
      </c>
      <c r="B279" s="57" t="s">
        <v>245</v>
      </c>
      <c r="C279" s="56" t="s">
        <v>29</v>
      </c>
      <c r="D279" s="56" t="s">
        <v>246</v>
      </c>
      <c r="E279" s="161" t="s">
        <v>152</v>
      </c>
      <c r="F279" s="161"/>
      <c r="G279" s="58" t="s">
        <v>24</v>
      </c>
      <c r="H279" s="59">
        <v>0.49940000000000001</v>
      </c>
      <c r="I279" s="60">
        <v>29.6</v>
      </c>
      <c r="J279" s="128">
        <f t="shared" si="29"/>
        <v>14.78</v>
      </c>
    </row>
    <row r="280" spans="1:10" ht="39" customHeight="1">
      <c r="A280" s="64" t="s">
        <v>164</v>
      </c>
      <c r="B280" s="65" t="s">
        <v>247</v>
      </c>
      <c r="C280" s="64" t="s">
        <v>29</v>
      </c>
      <c r="D280" s="64" t="s">
        <v>248</v>
      </c>
      <c r="E280" s="157" t="s">
        <v>167</v>
      </c>
      <c r="F280" s="157"/>
      <c r="G280" s="66" t="s">
        <v>31</v>
      </c>
      <c r="H280" s="67">
        <v>1.0955999999999999</v>
      </c>
      <c r="I280" s="68">
        <v>26.61</v>
      </c>
      <c r="J280" s="128">
        <f t="shared" si="29"/>
        <v>29.15</v>
      </c>
    </row>
    <row r="281" spans="1:10" ht="39" customHeight="1">
      <c r="A281" s="64" t="s">
        <v>164</v>
      </c>
      <c r="B281" s="65" t="s">
        <v>249</v>
      </c>
      <c r="C281" s="64" t="s">
        <v>29</v>
      </c>
      <c r="D281" s="64" t="s">
        <v>250</v>
      </c>
      <c r="E281" s="157" t="s">
        <v>167</v>
      </c>
      <c r="F281" s="157"/>
      <c r="G281" s="66" t="s">
        <v>40</v>
      </c>
      <c r="H281" s="67">
        <v>3.8498999999999999</v>
      </c>
      <c r="I281" s="68">
        <v>5.82</v>
      </c>
      <c r="J281" s="128">
        <f t="shared" si="29"/>
        <v>22.41</v>
      </c>
    </row>
    <row r="282" spans="1:10" ht="39" customHeight="1">
      <c r="A282" s="64" t="s">
        <v>164</v>
      </c>
      <c r="B282" s="65" t="s">
        <v>251</v>
      </c>
      <c r="C282" s="64" t="s">
        <v>29</v>
      </c>
      <c r="D282" s="64" t="s">
        <v>252</v>
      </c>
      <c r="E282" s="157" t="s">
        <v>253</v>
      </c>
      <c r="F282" s="157"/>
      <c r="G282" s="66" t="s">
        <v>59</v>
      </c>
      <c r="H282" s="67">
        <v>1.3265</v>
      </c>
      <c r="I282" s="68">
        <v>2.19</v>
      </c>
      <c r="J282" s="128">
        <f t="shared" si="29"/>
        <v>2.91</v>
      </c>
    </row>
    <row r="283" spans="1:10" ht="39" customHeight="1">
      <c r="A283" s="64" t="s">
        <v>164</v>
      </c>
      <c r="B283" s="65" t="s">
        <v>254</v>
      </c>
      <c r="C283" s="64" t="s">
        <v>29</v>
      </c>
      <c r="D283" s="64" t="s">
        <v>255</v>
      </c>
      <c r="E283" s="157" t="s">
        <v>167</v>
      </c>
      <c r="F283" s="157"/>
      <c r="G283" s="66" t="s">
        <v>59</v>
      </c>
      <c r="H283" s="67">
        <v>2.1911999999999998</v>
      </c>
      <c r="I283" s="68">
        <v>0.31</v>
      </c>
      <c r="J283" s="128">
        <f t="shared" si="29"/>
        <v>0.68</v>
      </c>
    </row>
    <row r="284" spans="1:10" ht="25.95" customHeight="1">
      <c r="A284" s="64" t="s">
        <v>164</v>
      </c>
      <c r="B284" s="65" t="s">
        <v>256</v>
      </c>
      <c r="C284" s="64" t="s">
        <v>29</v>
      </c>
      <c r="D284" s="64" t="s">
        <v>257</v>
      </c>
      <c r="E284" s="157" t="s">
        <v>167</v>
      </c>
      <c r="F284" s="157"/>
      <c r="G284" s="66" t="s">
        <v>258</v>
      </c>
      <c r="H284" s="67">
        <v>1.32E-2</v>
      </c>
      <c r="I284" s="68">
        <v>35.85</v>
      </c>
      <c r="J284" s="128">
        <f t="shared" si="29"/>
        <v>0.47</v>
      </c>
    </row>
    <row r="285" spans="1:10" ht="25.95" customHeight="1">
      <c r="A285" s="64" t="s">
        <v>164</v>
      </c>
      <c r="B285" s="65" t="s">
        <v>259</v>
      </c>
      <c r="C285" s="64" t="s">
        <v>29</v>
      </c>
      <c r="D285" s="64" t="s">
        <v>260</v>
      </c>
      <c r="E285" s="157" t="s">
        <v>167</v>
      </c>
      <c r="F285" s="157"/>
      <c r="G285" s="66" t="s">
        <v>258</v>
      </c>
      <c r="H285" s="67">
        <v>3.3300000000000003E-2</v>
      </c>
      <c r="I285" s="68">
        <v>61.47</v>
      </c>
      <c r="J285" s="128">
        <f t="shared" si="29"/>
        <v>2.0499999999999998</v>
      </c>
    </row>
    <row r="286" spans="1:10" ht="39" customHeight="1">
      <c r="A286" s="64" t="s">
        <v>164</v>
      </c>
      <c r="B286" s="65" t="s">
        <v>261</v>
      </c>
      <c r="C286" s="64" t="s">
        <v>29</v>
      </c>
      <c r="D286" s="64" t="s">
        <v>262</v>
      </c>
      <c r="E286" s="157" t="s">
        <v>167</v>
      </c>
      <c r="F286" s="157"/>
      <c r="G286" s="66" t="s">
        <v>126</v>
      </c>
      <c r="H286" s="67">
        <v>4.2599999999999999E-2</v>
      </c>
      <c r="I286" s="68">
        <v>31.36</v>
      </c>
      <c r="J286" s="128">
        <f t="shared" si="29"/>
        <v>1.34</v>
      </c>
    </row>
    <row r="287" spans="1:10" ht="30" customHeight="1" thickBot="1">
      <c r="A287" s="61"/>
      <c r="B287" s="61"/>
      <c r="C287" s="61"/>
      <c r="D287" s="61"/>
      <c r="E287" s="61"/>
      <c r="F287" s="61"/>
      <c r="G287" s="61" t="s">
        <v>158</v>
      </c>
      <c r="H287" s="62">
        <f>'MOCINHA BARBALHO'!F42</f>
        <v>13</v>
      </c>
      <c r="I287" s="61" t="s">
        <v>159</v>
      </c>
      <c r="J287" s="127">
        <f>'MOCINHA BARBALHO'!I42</f>
        <v>1177.95</v>
      </c>
    </row>
    <row r="288" spans="1:10" ht="1.05" customHeight="1" thickTop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</row>
    <row r="289" spans="1:11" ht="18" customHeight="1">
      <c r="A289" s="48" t="s">
        <v>357</v>
      </c>
      <c r="B289" s="49" t="s">
        <v>9</v>
      </c>
      <c r="C289" s="48" t="s">
        <v>10</v>
      </c>
      <c r="D289" s="48" t="s">
        <v>11</v>
      </c>
      <c r="E289" s="159" t="s">
        <v>150</v>
      </c>
      <c r="F289" s="159"/>
      <c r="G289" s="50" t="s">
        <v>12</v>
      </c>
      <c r="H289" s="49" t="s">
        <v>13</v>
      </c>
      <c r="I289" s="49" t="s">
        <v>14</v>
      </c>
      <c r="J289" s="49" t="s">
        <v>16</v>
      </c>
    </row>
    <row r="290" spans="1:11" ht="24" customHeight="1">
      <c r="A290" s="51" t="s">
        <v>151</v>
      </c>
      <c r="B290" s="52" t="s">
        <v>91</v>
      </c>
      <c r="C290" s="51" t="s">
        <v>22</v>
      </c>
      <c r="D290" s="51" t="s">
        <v>92</v>
      </c>
      <c r="E290" s="160" t="s">
        <v>205</v>
      </c>
      <c r="F290" s="160"/>
      <c r="G290" s="53" t="s">
        <v>71</v>
      </c>
      <c r="H290" s="54">
        <v>1</v>
      </c>
      <c r="I290" s="55">
        <f>'MOCINHA BARBALHO'!G43</f>
        <v>2.68</v>
      </c>
      <c r="J290" s="128">
        <f t="shared" ref="J290:J293" si="30">ROUND(H290*I290,2)</f>
        <v>2.68</v>
      </c>
      <c r="K290" s="143"/>
    </row>
    <row r="291" spans="1:11" ht="24" customHeight="1">
      <c r="A291" s="56" t="s">
        <v>153</v>
      </c>
      <c r="B291" s="57" t="s">
        <v>156</v>
      </c>
      <c r="C291" s="56" t="s">
        <v>29</v>
      </c>
      <c r="D291" s="56" t="s">
        <v>157</v>
      </c>
      <c r="E291" s="161" t="s">
        <v>152</v>
      </c>
      <c r="F291" s="161"/>
      <c r="G291" s="58" t="s">
        <v>24</v>
      </c>
      <c r="H291" s="59">
        <v>0.1</v>
      </c>
      <c r="I291" s="60">
        <v>20.420000000000002</v>
      </c>
      <c r="J291" s="128">
        <f t="shared" si="30"/>
        <v>2.04</v>
      </c>
      <c r="K291" s="143"/>
    </row>
    <row r="292" spans="1:11" ht="24" customHeight="1">
      <c r="A292" s="64" t="s">
        <v>164</v>
      </c>
      <c r="B292" s="65" t="s">
        <v>290</v>
      </c>
      <c r="C292" s="64" t="s">
        <v>209</v>
      </c>
      <c r="D292" s="64" t="s">
        <v>291</v>
      </c>
      <c r="E292" s="157" t="s">
        <v>167</v>
      </c>
      <c r="F292" s="157"/>
      <c r="G292" s="66" t="s">
        <v>211</v>
      </c>
      <c r="H292" s="67">
        <v>0.05</v>
      </c>
      <c r="I292" s="68">
        <v>11.8</v>
      </c>
      <c r="J292" s="128">
        <f t="shared" si="30"/>
        <v>0.59</v>
      </c>
    </row>
    <row r="293" spans="1:11" ht="24" customHeight="1">
      <c r="A293" s="64" t="s">
        <v>164</v>
      </c>
      <c r="B293" s="65" t="s">
        <v>292</v>
      </c>
      <c r="C293" s="64" t="s">
        <v>209</v>
      </c>
      <c r="D293" s="64" t="s">
        <v>293</v>
      </c>
      <c r="E293" s="157" t="s">
        <v>167</v>
      </c>
      <c r="F293" s="157"/>
      <c r="G293" s="66" t="s">
        <v>241</v>
      </c>
      <c r="H293" s="67">
        <v>5.0000000000000001E-3</v>
      </c>
      <c r="I293" s="68">
        <v>9.68</v>
      </c>
      <c r="J293" s="128">
        <f t="shared" si="30"/>
        <v>0.05</v>
      </c>
    </row>
    <row r="294" spans="1:11" ht="30" customHeight="1" thickBot="1">
      <c r="A294" s="61"/>
      <c r="B294" s="61"/>
      <c r="C294" s="61"/>
      <c r="D294" s="61"/>
      <c r="E294" s="61"/>
      <c r="F294" s="61"/>
      <c r="G294" s="61" t="s">
        <v>158</v>
      </c>
      <c r="H294" s="62">
        <f>'MOCINHA BARBALHO'!F43</f>
        <v>207.35</v>
      </c>
      <c r="I294" s="61" t="s">
        <v>159</v>
      </c>
      <c r="J294" s="127">
        <f>'MOCINHA BARBALHO'!I43</f>
        <v>682.84</v>
      </c>
    </row>
    <row r="295" spans="1:11" ht="1.05" customHeight="1" thickTop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</row>
    <row r="296" spans="1:11">
      <c r="A296" s="69"/>
      <c r="B296" s="69"/>
      <c r="C296" s="69"/>
      <c r="D296" s="69"/>
      <c r="E296" s="69"/>
      <c r="F296" s="69"/>
      <c r="G296" s="69"/>
      <c r="H296" s="69"/>
      <c r="I296" s="69"/>
      <c r="J296" s="69"/>
    </row>
    <row r="297" spans="1:11">
      <c r="A297" s="153"/>
      <c r="B297" s="153"/>
      <c r="C297" s="153"/>
      <c r="D297" s="70"/>
      <c r="E297" s="61"/>
      <c r="F297" s="154" t="s">
        <v>93</v>
      </c>
      <c r="G297" s="153"/>
      <c r="H297" s="155">
        <f>SUM('MOCINHA BARBALHO'!H45:J45)</f>
        <v>63431.65</v>
      </c>
      <c r="I297" s="155"/>
      <c r="J297" s="155"/>
    </row>
    <row r="298" spans="1:11">
      <c r="A298" s="153"/>
      <c r="B298" s="153"/>
      <c r="C298" s="153"/>
      <c r="D298" s="70"/>
      <c r="E298" s="61"/>
      <c r="F298" s="154" t="s">
        <v>94</v>
      </c>
      <c r="G298" s="153"/>
      <c r="H298" s="155">
        <f>SUM('MOCINHA BARBALHO'!H46:J46)</f>
        <v>18818.93</v>
      </c>
      <c r="I298" s="155"/>
      <c r="J298" s="155"/>
    </row>
    <row r="299" spans="1:11">
      <c r="A299" s="153"/>
      <c r="B299" s="153"/>
      <c r="C299" s="153"/>
      <c r="D299" s="70"/>
      <c r="E299" s="61"/>
      <c r="F299" s="154" t="s">
        <v>95</v>
      </c>
      <c r="G299" s="153"/>
      <c r="H299" s="155">
        <f>SUM(J4,J23,J76,J119,J149,J179,J218,J276)</f>
        <v>82250.579999999987</v>
      </c>
      <c r="I299" s="155"/>
      <c r="J299" s="155"/>
    </row>
    <row r="300" spans="1:11" ht="60" customHeight="1">
      <c r="A300" s="71"/>
      <c r="B300" s="71"/>
      <c r="C300" s="71"/>
      <c r="D300" s="71"/>
      <c r="E300" s="71"/>
      <c r="F300" s="71"/>
      <c r="G300" s="71"/>
      <c r="H300" s="71"/>
      <c r="I300" s="71"/>
      <c r="J300" s="71"/>
    </row>
    <row r="301" spans="1:11" ht="70.05" customHeight="1">
      <c r="A301" s="156"/>
      <c r="B301" s="150"/>
      <c r="C301" s="150"/>
      <c r="D301" s="150"/>
      <c r="E301" s="150"/>
      <c r="F301" s="150"/>
      <c r="G301" s="150"/>
      <c r="H301" s="150"/>
      <c r="I301" s="150"/>
      <c r="J301" s="150"/>
    </row>
  </sheetData>
  <mergeCells count="249">
    <mergeCell ref="C1:D1"/>
    <mergeCell ref="E1:F1"/>
    <mergeCell ref="G1:H1"/>
    <mergeCell ref="I1:J1"/>
    <mergeCell ref="C2:D2"/>
    <mergeCell ref="E2:F2"/>
    <mergeCell ref="G2:H2"/>
    <mergeCell ref="I2:J2"/>
    <mergeCell ref="E11:F11"/>
    <mergeCell ref="E17:F17"/>
    <mergeCell ref="E18:F18"/>
    <mergeCell ref="E19:F19"/>
    <mergeCell ref="E20:F20"/>
    <mergeCell ref="F23:G23"/>
    <mergeCell ref="E12:F12"/>
    <mergeCell ref="E13:F13"/>
    <mergeCell ref="E16:F16"/>
    <mergeCell ref="A3:J3"/>
    <mergeCell ref="F4:G4"/>
    <mergeCell ref="E5:F5"/>
    <mergeCell ref="E6:F6"/>
    <mergeCell ref="E7:F7"/>
    <mergeCell ref="E8:F8"/>
    <mergeCell ref="E30:F30"/>
    <mergeCell ref="E33:F33"/>
    <mergeCell ref="E34:F34"/>
    <mergeCell ref="E35:F35"/>
    <mergeCell ref="E36:F36"/>
    <mergeCell ref="E24:F24"/>
    <mergeCell ref="E25:F25"/>
    <mergeCell ref="E26:F26"/>
    <mergeCell ref="E27:F27"/>
    <mergeCell ref="E28:F28"/>
    <mergeCell ref="E29:F29"/>
    <mergeCell ref="E43:F43"/>
    <mergeCell ref="E44:F44"/>
    <mergeCell ref="E45:F45"/>
    <mergeCell ref="E46:F46"/>
    <mergeCell ref="E49:F49"/>
    <mergeCell ref="E37:F37"/>
    <mergeCell ref="E38:F38"/>
    <mergeCell ref="E39:F39"/>
    <mergeCell ref="E40:F40"/>
    <mergeCell ref="E41:F41"/>
    <mergeCell ref="E42:F42"/>
    <mergeCell ref="E58:F58"/>
    <mergeCell ref="E59:F59"/>
    <mergeCell ref="E60:F60"/>
    <mergeCell ref="E61:F61"/>
    <mergeCell ref="E62:F62"/>
    <mergeCell ref="E50:F50"/>
    <mergeCell ref="E51:F51"/>
    <mergeCell ref="E52:F52"/>
    <mergeCell ref="E53:F53"/>
    <mergeCell ref="E54:F54"/>
    <mergeCell ref="E55:F55"/>
    <mergeCell ref="E70:F70"/>
    <mergeCell ref="E71:F71"/>
    <mergeCell ref="E72:F72"/>
    <mergeCell ref="E73:F73"/>
    <mergeCell ref="F76:G76"/>
    <mergeCell ref="E63:F63"/>
    <mergeCell ref="E64:F64"/>
    <mergeCell ref="E67:F67"/>
    <mergeCell ref="E68:F68"/>
    <mergeCell ref="E69:F69"/>
    <mergeCell ref="E83:F83"/>
    <mergeCell ref="E86:F86"/>
    <mergeCell ref="E87:F87"/>
    <mergeCell ref="E88:F88"/>
    <mergeCell ref="E89:F89"/>
    <mergeCell ref="E97:F97"/>
    <mergeCell ref="E98:F98"/>
    <mergeCell ref="E77:F77"/>
    <mergeCell ref="E78:F78"/>
    <mergeCell ref="E79:F79"/>
    <mergeCell ref="E80:F80"/>
    <mergeCell ref="E81:F81"/>
    <mergeCell ref="E82:F82"/>
    <mergeCell ref="E99:F99"/>
    <mergeCell ref="E100:F100"/>
    <mergeCell ref="E101:F101"/>
    <mergeCell ref="E102:F102"/>
    <mergeCell ref="E90:F90"/>
    <mergeCell ref="E91:F91"/>
    <mergeCell ref="E92:F92"/>
    <mergeCell ref="E110:F110"/>
    <mergeCell ref="E111:F111"/>
    <mergeCell ref="E95:F95"/>
    <mergeCell ref="E96:F96"/>
    <mergeCell ref="E112:F112"/>
    <mergeCell ref="E113:F113"/>
    <mergeCell ref="E114:F114"/>
    <mergeCell ref="E115:F115"/>
    <mergeCell ref="E105:F105"/>
    <mergeCell ref="E106:F106"/>
    <mergeCell ref="E107:F107"/>
    <mergeCell ref="E108:F108"/>
    <mergeCell ref="E109:F109"/>
    <mergeCell ref="E123:F123"/>
    <mergeCell ref="E124:F124"/>
    <mergeCell ref="E125:F125"/>
    <mergeCell ref="E128:F128"/>
    <mergeCell ref="E129:F129"/>
    <mergeCell ref="E116:F116"/>
    <mergeCell ref="F119:G119"/>
    <mergeCell ref="E120:F120"/>
    <mergeCell ref="E121:F121"/>
    <mergeCell ref="E122:F122"/>
    <mergeCell ref="E136:F136"/>
    <mergeCell ref="E137:F137"/>
    <mergeCell ref="E138:F138"/>
    <mergeCell ref="E141:F141"/>
    <mergeCell ref="E142:F142"/>
    <mergeCell ref="E130:F130"/>
    <mergeCell ref="E131:F131"/>
    <mergeCell ref="E132:F132"/>
    <mergeCell ref="E133:F133"/>
    <mergeCell ref="E134:F134"/>
    <mergeCell ref="E135:F135"/>
    <mergeCell ref="E150:F150"/>
    <mergeCell ref="E151:F151"/>
    <mergeCell ref="E152:F152"/>
    <mergeCell ref="E153:F153"/>
    <mergeCell ref="E154:F154"/>
    <mergeCell ref="E143:F143"/>
    <mergeCell ref="E144:F144"/>
    <mergeCell ref="E145:F145"/>
    <mergeCell ref="E146:F146"/>
    <mergeCell ref="F149:G149"/>
    <mergeCell ref="E165:F165"/>
    <mergeCell ref="E166:F166"/>
    <mergeCell ref="E167:F167"/>
    <mergeCell ref="E168:F168"/>
    <mergeCell ref="E169:F169"/>
    <mergeCell ref="E157:F157"/>
    <mergeCell ref="E158:F158"/>
    <mergeCell ref="E159:F159"/>
    <mergeCell ref="E160:F160"/>
    <mergeCell ref="E161:F161"/>
    <mergeCell ref="E162:F162"/>
    <mergeCell ref="F179:G179"/>
    <mergeCell ref="E180:F180"/>
    <mergeCell ref="E181:F181"/>
    <mergeCell ref="E182:F182"/>
    <mergeCell ref="E183:F183"/>
    <mergeCell ref="E172:F172"/>
    <mergeCell ref="E173:F173"/>
    <mergeCell ref="E174:F174"/>
    <mergeCell ref="E175:F175"/>
    <mergeCell ref="E176:F176"/>
    <mergeCell ref="E191:F191"/>
    <mergeCell ref="E192:F192"/>
    <mergeCell ref="E193:F193"/>
    <mergeCell ref="E194:F194"/>
    <mergeCell ref="E195:F195"/>
    <mergeCell ref="E196:F196"/>
    <mergeCell ref="E184:F184"/>
    <mergeCell ref="E185:F185"/>
    <mergeCell ref="E186:F186"/>
    <mergeCell ref="E187:F187"/>
    <mergeCell ref="E190:F190"/>
    <mergeCell ref="E204:F204"/>
    <mergeCell ref="E205:F205"/>
    <mergeCell ref="E206:F206"/>
    <mergeCell ref="E207:F207"/>
    <mergeCell ref="E210:F210"/>
    <mergeCell ref="E197:F197"/>
    <mergeCell ref="E200:F200"/>
    <mergeCell ref="E201:F201"/>
    <mergeCell ref="E202:F202"/>
    <mergeCell ref="E203:F203"/>
    <mergeCell ref="F218:G218"/>
    <mergeCell ref="E219:F219"/>
    <mergeCell ref="E220:F220"/>
    <mergeCell ref="E221:F221"/>
    <mergeCell ref="E222:F222"/>
    <mergeCell ref="E223:F223"/>
    <mergeCell ref="E211:F211"/>
    <mergeCell ref="E212:F212"/>
    <mergeCell ref="E213:F213"/>
    <mergeCell ref="E214:F214"/>
    <mergeCell ref="E215:F215"/>
    <mergeCell ref="E230:F230"/>
    <mergeCell ref="E233:F233"/>
    <mergeCell ref="E234:F234"/>
    <mergeCell ref="E235:F235"/>
    <mergeCell ref="E236:F236"/>
    <mergeCell ref="E224:F224"/>
    <mergeCell ref="E225:F225"/>
    <mergeCell ref="E226:F226"/>
    <mergeCell ref="E227:F227"/>
    <mergeCell ref="E228:F228"/>
    <mergeCell ref="E229:F229"/>
    <mergeCell ref="E244:F244"/>
    <mergeCell ref="E245:F245"/>
    <mergeCell ref="E246:F246"/>
    <mergeCell ref="E249:F249"/>
    <mergeCell ref="E250:F250"/>
    <mergeCell ref="E237:F237"/>
    <mergeCell ref="E238:F238"/>
    <mergeCell ref="E239:F239"/>
    <mergeCell ref="E242:F242"/>
    <mergeCell ref="E243:F243"/>
    <mergeCell ref="E258:F258"/>
    <mergeCell ref="E259:F259"/>
    <mergeCell ref="E260:F260"/>
    <mergeCell ref="E261:F261"/>
    <mergeCell ref="E262:F262"/>
    <mergeCell ref="E263:F263"/>
    <mergeCell ref="E251:F251"/>
    <mergeCell ref="E252:F252"/>
    <mergeCell ref="E253:F253"/>
    <mergeCell ref="E254:F254"/>
    <mergeCell ref="E257:F257"/>
    <mergeCell ref="E271:F271"/>
    <mergeCell ref="E272:F272"/>
    <mergeCell ref="E273:F273"/>
    <mergeCell ref="F276:G276"/>
    <mergeCell ref="E277:F277"/>
    <mergeCell ref="E266:F266"/>
    <mergeCell ref="E267:F267"/>
    <mergeCell ref="E268:F268"/>
    <mergeCell ref="E269:F269"/>
    <mergeCell ref="E270:F270"/>
    <mergeCell ref="E284:F284"/>
    <mergeCell ref="E285:F285"/>
    <mergeCell ref="E286:F286"/>
    <mergeCell ref="E289:F289"/>
    <mergeCell ref="E290:F290"/>
    <mergeCell ref="E278:F278"/>
    <mergeCell ref="E279:F279"/>
    <mergeCell ref="E280:F280"/>
    <mergeCell ref="E281:F281"/>
    <mergeCell ref="E282:F282"/>
    <mergeCell ref="E283:F283"/>
    <mergeCell ref="A301:J301"/>
    <mergeCell ref="A298:C298"/>
    <mergeCell ref="F298:G298"/>
    <mergeCell ref="H298:J298"/>
    <mergeCell ref="A299:C299"/>
    <mergeCell ref="F299:G299"/>
    <mergeCell ref="H299:J299"/>
    <mergeCell ref="E291:F291"/>
    <mergeCell ref="E292:F292"/>
    <mergeCell ref="E293:F293"/>
    <mergeCell ref="A297:C297"/>
    <mergeCell ref="F297:G297"/>
    <mergeCell ref="H297:J29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B6A3F-79E8-498F-A745-83B087CE8D54}">
  <dimension ref="B1:L176"/>
  <sheetViews>
    <sheetView topLeftCell="A171" workbookViewId="0">
      <selection activeCell="K13" sqref="K13"/>
    </sheetView>
  </sheetViews>
  <sheetFormatPr defaultRowHeight="13.8"/>
  <cols>
    <col min="2" max="8" width="9.59765625" customWidth="1"/>
    <col min="9" max="9" width="10.796875" customWidth="1"/>
    <col min="10" max="11" width="9.59765625" customWidth="1"/>
    <col min="12" max="12" width="12.296875" customWidth="1"/>
  </cols>
  <sheetData>
    <row r="1" spans="2:12" ht="14.4" thickBot="1"/>
    <row r="2" spans="2:12" ht="14.4">
      <c r="B2" s="180" t="s">
        <v>97</v>
      </c>
      <c r="C2" s="181"/>
      <c r="D2" s="186" t="str">
        <f>'[2]PLANILHA ORÇAMENTÁRIA'!E2</f>
        <v>PREFEITURA MUNICIPAL DE ITAMBÉ</v>
      </c>
      <c r="E2" s="187"/>
      <c r="F2" s="187"/>
      <c r="G2" s="187"/>
      <c r="H2" s="187"/>
      <c r="I2" s="188"/>
      <c r="J2" s="189"/>
      <c r="K2" s="190"/>
      <c r="L2" s="191"/>
    </row>
    <row r="3" spans="2:12" ht="14.4">
      <c r="B3" s="182"/>
      <c r="C3" s="183"/>
      <c r="D3" s="198" t="str">
        <f>'[2]PLANILHA ORÇAMENTÁRIA'!E3</f>
        <v>SECRETARIA DE INFRAESTRUTURA</v>
      </c>
      <c r="E3" s="199"/>
      <c r="F3" s="199"/>
      <c r="G3" s="199"/>
      <c r="H3" s="199"/>
      <c r="I3" s="200"/>
      <c r="J3" s="192"/>
      <c r="K3" s="193"/>
      <c r="L3" s="194"/>
    </row>
    <row r="4" spans="2:12">
      <c r="B4" s="182"/>
      <c r="C4" s="183"/>
      <c r="D4" s="201" t="str">
        <f>'[3]MOCINHA BARBALHO'!D2:I2</f>
        <v>OBRA: AMPLIAÇÃO DA ESCOLA MOCINHA BARBALHO</v>
      </c>
      <c r="E4" s="202"/>
      <c r="F4" s="202"/>
      <c r="G4" s="202"/>
      <c r="H4" s="202"/>
      <c r="I4" s="203"/>
      <c r="J4" s="192"/>
      <c r="K4" s="193"/>
      <c r="L4" s="194"/>
    </row>
    <row r="5" spans="2:12" ht="26.4" customHeight="1" thickBot="1">
      <c r="B5" s="184"/>
      <c r="C5" s="185"/>
      <c r="D5" s="204"/>
      <c r="E5" s="205"/>
      <c r="F5" s="205"/>
      <c r="G5" s="205"/>
      <c r="H5" s="205"/>
      <c r="I5" s="206"/>
      <c r="J5" s="195"/>
      <c r="K5" s="196"/>
      <c r="L5" s="197"/>
    </row>
    <row r="6" spans="2:12">
      <c r="B6" s="17"/>
      <c r="C6" s="17"/>
      <c r="D6" s="17"/>
      <c r="E6" s="17"/>
      <c r="F6" s="17"/>
      <c r="G6" s="17"/>
      <c r="H6" s="17"/>
      <c r="I6" s="17"/>
      <c r="J6" s="18"/>
      <c r="K6" s="17"/>
      <c r="L6" s="17"/>
    </row>
    <row r="7" spans="2:12">
      <c r="B7" s="24" t="s">
        <v>99</v>
      </c>
      <c r="C7" s="179" t="str">
        <f>'[2]PLANILHA ORÇAMENTÁRIA'!E11</f>
        <v>SERVIÇOS PRELIMINARES</v>
      </c>
      <c r="D7" s="179"/>
      <c r="E7" s="179"/>
      <c r="F7" s="179"/>
      <c r="G7" s="179"/>
      <c r="H7" s="179"/>
      <c r="I7" s="179"/>
      <c r="J7" s="179"/>
      <c r="K7" s="25"/>
      <c r="L7" s="25"/>
    </row>
    <row r="8" spans="2:12">
      <c r="B8" s="19" t="s">
        <v>100</v>
      </c>
      <c r="C8" s="177" t="str">
        <f>'[3]MOCINHA BARBALHO'!D10</f>
        <v>DEMOLIÇÃO MANUAL DE PISO CIMENTADO SOBRE LASTRO DE CONCRETO - REV 01</v>
      </c>
      <c r="D8" s="177"/>
      <c r="E8" s="177"/>
      <c r="F8" s="177"/>
      <c r="G8" s="177"/>
      <c r="H8" s="177"/>
      <c r="I8" s="177"/>
      <c r="J8" s="177"/>
      <c r="K8" s="26" t="str">
        <f>'[3]MOCINHA BARBALHO'!E10</f>
        <v>M2</v>
      </c>
      <c r="L8" s="27">
        <f>K13</f>
        <v>207.35</v>
      </c>
    </row>
    <row r="9" spans="2:12">
      <c r="B9" s="21"/>
      <c r="C9" s="167" t="s">
        <v>101</v>
      </c>
      <c r="D9" s="167"/>
      <c r="E9" s="167"/>
      <c r="F9" s="29" t="s">
        <v>102</v>
      </c>
      <c r="G9" s="28" t="s">
        <v>103</v>
      </c>
      <c r="H9" s="29" t="s">
        <v>104</v>
      </c>
      <c r="I9" s="28" t="s">
        <v>105</v>
      </c>
      <c r="J9" s="28" t="s">
        <v>115</v>
      </c>
      <c r="K9" s="30" t="s">
        <v>107</v>
      </c>
      <c r="L9" s="23"/>
    </row>
    <row r="10" spans="2:12">
      <c r="B10" s="21"/>
      <c r="C10" s="165" t="s">
        <v>457</v>
      </c>
      <c r="D10" s="165"/>
      <c r="E10" s="165"/>
      <c r="F10" s="31"/>
      <c r="G10" s="31"/>
      <c r="H10" s="31"/>
      <c r="I10" s="31"/>
      <c r="J10" s="31">
        <v>72.2</v>
      </c>
      <c r="K10" s="32">
        <f>J10</f>
        <v>72.2</v>
      </c>
      <c r="L10" s="23"/>
    </row>
    <row r="11" spans="2:12">
      <c r="B11" s="21"/>
      <c r="C11" s="165" t="s">
        <v>458</v>
      </c>
      <c r="D11" s="165"/>
      <c r="E11" s="165"/>
      <c r="F11" s="31"/>
      <c r="G11" s="31"/>
      <c r="H11" s="31"/>
      <c r="I11" s="31"/>
      <c r="J11" s="31">
        <v>59.15</v>
      </c>
      <c r="K11" s="32">
        <f>J11</f>
        <v>59.15</v>
      </c>
      <c r="L11" s="23"/>
    </row>
    <row r="12" spans="2:12">
      <c r="B12" s="21"/>
      <c r="C12" s="207" t="s">
        <v>109</v>
      </c>
      <c r="D12" s="208"/>
      <c r="E12" s="209"/>
      <c r="F12" s="31"/>
      <c r="G12" s="31"/>
      <c r="H12" s="31"/>
      <c r="I12" s="31"/>
      <c r="J12" s="31">
        <f>38*2</f>
        <v>76</v>
      </c>
      <c r="K12" s="32">
        <f>J12</f>
        <v>76</v>
      </c>
      <c r="L12" s="23"/>
    </row>
    <row r="13" spans="2:12">
      <c r="B13" s="21"/>
      <c r="C13" s="166" t="s">
        <v>110</v>
      </c>
      <c r="D13" s="166"/>
      <c r="E13" s="166"/>
      <c r="F13" s="166"/>
      <c r="G13" s="166"/>
      <c r="H13" s="166"/>
      <c r="I13" s="166"/>
      <c r="J13" s="166"/>
      <c r="K13" s="33">
        <f>SUM(K10:K12)</f>
        <v>207.35</v>
      </c>
      <c r="L13" s="23"/>
    </row>
    <row r="15" spans="2:12">
      <c r="B15" s="19" t="s">
        <v>459</v>
      </c>
      <c r="C15" s="177" t="str">
        <f>'[3]MOCINHA BARBALHO'!D11</f>
        <v>ESCAVAÇÃO MANUAL DE VALA COM PROFUNDIDADE MENOR OU IGUAL A 1,30 M. AF_02/2021</v>
      </c>
      <c r="D15" s="177"/>
      <c r="E15" s="177"/>
      <c r="F15" s="177"/>
      <c r="G15" s="177"/>
      <c r="H15" s="177"/>
      <c r="I15" s="177"/>
      <c r="J15" s="177"/>
      <c r="K15" s="26" t="str">
        <f>'[3]MOCINHA BARBALHO'!E11</f>
        <v>M3</v>
      </c>
      <c r="L15" s="27">
        <f>K19</f>
        <v>7.5340000000000007</v>
      </c>
    </row>
    <row r="16" spans="2:12">
      <c r="B16" s="21"/>
      <c r="C16" s="167" t="s">
        <v>101</v>
      </c>
      <c r="D16" s="167"/>
      <c r="E16" s="167"/>
      <c r="F16" s="29" t="s">
        <v>102</v>
      </c>
      <c r="G16" s="28" t="s">
        <v>103</v>
      </c>
      <c r="H16" s="29" t="s">
        <v>104</v>
      </c>
      <c r="I16" s="28" t="s">
        <v>105</v>
      </c>
      <c r="J16" s="28" t="s">
        <v>106</v>
      </c>
      <c r="K16" s="30" t="s">
        <v>107</v>
      </c>
      <c r="L16" s="23"/>
    </row>
    <row r="17" spans="2:12">
      <c r="B17" s="21"/>
      <c r="C17" s="165" t="s">
        <v>460</v>
      </c>
      <c r="D17" s="165"/>
      <c r="E17" s="165"/>
      <c r="F17" s="31">
        <v>7</v>
      </c>
      <c r="G17" s="31">
        <v>1.3</v>
      </c>
      <c r="H17" s="31">
        <v>0.8</v>
      </c>
      <c r="I17" s="31">
        <v>0.8</v>
      </c>
      <c r="J17" s="31"/>
      <c r="K17" s="32">
        <f>F17*G17*H17*I17</f>
        <v>5.8240000000000007</v>
      </c>
      <c r="L17" s="23"/>
    </row>
    <row r="18" spans="2:12">
      <c r="B18" s="21"/>
      <c r="C18" s="165" t="s">
        <v>461</v>
      </c>
      <c r="D18" s="165"/>
      <c r="E18" s="165"/>
      <c r="F18" s="31">
        <v>1</v>
      </c>
      <c r="G18" s="31">
        <v>0.3</v>
      </c>
      <c r="H18" s="31">
        <v>0.3</v>
      </c>
      <c r="I18" s="31">
        <v>19</v>
      </c>
      <c r="J18" s="31"/>
      <c r="K18" s="32">
        <f>F18*G18*H18*I18</f>
        <v>1.71</v>
      </c>
      <c r="L18" s="23"/>
    </row>
    <row r="19" spans="2:12">
      <c r="B19" s="21"/>
      <c r="C19" s="166" t="s">
        <v>110</v>
      </c>
      <c r="D19" s="166"/>
      <c r="E19" s="166"/>
      <c r="F19" s="166"/>
      <c r="G19" s="166"/>
      <c r="H19" s="166"/>
      <c r="I19" s="166"/>
      <c r="J19" s="166"/>
      <c r="K19" s="33">
        <f>SUM(K17:K18)</f>
        <v>7.5340000000000007</v>
      </c>
      <c r="L19" s="23"/>
    </row>
    <row r="21" spans="2:12">
      <c r="B21" s="19" t="str">
        <f>'[3]MOCINHA BARBALHO'!C12</f>
        <v>1.3</v>
      </c>
      <c r="C21" s="177" t="str">
        <f>'[3]MOCINHA BARBALHO'!D12</f>
        <v>LASTRO DE CONCRETO MAGRO, APLICADO EM PISOS, LAJES SOBRE SOLO OU RADIERS. AF_08/2017</v>
      </c>
      <c r="D21" s="177"/>
      <c r="E21" s="177"/>
      <c r="F21" s="177"/>
      <c r="G21" s="177"/>
      <c r="H21" s="177"/>
      <c r="I21" s="177"/>
      <c r="J21" s="177"/>
      <c r="K21" s="26" t="str">
        <f>'[3]MOCINHA BARBALHO'!E12</f>
        <v>M3</v>
      </c>
      <c r="L21" s="27">
        <f>K25</f>
        <v>1.018</v>
      </c>
    </row>
    <row r="22" spans="2:12">
      <c r="B22" s="21"/>
      <c r="C22" s="167" t="s">
        <v>101</v>
      </c>
      <c r="D22" s="167"/>
      <c r="E22" s="167"/>
      <c r="F22" s="29" t="s">
        <v>102</v>
      </c>
      <c r="G22" s="28" t="s">
        <v>103</v>
      </c>
      <c r="H22" s="29" t="s">
        <v>104</v>
      </c>
      <c r="I22" s="28" t="s">
        <v>105</v>
      </c>
      <c r="J22" s="28" t="s">
        <v>106</v>
      </c>
      <c r="K22" s="30" t="s">
        <v>107</v>
      </c>
      <c r="L22" s="23"/>
    </row>
    <row r="23" spans="2:12">
      <c r="B23" s="21"/>
      <c r="C23" s="165" t="s">
        <v>460</v>
      </c>
      <c r="D23" s="165"/>
      <c r="E23" s="165"/>
      <c r="F23" s="31">
        <v>7</v>
      </c>
      <c r="G23" s="31">
        <v>0.1</v>
      </c>
      <c r="H23" s="31">
        <v>0.8</v>
      </c>
      <c r="I23" s="31">
        <v>0.8</v>
      </c>
      <c r="J23" s="31"/>
      <c r="K23" s="32">
        <f>F23*G23*H23*I23</f>
        <v>0.44800000000000006</v>
      </c>
      <c r="L23" s="23"/>
    </row>
    <row r="24" spans="2:12">
      <c r="B24" s="21"/>
      <c r="C24" s="165" t="s">
        <v>461</v>
      </c>
      <c r="D24" s="165"/>
      <c r="E24" s="165"/>
      <c r="F24" s="31">
        <v>1</v>
      </c>
      <c r="G24" s="31">
        <v>0.1</v>
      </c>
      <c r="H24" s="31">
        <v>0.3</v>
      </c>
      <c r="I24" s="31">
        <v>19</v>
      </c>
      <c r="J24" s="31"/>
      <c r="K24" s="32">
        <f>F24*G24*H24*I24</f>
        <v>0.56999999999999995</v>
      </c>
      <c r="L24" s="23"/>
    </row>
    <row r="25" spans="2:12">
      <c r="B25" s="21"/>
      <c r="C25" s="166" t="s">
        <v>110</v>
      </c>
      <c r="D25" s="166"/>
      <c r="E25" s="166"/>
      <c r="F25" s="166"/>
      <c r="G25" s="166"/>
      <c r="H25" s="166"/>
      <c r="I25" s="166"/>
      <c r="J25" s="166"/>
      <c r="K25" s="33">
        <f>SUM(K23:K24)</f>
        <v>1.018</v>
      </c>
      <c r="L25" s="23"/>
    </row>
    <row r="27" spans="2:12">
      <c r="B27" s="34" t="s">
        <v>111</v>
      </c>
      <c r="C27" s="168" t="str">
        <f>'[3]MOCINHA BARBALHO'!D13</f>
        <v>FUNDAÇÃO</v>
      </c>
      <c r="D27" s="168"/>
      <c r="E27" s="168"/>
      <c r="F27" s="168"/>
      <c r="G27" s="168"/>
      <c r="H27" s="168"/>
      <c r="I27" s="168"/>
      <c r="J27" s="168"/>
      <c r="K27" s="168"/>
      <c r="L27" s="168"/>
    </row>
    <row r="28" spans="2:12" ht="34.200000000000003" customHeight="1">
      <c r="B28" s="19" t="s">
        <v>112</v>
      </c>
      <c r="C28" s="169" t="str">
        <f>'[3]MOCINHA BARBALHO'!D14</f>
        <v>ARMAÇÃO DE BLOCO, VIGA BALDRAME OU SAPATA UTILIZANDO AÇO CA-50 DE 8 MM - MONTAGEM. AF_06/2017</v>
      </c>
      <c r="D28" s="169"/>
      <c r="E28" s="169"/>
      <c r="F28" s="169"/>
      <c r="G28" s="169"/>
      <c r="H28" s="169"/>
      <c r="I28" s="169"/>
      <c r="J28" s="169"/>
      <c r="K28" s="26" t="str">
        <f>'[3]MOCINHA BARBALHO'!E14</f>
        <v>KG</v>
      </c>
      <c r="L28" s="27">
        <f>K32</f>
        <v>47.716000000000008</v>
      </c>
    </row>
    <row r="29" spans="2:12">
      <c r="C29" s="167" t="s">
        <v>113</v>
      </c>
      <c r="D29" s="167"/>
      <c r="E29" s="167"/>
      <c r="F29" s="29" t="s">
        <v>102</v>
      </c>
      <c r="G29" s="28" t="s">
        <v>103</v>
      </c>
      <c r="H29" s="29" t="s">
        <v>104</v>
      </c>
      <c r="I29" s="28" t="s">
        <v>105</v>
      </c>
      <c r="J29" s="28" t="s">
        <v>462</v>
      </c>
      <c r="K29" s="30" t="s">
        <v>107</v>
      </c>
    </row>
    <row r="30" spans="2:12">
      <c r="C30" s="165" t="s">
        <v>463</v>
      </c>
      <c r="D30" s="165"/>
      <c r="E30" s="165"/>
      <c r="F30" s="31">
        <f>8*7</f>
        <v>56</v>
      </c>
      <c r="G30" s="31"/>
      <c r="H30" s="31"/>
      <c r="I30" s="31">
        <v>0.8</v>
      </c>
      <c r="J30" s="74">
        <v>0.39500000000000002</v>
      </c>
      <c r="K30" s="32">
        <f>J30*I30*F30</f>
        <v>17.696000000000005</v>
      </c>
    </row>
    <row r="31" spans="2:12">
      <c r="C31" s="207" t="s">
        <v>461</v>
      </c>
      <c r="D31" s="208"/>
      <c r="E31" s="209"/>
      <c r="F31" s="31">
        <v>4</v>
      </c>
      <c r="G31" s="31"/>
      <c r="H31" s="31"/>
      <c r="I31" s="31">
        <v>19</v>
      </c>
      <c r="J31" s="74">
        <v>0.39500000000000002</v>
      </c>
      <c r="K31" s="32">
        <f>J31*I31*F31</f>
        <v>30.020000000000003</v>
      </c>
    </row>
    <row r="32" spans="2:12">
      <c r="C32" s="166" t="s">
        <v>110</v>
      </c>
      <c r="D32" s="166"/>
      <c r="E32" s="166"/>
      <c r="F32" s="166"/>
      <c r="G32" s="166"/>
      <c r="H32" s="166"/>
      <c r="I32" s="166"/>
      <c r="J32" s="166"/>
      <c r="K32" s="33">
        <f>SUM(K30:K31)</f>
        <v>47.716000000000008</v>
      </c>
    </row>
    <row r="34" spans="2:12" ht="28.95" customHeight="1">
      <c r="B34" s="19" t="s">
        <v>114</v>
      </c>
      <c r="C34" s="169" t="str">
        <f>'[3]MOCINHA BARBALHO'!D15</f>
        <v>FABRICAÇÃO, MONTAGEM E DESMONTAGEM DE FÔRMA PARA SAPATA, EM CHAPA DE MADEIRA COMPENSADA RESINADA, E=17 MM, 2 UTILIZAÇÕES. AF_06/2017</v>
      </c>
      <c r="D34" s="169"/>
      <c r="E34" s="169"/>
      <c r="F34" s="169"/>
      <c r="G34" s="169"/>
      <c r="H34" s="169"/>
      <c r="I34" s="169"/>
      <c r="J34" s="169"/>
      <c r="K34" s="26" t="str">
        <f>'[3]MOCINHA BARBALHO'!E15</f>
        <v>M2</v>
      </c>
      <c r="L34" s="27">
        <f>K37</f>
        <v>0.72</v>
      </c>
    </row>
    <row r="35" spans="2:12">
      <c r="C35" s="167" t="s">
        <v>113</v>
      </c>
      <c r="D35" s="167"/>
      <c r="E35" s="167"/>
      <c r="F35" s="29" t="s">
        <v>102</v>
      </c>
      <c r="G35" s="28" t="s">
        <v>103</v>
      </c>
      <c r="H35" s="29" t="s">
        <v>104</v>
      </c>
      <c r="I35" s="28" t="s">
        <v>105</v>
      </c>
      <c r="J35" s="28" t="s">
        <v>115</v>
      </c>
      <c r="K35" s="30" t="s">
        <v>107</v>
      </c>
    </row>
    <row r="36" spans="2:12">
      <c r="C36" s="165" t="s">
        <v>460</v>
      </c>
      <c r="D36" s="165"/>
      <c r="E36" s="165"/>
      <c r="F36" s="31">
        <v>4</v>
      </c>
      <c r="G36" s="31">
        <v>0.3</v>
      </c>
      <c r="H36" s="31"/>
      <c r="I36" s="31">
        <v>0.6</v>
      </c>
      <c r="J36" s="31"/>
      <c r="K36" s="32">
        <f>I36*G36*F36</f>
        <v>0.72</v>
      </c>
    </row>
    <row r="37" spans="2:12">
      <c r="C37" s="166" t="s">
        <v>110</v>
      </c>
      <c r="D37" s="166"/>
      <c r="E37" s="166"/>
      <c r="F37" s="166"/>
      <c r="G37" s="166"/>
      <c r="H37" s="166"/>
      <c r="I37" s="166"/>
      <c r="J37" s="166"/>
      <c r="K37" s="33">
        <f>SUM(K36:K36)</f>
        <v>0.72</v>
      </c>
    </row>
    <row r="38" spans="2:12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2:12">
      <c r="B39" s="19" t="s">
        <v>464</v>
      </c>
      <c r="C39" s="169" t="str">
        <f>'[3]MOCINHA BARBALHO'!D16</f>
        <v>CONCRETAGEM DE SAPATAS, FCK 30 MPA, COM USO DE BOMBA  LANÇAMENTO, ADENSAMENTO E ACABAMENTO. AF_11/2016</v>
      </c>
      <c r="D39" s="169"/>
      <c r="E39" s="169"/>
      <c r="F39" s="169"/>
      <c r="G39" s="169"/>
      <c r="H39" s="169"/>
      <c r="I39" s="169"/>
      <c r="J39" s="169"/>
      <c r="K39" s="26" t="str">
        <f>'[3]MOCINHA BARBALHO'!E16</f>
        <v>M3</v>
      </c>
      <c r="L39" s="27">
        <f>K42</f>
        <v>0.32000000000000006</v>
      </c>
    </row>
    <row r="40" spans="2:12">
      <c r="C40" s="167" t="s">
        <v>113</v>
      </c>
      <c r="D40" s="167"/>
      <c r="E40" s="167"/>
      <c r="F40" s="29" t="s">
        <v>102</v>
      </c>
      <c r="G40" s="28" t="s">
        <v>103</v>
      </c>
      <c r="H40" s="29" t="s">
        <v>104</v>
      </c>
      <c r="I40" s="28" t="s">
        <v>105</v>
      </c>
      <c r="J40" s="28" t="s">
        <v>115</v>
      </c>
      <c r="K40" s="30" t="s">
        <v>107</v>
      </c>
    </row>
    <row r="41" spans="2:12">
      <c r="C41" s="165" t="s">
        <v>109</v>
      </c>
      <c r="D41" s="165"/>
      <c r="E41" s="165"/>
      <c r="F41" s="31"/>
      <c r="G41" s="31">
        <v>0.5</v>
      </c>
      <c r="H41" s="31">
        <v>0.8</v>
      </c>
      <c r="I41" s="31">
        <v>0.8</v>
      </c>
      <c r="J41" s="31"/>
      <c r="K41" s="32">
        <f>I41*H41*G41</f>
        <v>0.32000000000000006</v>
      </c>
    </row>
    <row r="42" spans="2:12">
      <c r="C42" s="166" t="s">
        <v>110</v>
      </c>
      <c r="D42" s="166"/>
      <c r="E42" s="166"/>
      <c r="F42" s="166"/>
      <c r="G42" s="166"/>
      <c r="H42" s="166"/>
      <c r="I42" s="166"/>
      <c r="J42" s="166"/>
      <c r="K42" s="33">
        <f>SUM(K41:K41)</f>
        <v>0.32000000000000006</v>
      </c>
    </row>
    <row r="43" spans="2:12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2:12">
      <c r="B44" s="19" t="s">
        <v>465</v>
      </c>
      <c r="C44" s="169" t="str">
        <f>'[3]MOCINHA BARBALHO'!D17</f>
        <v>ARMAÇÃO DE BLOCO, VIGA BALDRAME E SAPATA UTILIZANDO AÇO CA-60 DE 5 MM - MONTAGEM. AF_06/2017</v>
      </c>
      <c r="D44" s="169"/>
      <c r="E44" s="169"/>
      <c r="F44" s="169"/>
      <c r="G44" s="169"/>
      <c r="H44" s="169"/>
      <c r="I44" s="169"/>
      <c r="J44" s="169"/>
      <c r="K44" s="26" t="str">
        <f>'[3]MOCINHA BARBALHO'!E17</f>
        <v>KG</v>
      </c>
      <c r="L44" s="27">
        <f>K47</f>
        <v>13.6906</v>
      </c>
    </row>
    <row r="45" spans="2:12">
      <c r="C45" s="167" t="s">
        <v>113</v>
      </c>
      <c r="D45" s="167"/>
      <c r="E45" s="167"/>
      <c r="F45" s="29" t="s">
        <v>102</v>
      </c>
      <c r="G45" s="28" t="s">
        <v>103</v>
      </c>
      <c r="H45" s="29" t="s">
        <v>104</v>
      </c>
      <c r="I45" s="28" t="s">
        <v>105</v>
      </c>
      <c r="J45" s="28" t="s">
        <v>462</v>
      </c>
      <c r="K45" s="30" t="s">
        <v>107</v>
      </c>
    </row>
    <row r="46" spans="2:12">
      <c r="C46" s="165" t="s">
        <v>461</v>
      </c>
      <c r="D46" s="165"/>
      <c r="E46" s="165"/>
      <c r="F46" s="31">
        <v>127</v>
      </c>
      <c r="G46" s="31"/>
      <c r="H46" s="31"/>
      <c r="I46" s="31">
        <v>0.7</v>
      </c>
      <c r="J46" s="74">
        <v>0.154</v>
      </c>
      <c r="K46" s="32">
        <f>J46*I46*F46</f>
        <v>13.6906</v>
      </c>
    </row>
    <row r="47" spans="2:12">
      <c r="C47" s="166" t="s">
        <v>110</v>
      </c>
      <c r="D47" s="166"/>
      <c r="E47" s="166"/>
      <c r="F47" s="166"/>
      <c r="G47" s="166"/>
      <c r="H47" s="166"/>
      <c r="I47" s="166"/>
      <c r="J47" s="166"/>
      <c r="K47" s="33">
        <f>SUM(K46:K46)</f>
        <v>13.6906</v>
      </c>
    </row>
    <row r="48" spans="2:12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2:12">
      <c r="B49" s="19" t="s">
        <v>466</v>
      </c>
      <c r="C49" s="169" t="str">
        <f>'[3]MOCINHA BARBALHO'!D18</f>
        <v>CONCRETAGEM DE BLOCOS DE COROAMENTO E VIGAS BALDRAMES, FCK 30 MPA, COM USO DE BOMBA  LANÇAMENTO, ADENSAMENTO E ACABAMENTO. AF_06/2017</v>
      </c>
      <c r="D49" s="169"/>
      <c r="E49" s="169"/>
      <c r="F49" s="169"/>
      <c r="G49" s="169"/>
      <c r="H49" s="169"/>
      <c r="I49" s="169"/>
      <c r="J49" s="169"/>
      <c r="K49" s="26" t="str">
        <f>'[3]MOCINHA BARBALHO'!E18</f>
        <v>M3</v>
      </c>
      <c r="L49" s="27">
        <f>K52</f>
        <v>0.76000000000000012</v>
      </c>
    </row>
    <row r="50" spans="2:12">
      <c r="C50" s="167" t="s">
        <v>113</v>
      </c>
      <c r="D50" s="167"/>
      <c r="E50" s="167"/>
      <c r="F50" s="29" t="s">
        <v>102</v>
      </c>
      <c r="G50" s="28" t="s">
        <v>103</v>
      </c>
      <c r="H50" s="29" t="s">
        <v>104</v>
      </c>
      <c r="I50" s="28" t="s">
        <v>105</v>
      </c>
      <c r="J50" s="28" t="s">
        <v>115</v>
      </c>
      <c r="K50" s="30" t="s">
        <v>107</v>
      </c>
    </row>
    <row r="51" spans="2:12">
      <c r="C51" s="165" t="s">
        <v>461</v>
      </c>
      <c r="D51" s="165"/>
      <c r="E51" s="165"/>
      <c r="F51" s="31"/>
      <c r="G51" s="31">
        <v>0.2</v>
      </c>
      <c r="H51" s="31">
        <v>0.2</v>
      </c>
      <c r="I51" s="31">
        <v>19</v>
      </c>
      <c r="J51" s="31"/>
      <c r="K51" s="32">
        <f>I51*H51*G51</f>
        <v>0.76000000000000012</v>
      </c>
    </row>
    <row r="52" spans="2:12">
      <c r="C52" s="166" t="s">
        <v>110</v>
      </c>
      <c r="D52" s="166"/>
      <c r="E52" s="166"/>
      <c r="F52" s="166"/>
      <c r="G52" s="166"/>
      <c r="H52" s="166"/>
      <c r="I52" s="166"/>
      <c r="J52" s="166"/>
      <c r="K52" s="33">
        <f>SUM(K51:K51)</f>
        <v>0.76000000000000012</v>
      </c>
    </row>
    <row r="53" spans="2:12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2:12">
      <c r="B54" s="34" t="s">
        <v>116</v>
      </c>
      <c r="C54" s="168" t="str">
        <f>'[3]MOCINHA BARBALHO'!D19</f>
        <v>SUPERESTRUTURA</v>
      </c>
      <c r="D54" s="168"/>
      <c r="E54" s="168"/>
      <c r="F54" s="168"/>
      <c r="G54" s="168"/>
      <c r="H54" s="168"/>
      <c r="I54" s="168"/>
      <c r="J54" s="168"/>
      <c r="K54" s="168"/>
      <c r="L54" s="168"/>
    </row>
    <row r="55" spans="2:12">
      <c r="B55" s="19" t="s">
        <v>117</v>
      </c>
      <c r="C55" s="177" t="str">
        <f>'[3]MOCINHA BARBALHO'!D20</f>
        <v>ARMAÇÃO DE PILAR OU VIGA DE ESTRUTURA CONVENCIONAL DE CONCRETO ARMADO UTILIZANDO AÇO CA-50 DE 10,0 MM - MONTAGEM. AF_06/2022</v>
      </c>
      <c r="D55" s="177"/>
      <c r="E55" s="177"/>
      <c r="F55" s="177"/>
      <c r="G55" s="177"/>
      <c r="H55" s="177"/>
      <c r="I55" s="177"/>
      <c r="J55" s="177"/>
      <c r="K55" s="36" t="str">
        <f>'[3]MOCINHA BARBALHO'!E20</f>
        <v>KG</v>
      </c>
      <c r="L55" s="27">
        <f>K58</f>
        <v>51.828000000000003</v>
      </c>
    </row>
    <row r="56" spans="2:12">
      <c r="C56" s="167" t="s">
        <v>113</v>
      </c>
      <c r="D56" s="167"/>
      <c r="E56" s="167"/>
      <c r="F56" s="29" t="s">
        <v>102</v>
      </c>
      <c r="G56" s="28" t="s">
        <v>103</v>
      </c>
      <c r="H56" s="29" t="s">
        <v>104</v>
      </c>
      <c r="I56" s="28" t="s">
        <v>105</v>
      </c>
      <c r="J56" s="28" t="s">
        <v>462</v>
      </c>
      <c r="K56" s="30" t="s">
        <v>107</v>
      </c>
    </row>
    <row r="57" spans="2:12">
      <c r="C57" s="178" t="s">
        <v>467</v>
      </c>
      <c r="D57" s="175"/>
      <c r="E57" s="176"/>
      <c r="F57" s="29">
        <v>7</v>
      </c>
      <c r="G57" s="28">
        <v>3</v>
      </c>
      <c r="H57" s="29"/>
      <c r="I57" s="28">
        <v>4</v>
      </c>
      <c r="J57" s="75">
        <v>0.61699999999999999</v>
      </c>
      <c r="K57" s="30">
        <f>J57*I57*G57*F57</f>
        <v>51.828000000000003</v>
      </c>
    </row>
    <row r="58" spans="2:12">
      <c r="C58" s="166" t="s">
        <v>110</v>
      </c>
      <c r="D58" s="166"/>
      <c r="E58" s="166"/>
      <c r="F58" s="166"/>
      <c r="G58" s="166"/>
      <c r="H58" s="166"/>
      <c r="I58" s="166"/>
      <c r="J58" s="166"/>
      <c r="K58" s="33">
        <f>SUM(K57:K57)</f>
        <v>51.828000000000003</v>
      </c>
    </row>
    <row r="59" spans="2:12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2:12">
      <c r="B60" s="19" t="s">
        <v>468</v>
      </c>
      <c r="C60" s="177" t="str">
        <f>'[3]MOCINHA BARBALHO'!D21</f>
        <v>ARMAÇÃO DE PILAR OU VIGA DE ESTRUTURA CONVENCIONAL DE CONCRETO ARMADO UTILIZANDO AÇO CA-60 DE 5,0 MM - MONTAGEM. AF_06/2022</v>
      </c>
      <c r="D60" s="177"/>
      <c r="E60" s="177"/>
      <c r="F60" s="177"/>
      <c r="G60" s="177"/>
      <c r="H60" s="177"/>
      <c r="I60" s="177"/>
      <c r="J60" s="177"/>
      <c r="K60" s="36" t="str">
        <f>'[3]MOCINHA BARBALHO'!E21</f>
        <v>KG</v>
      </c>
      <c r="L60" s="27">
        <f>K63</f>
        <v>15.091999999999999</v>
      </c>
    </row>
    <row r="61" spans="2:12">
      <c r="C61" s="167" t="s">
        <v>113</v>
      </c>
      <c r="D61" s="167"/>
      <c r="E61" s="167"/>
      <c r="F61" s="29" t="s">
        <v>102</v>
      </c>
      <c r="G61" s="28" t="s">
        <v>103</v>
      </c>
      <c r="H61" s="29" t="s">
        <v>104</v>
      </c>
      <c r="I61" s="28" t="s">
        <v>105</v>
      </c>
      <c r="J61" s="28" t="s">
        <v>462</v>
      </c>
      <c r="K61" s="30" t="s">
        <v>107</v>
      </c>
    </row>
    <row r="62" spans="2:12">
      <c r="C62" s="178" t="s">
        <v>467</v>
      </c>
      <c r="D62" s="175"/>
      <c r="E62" s="176"/>
      <c r="F62" s="76">
        <f>20*7</f>
        <v>140</v>
      </c>
      <c r="G62" s="28"/>
      <c r="H62" s="29"/>
      <c r="I62" s="28">
        <v>0.7</v>
      </c>
      <c r="J62" s="75">
        <v>0.154</v>
      </c>
      <c r="K62" s="30">
        <f>J62*I62*F62</f>
        <v>15.091999999999999</v>
      </c>
    </row>
    <row r="63" spans="2:12">
      <c r="C63" s="166" t="s">
        <v>110</v>
      </c>
      <c r="D63" s="166"/>
      <c r="E63" s="166"/>
      <c r="F63" s="166"/>
      <c r="G63" s="166"/>
      <c r="H63" s="166"/>
      <c r="I63" s="166"/>
      <c r="J63" s="166"/>
      <c r="K63" s="33">
        <f>SUM(K62:K62)</f>
        <v>15.091999999999999</v>
      </c>
    </row>
    <row r="64" spans="2:12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2:12">
      <c r="B65" s="19" t="s">
        <v>469</v>
      </c>
      <c r="C65" s="177" t="str">
        <f>'[3]MOCINHA BARBALHO'!D22</f>
        <v>CONCRETAGEM DE PILARES, FCK = 25 MPA, COM USO DE BOMBA - LANÇAMENTO, ADENSAMENTO E ACABAMENTO. AF_02/2022</v>
      </c>
      <c r="D65" s="177"/>
      <c r="E65" s="177"/>
      <c r="F65" s="177"/>
      <c r="G65" s="177"/>
      <c r="H65" s="177"/>
      <c r="I65" s="177"/>
      <c r="J65" s="177"/>
      <c r="K65" s="36" t="str">
        <f>'[3]MOCINHA BARBALHO'!E22</f>
        <v>M3</v>
      </c>
      <c r="L65" s="27">
        <f>K68</f>
        <v>0.84000000000000019</v>
      </c>
    </row>
    <row r="66" spans="2:12">
      <c r="C66" s="167" t="s">
        <v>113</v>
      </c>
      <c r="D66" s="167"/>
      <c r="E66" s="167"/>
      <c r="F66" s="29" t="s">
        <v>102</v>
      </c>
      <c r="G66" s="28" t="s">
        <v>103</v>
      </c>
      <c r="H66" s="29" t="s">
        <v>104</v>
      </c>
      <c r="I66" s="28" t="s">
        <v>105</v>
      </c>
      <c r="J66" s="28" t="s">
        <v>462</v>
      </c>
      <c r="K66" s="30" t="s">
        <v>107</v>
      </c>
    </row>
    <row r="67" spans="2:12">
      <c r="C67" s="178" t="s">
        <v>467</v>
      </c>
      <c r="D67" s="175"/>
      <c r="E67" s="176"/>
      <c r="F67" s="76">
        <v>7</v>
      </c>
      <c r="G67" s="28">
        <v>3</v>
      </c>
      <c r="H67" s="29">
        <v>0.2</v>
      </c>
      <c r="I67" s="28">
        <v>0.2</v>
      </c>
      <c r="J67" s="75"/>
      <c r="K67" s="30">
        <f>I67*H67*G67*F67</f>
        <v>0.84000000000000019</v>
      </c>
    </row>
    <row r="68" spans="2:12">
      <c r="C68" s="166" t="s">
        <v>110</v>
      </c>
      <c r="D68" s="166"/>
      <c r="E68" s="166"/>
      <c r="F68" s="166"/>
      <c r="G68" s="166"/>
      <c r="H68" s="166"/>
      <c r="I68" s="166"/>
      <c r="J68" s="166"/>
      <c r="K68" s="33">
        <f>SUM(K67:K67)</f>
        <v>0.84000000000000019</v>
      </c>
    </row>
    <row r="69" spans="2:12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2:12">
      <c r="B70" s="19" t="s">
        <v>470</v>
      </c>
      <c r="C70" s="177" t="str">
        <f>'[3]MOCINHA BARBALHO'!D23</f>
        <v>MONTAGEM E DESMONTAGEM DE FÔRMA DE VIGA, ESCORAMENTO METÁLICO, PÉ-DIREITO SIMPLES, EM CHAPA DE MADEIRA PLASTIFICADA, 18 UTILIZAÇÕES. AF_09/2020</v>
      </c>
      <c r="D70" s="177"/>
      <c r="E70" s="177"/>
      <c r="F70" s="177"/>
      <c r="G70" s="177"/>
      <c r="H70" s="177"/>
      <c r="I70" s="177"/>
      <c r="J70" s="177"/>
      <c r="K70" s="36" t="str">
        <f>'[3]MOCINHA BARBALHO'!E23</f>
        <v>M2</v>
      </c>
      <c r="L70" s="27">
        <f>K73</f>
        <v>16.800000000000004</v>
      </c>
    </row>
    <row r="71" spans="2:12">
      <c r="C71" s="167" t="s">
        <v>113</v>
      </c>
      <c r="D71" s="167"/>
      <c r="E71" s="167"/>
      <c r="F71" s="29" t="s">
        <v>102</v>
      </c>
      <c r="G71" s="28" t="s">
        <v>103</v>
      </c>
      <c r="H71" s="29" t="s">
        <v>104</v>
      </c>
      <c r="I71" s="28" t="s">
        <v>105</v>
      </c>
      <c r="J71" s="28" t="s">
        <v>462</v>
      </c>
      <c r="K71" s="30" t="s">
        <v>107</v>
      </c>
    </row>
    <row r="72" spans="2:12">
      <c r="C72" s="178" t="s">
        <v>467</v>
      </c>
      <c r="D72" s="175"/>
      <c r="E72" s="176"/>
      <c r="F72" s="76">
        <f>4*7</f>
        <v>28</v>
      </c>
      <c r="G72" s="28">
        <v>3</v>
      </c>
      <c r="H72" s="29">
        <v>0.2</v>
      </c>
      <c r="I72" s="28"/>
      <c r="J72" s="75"/>
      <c r="K72" s="30">
        <f>H72*G72*F72</f>
        <v>16.800000000000004</v>
      </c>
    </row>
    <row r="73" spans="2:12">
      <c r="C73" s="166" t="s">
        <v>110</v>
      </c>
      <c r="D73" s="166"/>
      <c r="E73" s="166"/>
      <c r="F73" s="166"/>
      <c r="G73" s="166"/>
      <c r="H73" s="166"/>
      <c r="I73" s="166"/>
      <c r="J73" s="166"/>
      <c r="K73" s="33">
        <f>SUM(K72:K72)</f>
        <v>16.800000000000004</v>
      </c>
    </row>
    <row r="74" spans="2:12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2:12">
      <c r="B75" s="34" t="s">
        <v>119</v>
      </c>
      <c r="C75" s="210" t="str">
        <f>'[3]MOCINHA BARBALHO'!D24</f>
        <v>PISO</v>
      </c>
      <c r="D75" s="211"/>
      <c r="E75" s="211"/>
      <c r="F75" s="211"/>
      <c r="G75" s="211"/>
      <c r="H75" s="211"/>
      <c r="I75" s="211"/>
      <c r="J75" s="211"/>
      <c r="K75" s="211"/>
      <c r="L75" s="212"/>
    </row>
    <row r="76" spans="2:12">
      <c r="B76" s="19" t="s">
        <v>120</v>
      </c>
      <c r="C76" s="213" t="str">
        <f>'[3]MOCINHA BARBALHO'!D25</f>
        <v>CONTRAPISO EM ARGAMASSA TRAÇO 1:4 (CIMENTO E AREIA), PREPARO MANUAL, APLICADO EM ÁREAS MOLHADAS SOBRE IMPERMEABILIZAÇÃO, ACABAMENTO NÃO REFORÇADO, ESPESSURA 3CM. AF_07/2021</v>
      </c>
      <c r="D76" s="213"/>
      <c r="E76" s="213"/>
      <c r="F76" s="213"/>
      <c r="G76" s="213"/>
      <c r="H76" s="213"/>
      <c r="I76" s="213"/>
      <c r="J76" s="213"/>
      <c r="K76" s="36" t="str">
        <f>'[3]MOCINHA BARBALHO'!E25</f>
        <v>M2</v>
      </c>
      <c r="L76" s="27">
        <f>K81</f>
        <v>207.35</v>
      </c>
    </row>
    <row r="77" spans="2:12">
      <c r="C77" s="174" t="s">
        <v>113</v>
      </c>
      <c r="D77" s="175"/>
      <c r="E77" s="176"/>
      <c r="F77" s="29" t="s">
        <v>102</v>
      </c>
      <c r="G77" s="28" t="s">
        <v>103</v>
      </c>
      <c r="H77" s="29" t="s">
        <v>104</v>
      </c>
      <c r="I77" s="28" t="s">
        <v>105</v>
      </c>
      <c r="J77" s="28" t="s">
        <v>115</v>
      </c>
      <c r="K77" s="30" t="s">
        <v>107</v>
      </c>
    </row>
    <row r="78" spans="2:12">
      <c r="C78" s="165" t="s">
        <v>457</v>
      </c>
      <c r="D78" s="165"/>
      <c r="E78" s="165"/>
      <c r="F78" s="31"/>
      <c r="G78" s="31"/>
      <c r="H78" s="31"/>
      <c r="I78" s="31"/>
      <c r="J78" s="31">
        <v>72.2</v>
      </c>
      <c r="K78" s="32">
        <f>J78</f>
        <v>72.2</v>
      </c>
    </row>
    <row r="79" spans="2:12">
      <c r="C79" s="165" t="s">
        <v>458</v>
      </c>
      <c r="D79" s="165"/>
      <c r="E79" s="165"/>
      <c r="F79" s="31"/>
      <c r="G79" s="31"/>
      <c r="H79" s="31"/>
      <c r="I79" s="31"/>
      <c r="J79" s="31">
        <v>59.15</v>
      </c>
      <c r="K79" s="32">
        <f>J79</f>
        <v>59.15</v>
      </c>
    </row>
    <row r="80" spans="2:12">
      <c r="C80" s="207" t="s">
        <v>109</v>
      </c>
      <c r="D80" s="208"/>
      <c r="E80" s="209"/>
      <c r="F80" s="31"/>
      <c r="G80" s="31"/>
      <c r="H80" s="31"/>
      <c r="I80" s="31"/>
      <c r="J80" s="31">
        <f>38*2</f>
        <v>76</v>
      </c>
      <c r="K80" s="32">
        <f>J80</f>
        <v>76</v>
      </c>
    </row>
    <row r="81" spans="2:12">
      <c r="C81" s="166" t="s">
        <v>110</v>
      </c>
      <c r="D81" s="166"/>
      <c r="E81" s="166"/>
      <c r="F81" s="166"/>
      <c r="G81" s="166"/>
      <c r="H81" s="166"/>
      <c r="I81" s="166"/>
      <c r="J81" s="166"/>
      <c r="K81" s="33">
        <f>SUM(K78:K80)</f>
        <v>207.35</v>
      </c>
    </row>
    <row r="83" spans="2:12" ht="25.2" customHeight="1">
      <c r="B83" s="19" t="s">
        <v>123</v>
      </c>
      <c r="C83" s="169" t="str">
        <f>'[3]MOCINHA BARBALHO'!D26</f>
        <v>EXECUÇÃO DE PASSEIO (CALÇADA) OU PISO DE CONCRETO COM CONCRETO MOLDADO IN LOCO, FEITO EM OBRA, ACABAMENTO CONVENCIONAL, ESPESSURA 8 CM, ARMADO. AF_08/2022</v>
      </c>
      <c r="D83" s="169"/>
      <c r="E83" s="169"/>
      <c r="F83" s="169"/>
      <c r="G83" s="169"/>
      <c r="H83" s="169"/>
      <c r="I83" s="169"/>
      <c r="J83" s="169"/>
      <c r="K83" s="36" t="str">
        <f>'[3]MOCINHA BARBALHO'!E26</f>
        <v>M2</v>
      </c>
      <c r="L83" s="27">
        <f>K86</f>
        <v>76</v>
      </c>
    </row>
    <row r="84" spans="2:12">
      <c r="C84" s="174" t="s">
        <v>113</v>
      </c>
      <c r="D84" s="175"/>
      <c r="E84" s="176"/>
      <c r="F84" s="29" t="s">
        <v>102</v>
      </c>
      <c r="G84" s="28" t="s">
        <v>103</v>
      </c>
      <c r="H84" s="29" t="s">
        <v>104</v>
      </c>
      <c r="I84" s="28" t="s">
        <v>105</v>
      </c>
      <c r="J84" s="28" t="s">
        <v>115</v>
      </c>
      <c r="K84" s="30" t="s">
        <v>107</v>
      </c>
    </row>
    <row r="85" spans="2:12">
      <c r="C85" s="165" t="s">
        <v>109</v>
      </c>
      <c r="D85" s="165"/>
      <c r="E85" s="165"/>
      <c r="F85" s="37"/>
      <c r="G85" s="38"/>
      <c r="H85" s="37"/>
      <c r="I85" s="38"/>
      <c r="J85" s="38">
        <f>J80</f>
        <v>76</v>
      </c>
      <c r="K85" s="39">
        <f>J85</f>
        <v>76</v>
      </c>
    </row>
    <row r="86" spans="2:12">
      <c r="C86" s="166" t="s">
        <v>110</v>
      </c>
      <c r="D86" s="166"/>
      <c r="E86" s="166"/>
      <c r="F86" s="166"/>
      <c r="G86" s="166"/>
      <c r="H86" s="166"/>
      <c r="I86" s="166"/>
      <c r="J86" s="166"/>
      <c r="K86" s="33">
        <f>SUM(K85:K85)</f>
        <v>76</v>
      </c>
    </row>
    <row r="87" spans="2:12">
      <c r="C87" s="41"/>
      <c r="D87" s="41"/>
      <c r="E87" s="41"/>
      <c r="F87" s="41"/>
      <c r="G87" s="41"/>
      <c r="H87" s="41"/>
      <c r="I87" s="41"/>
      <c r="J87" s="41"/>
      <c r="K87" s="42"/>
    </row>
    <row r="88" spans="2:12">
      <c r="B88" s="19" t="s">
        <v>471</v>
      </c>
      <c r="C88" s="169" t="str">
        <f>'[3]MOCINHA BARBALHO'!D27</f>
        <v xml:space="preserve">	PISO DE BLOCOS (LAJOTA) HEXAGONAIS (SEXTAVADO) DE CONCRETO FCK=15MPA E = 8CM CONCRETO SOBRE COLCHÃO DE AREIA</v>
      </c>
      <c r="D88" s="169"/>
      <c r="E88" s="169"/>
      <c r="F88" s="169"/>
      <c r="G88" s="169"/>
      <c r="H88" s="169"/>
      <c r="I88" s="169"/>
      <c r="J88" s="169"/>
      <c r="K88" s="36" t="str">
        <f>'[3]MOCINHA BARBALHO'!E27</f>
        <v>M2</v>
      </c>
      <c r="L88" s="27">
        <f>K91</f>
        <v>72.2</v>
      </c>
    </row>
    <row r="89" spans="2:12">
      <c r="C89" s="174" t="s">
        <v>113</v>
      </c>
      <c r="D89" s="175"/>
      <c r="E89" s="176"/>
      <c r="F89" s="29" t="s">
        <v>102</v>
      </c>
      <c r="G89" s="28" t="s">
        <v>103</v>
      </c>
      <c r="H89" s="29" t="s">
        <v>104</v>
      </c>
      <c r="I89" s="28" t="s">
        <v>105</v>
      </c>
      <c r="J89" s="28" t="s">
        <v>115</v>
      </c>
      <c r="K89" s="30" t="s">
        <v>107</v>
      </c>
    </row>
    <row r="90" spans="2:12">
      <c r="C90" s="165" t="s">
        <v>457</v>
      </c>
      <c r="D90" s="165"/>
      <c r="E90" s="165"/>
      <c r="F90" s="37"/>
      <c r="G90" s="38"/>
      <c r="H90" s="37"/>
      <c r="I90" s="38"/>
      <c r="J90" s="38">
        <f>J78</f>
        <v>72.2</v>
      </c>
      <c r="K90" s="39">
        <f>J90</f>
        <v>72.2</v>
      </c>
    </row>
    <row r="91" spans="2:12">
      <c r="C91" s="166" t="s">
        <v>110</v>
      </c>
      <c r="D91" s="166"/>
      <c r="E91" s="166"/>
      <c r="F91" s="166"/>
      <c r="G91" s="166"/>
      <c r="H91" s="166"/>
      <c r="I91" s="166"/>
      <c r="J91" s="166"/>
      <c r="K91" s="33">
        <f>SUM(K90:K90)</f>
        <v>72.2</v>
      </c>
    </row>
    <row r="93" spans="2:12">
      <c r="B93" s="34" t="s">
        <v>124</v>
      </c>
      <c r="C93" s="168" t="str">
        <f>'[3]MOCINHA BARBALHO'!D28</f>
        <v>REVESTIMENTO E PINTURA</v>
      </c>
      <c r="D93" s="168"/>
      <c r="E93" s="168"/>
      <c r="F93" s="168"/>
      <c r="G93" s="168"/>
      <c r="H93" s="168"/>
      <c r="I93" s="168"/>
      <c r="J93" s="168"/>
      <c r="K93" s="168"/>
      <c r="L93" s="168"/>
    </row>
    <row r="94" spans="2:12" ht="27" customHeight="1">
      <c r="B94" s="19" t="s">
        <v>125</v>
      </c>
      <c r="C94" s="169" t="str">
        <f>'[3]MOCINHA BARBALHO'!D29</f>
        <v>MASSA ÚNICA, PARA RECEBIMENTO DE PINTURA, EM ARGAMASSA TRAÇO 1:2:8, PREPARO MECÂNICO COM BETONEIRA 400L, APLICADA MANUALMENTE EM FACES INTERNAS DE PAREDES, ESPESSURA DE 20MM, COM EXECUÇÃO DE TALISCAS. AF_06/2014</v>
      </c>
      <c r="D94" s="169"/>
      <c r="E94" s="169"/>
      <c r="F94" s="169"/>
      <c r="G94" s="169"/>
      <c r="H94" s="169"/>
      <c r="I94" s="169"/>
      <c r="J94" s="169"/>
      <c r="K94" s="36" t="str">
        <f>'[3]MOCINHA BARBALHO'!E29</f>
        <v>M2</v>
      </c>
      <c r="L94" s="27">
        <f>K97</f>
        <v>28.5</v>
      </c>
    </row>
    <row r="95" spans="2:12">
      <c r="C95" s="167" t="s">
        <v>113</v>
      </c>
      <c r="D95" s="167"/>
      <c r="E95" s="167"/>
      <c r="F95" s="29" t="s">
        <v>102</v>
      </c>
      <c r="G95" s="28" t="s">
        <v>103</v>
      </c>
      <c r="H95" s="29" t="s">
        <v>104</v>
      </c>
      <c r="I95" s="28" t="s">
        <v>105</v>
      </c>
      <c r="J95" s="28" t="s">
        <v>126</v>
      </c>
      <c r="K95" s="30" t="s">
        <v>107</v>
      </c>
    </row>
    <row r="96" spans="2:12">
      <c r="C96" s="165" t="s">
        <v>457</v>
      </c>
      <c r="D96" s="165"/>
      <c r="E96" s="165"/>
      <c r="F96" s="31"/>
      <c r="G96" s="31">
        <v>1.5</v>
      </c>
      <c r="H96" s="31"/>
      <c r="I96" s="31">
        <v>19</v>
      </c>
      <c r="J96" s="31"/>
      <c r="K96" s="32">
        <f>I96*G96</f>
        <v>28.5</v>
      </c>
    </row>
    <row r="97" spans="2:12">
      <c r="C97" s="166" t="s">
        <v>110</v>
      </c>
      <c r="D97" s="166"/>
      <c r="E97" s="166"/>
      <c r="F97" s="166"/>
      <c r="G97" s="166"/>
      <c r="H97" s="166"/>
      <c r="I97" s="166"/>
      <c r="J97" s="166"/>
      <c r="K97" s="33">
        <f>SUM(K96:K96)</f>
        <v>28.5</v>
      </c>
    </row>
    <row r="98" spans="2:12">
      <c r="C98" s="40"/>
      <c r="D98" s="40"/>
      <c r="E98" s="40"/>
      <c r="F98" s="40"/>
      <c r="G98" s="40"/>
      <c r="H98" s="40"/>
      <c r="I98" s="40"/>
      <c r="J98" s="40"/>
      <c r="K98" s="40"/>
    </row>
    <row r="99" spans="2:12" ht="27" customHeight="1">
      <c r="B99" s="19" t="s">
        <v>129</v>
      </c>
      <c r="C99" s="169" t="str">
        <f>'[3]MOCINHA BARBALHO'!D30</f>
        <v>APLICAÇÃO E LIXAMENTO DE MASSA LÁTEX EM PAREDES, DUAS DEMÃOS. AF_06/2014</v>
      </c>
      <c r="D99" s="169"/>
      <c r="E99" s="169"/>
      <c r="F99" s="169"/>
      <c r="G99" s="169"/>
      <c r="H99" s="169"/>
      <c r="I99" s="169"/>
      <c r="J99" s="169"/>
      <c r="K99" s="36" t="str">
        <f>'[3]MOCINHA BARBALHO'!E30</f>
        <v>M2</v>
      </c>
      <c r="L99" s="27">
        <f>K101</f>
        <v>28.5</v>
      </c>
    </row>
    <row r="100" spans="2:12">
      <c r="C100" s="167" t="s">
        <v>113</v>
      </c>
      <c r="D100" s="167"/>
      <c r="E100" s="167"/>
      <c r="F100" s="29" t="s">
        <v>102</v>
      </c>
      <c r="G100" s="28" t="s">
        <v>103</v>
      </c>
      <c r="H100" s="29" t="s">
        <v>104</v>
      </c>
      <c r="I100" s="28" t="s">
        <v>105</v>
      </c>
      <c r="J100" s="28" t="s">
        <v>121</v>
      </c>
      <c r="K100" s="30" t="s">
        <v>107</v>
      </c>
    </row>
    <row r="101" spans="2:12" ht="14.4" customHeight="1">
      <c r="C101" s="165" t="s">
        <v>457</v>
      </c>
      <c r="D101" s="165"/>
      <c r="E101" s="165"/>
      <c r="F101" s="31"/>
      <c r="G101" s="31">
        <v>1.5</v>
      </c>
      <c r="H101" s="31"/>
      <c r="I101" s="31">
        <v>19</v>
      </c>
      <c r="J101" s="31"/>
      <c r="K101" s="32">
        <f>I101*G101</f>
        <v>28.5</v>
      </c>
    </row>
    <row r="102" spans="2:12">
      <c r="C102" s="166" t="s">
        <v>110</v>
      </c>
      <c r="D102" s="166"/>
      <c r="E102" s="166"/>
      <c r="F102" s="166"/>
      <c r="G102" s="166"/>
      <c r="H102" s="166"/>
      <c r="I102" s="166"/>
      <c r="J102" s="166"/>
      <c r="K102" s="33">
        <f>SUM(K101:K101)</f>
        <v>28.5</v>
      </c>
    </row>
    <row r="103" spans="2:12">
      <c r="C103" s="170" t="s">
        <v>130</v>
      </c>
      <c r="D103" s="170"/>
      <c r="E103" s="170"/>
      <c r="F103" s="170"/>
      <c r="G103" s="170"/>
      <c r="H103" s="170"/>
      <c r="I103" s="170"/>
      <c r="J103" s="170"/>
      <c r="K103" s="170"/>
    </row>
    <row r="105" spans="2:12" ht="16.2" customHeight="1">
      <c r="B105" s="19" t="s">
        <v>131</v>
      </c>
      <c r="C105" s="169" t="str">
        <f>'[3]MOCINHA BARBALHO'!D31</f>
        <v>APLICAÇÃO MANUAL DE FUNDO SELADOR ACRÍLICO EM PAREDES EXTERNAS DE CASAS. AF_06/2014</v>
      </c>
      <c r="D105" s="169"/>
      <c r="E105" s="169"/>
      <c r="F105" s="169"/>
      <c r="G105" s="169"/>
      <c r="H105" s="169"/>
      <c r="I105" s="169"/>
      <c r="J105" s="169"/>
      <c r="K105" s="36" t="str">
        <f>'[3]MOCINHA BARBALHO'!E31</f>
        <v>M2</v>
      </c>
      <c r="L105" s="27">
        <f>K107</f>
        <v>28.5</v>
      </c>
    </row>
    <row r="106" spans="2:12">
      <c r="C106" s="167" t="s">
        <v>113</v>
      </c>
      <c r="D106" s="167"/>
      <c r="E106" s="167"/>
      <c r="F106" s="29" t="s">
        <v>102</v>
      </c>
      <c r="G106" s="28" t="s">
        <v>103</v>
      </c>
      <c r="H106" s="29" t="s">
        <v>104</v>
      </c>
      <c r="I106" s="28" t="s">
        <v>105</v>
      </c>
      <c r="J106" s="28" t="s">
        <v>121</v>
      </c>
      <c r="K106" s="30" t="s">
        <v>107</v>
      </c>
    </row>
    <row r="107" spans="2:12">
      <c r="C107" s="165" t="s">
        <v>457</v>
      </c>
      <c r="D107" s="165"/>
      <c r="E107" s="165"/>
      <c r="F107" s="31"/>
      <c r="G107" s="31">
        <v>1.5</v>
      </c>
      <c r="H107" s="31"/>
      <c r="I107" s="31">
        <v>19</v>
      </c>
      <c r="J107" s="31"/>
      <c r="K107" s="32">
        <f>I107*G107</f>
        <v>28.5</v>
      </c>
    </row>
    <row r="108" spans="2:12">
      <c r="C108" s="166" t="s">
        <v>110</v>
      </c>
      <c r="D108" s="166"/>
      <c r="E108" s="166"/>
      <c r="F108" s="166"/>
      <c r="G108" s="166"/>
      <c r="H108" s="166"/>
      <c r="I108" s="166"/>
      <c r="J108" s="166"/>
      <c r="K108" s="33">
        <f>SUM(K107:K107)</f>
        <v>28.5</v>
      </c>
    </row>
    <row r="110" spans="2:12" ht="31.2" customHeight="1">
      <c r="B110" s="19" t="s">
        <v>132</v>
      </c>
      <c r="C110" s="169" t="str">
        <f>'[3]MOCINHA BARBALHO'!D32</f>
        <v>APLICAÇÃO MANUAL DE TINTA LÁTEX ACRÍLICA EM PAREDE EXTERNAS DE CASAS, DUAS DEMÃOS. AF_11/2016</v>
      </c>
      <c r="D110" s="169"/>
      <c r="E110" s="169"/>
      <c r="F110" s="169"/>
      <c r="G110" s="169"/>
      <c r="H110" s="169"/>
      <c r="I110" s="169"/>
      <c r="J110" s="169"/>
      <c r="K110" s="36" t="str">
        <f>'[3]MOCINHA BARBALHO'!E32</f>
        <v>M2</v>
      </c>
      <c r="L110" s="27">
        <f>K113</f>
        <v>28.5</v>
      </c>
    </row>
    <row r="111" spans="2:12">
      <c r="C111" s="167" t="s">
        <v>113</v>
      </c>
      <c r="D111" s="167"/>
      <c r="E111" s="167"/>
      <c r="F111" s="29" t="s">
        <v>102</v>
      </c>
      <c r="G111" s="28" t="s">
        <v>103</v>
      </c>
      <c r="H111" s="29" t="s">
        <v>104</v>
      </c>
      <c r="I111" s="28" t="s">
        <v>105</v>
      </c>
      <c r="J111" s="28" t="s">
        <v>121</v>
      </c>
      <c r="K111" s="30" t="s">
        <v>107</v>
      </c>
    </row>
    <row r="112" spans="2:12" ht="14.4" customHeight="1">
      <c r="C112" s="165" t="s">
        <v>457</v>
      </c>
      <c r="D112" s="165"/>
      <c r="E112" s="165"/>
      <c r="F112" s="31"/>
      <c r="G112" s="31">
        <v>1.5</v>
      </c>
      <c r="H112" s="31"/>
      <c r="I112" s="31">
        <v>19</v>
      </c>
      <c r="J112" s="31"/>
      <c r="K112" s="32">
        <f>I112*G112</f>
        <v>28.5</v>
      </c>
    </row>
    <row r="113" spans="2:12">
      <c r="C113" s="166" t="s">
        <v>110</v>
      </c>
      <c r="D113" s="166"/>
      <c r="E113" s="166"/>
      <c r="F113" s="166"/>
      <c r="G113" s="166"/>
      <c r="H113" s="166"/>
      <c r="I113" s="166"/>
      <c r="J113" s="166"/>
      <c r="K113" s="33">
        <f>SUM(K112:K112)</f>
        <v>28.5</v>
      </c>
    </row>
    <row r="115" spans="2:12">
      <c r="B115" s="34" t="s">
        <v>134</v>
      </c>
      <c r="C115" s="168" t="str">
        <f>'[3]MOCINHA BARBALHO'!D33</f>
        <v>ELETRICA</v>
      </c>
      <c r="D115" s="168"/>
      <c r="E115" s="168"/>
      <c r="F115" s="168"/>
      <c r="G115" s="168"/>
      <c r="H115" s="168"/>
      <c r="I115" s="168"/>
      <c r="J115" s="168"/>
      <c r="K115" s="168"/>
      <c r="L115" s="168"/>
    </row>
    <row r="116" spans="2:12" ht="26.4" customHeight="1">
      <c r="B116" s="19" t="s">
        <v>135</v>
      </c>
      <c r="C116" s="169" t="str">
        <f>'[3]MOCINHA BARBALHO'!D34</f>
        <v xml:space="preserve">	REVISÃO DE PONTO DE TOMADA SIMPLES COM REPOSIÇÃO DA TOMADA E DA FIAÇÃO</v>
      </c>
      <c r="D116" s="169"/>
      <c r="E116" s="169"/>
      <c r="F116" s="169"/>
      <c r="G116" s="169"/>
      <c r="H116" s="169"/>
      <c r="I116" s="169"/>
      <c r="J116" s="169"/>
      <c r="K116" s="36" t="str">
        <f>'[3]MOCINHA BARBALHO'!E34</f>
        <v>PT</v>
      </c>
      <c r="L116" s="27">
        <f>K119</f>
        <v>5</v>
      </c>
    </row>
    <row r="117" spans="2:12">
      <c r="C117" s="167" t="s">
        <v>113</v>
      </c>
      <c r="D117" s="167"/>
      <c r="E117" s="167"/>
      <c r="F117" s="29" t="s">
        <v>102</v>
      </c>
      <c r="G117" s="28" t="s">
        <v>103</v>
      </c>
      <c r="H117" s="29" t="s">
        <v>104</v>
      </c>
      <c r="I117" s="28" t="s">
        <v>105</v>
      </c>
      <c r="J117" s="28" t="s">
        <v>106</v>
      </c>
      <c r="K117" s="30" t="s">
        <v>107</v>
      </c>
    </row>
    <row r="118" spans="2:12">
      <c r="C118" s="165" t="s">
        <v>122</v>
      </c>
      <c r="D118" s="165"/>
      <c r="E118" s="165"/>
      <c r="F118" s="31">
        <v>5</v>
      </c>
      <c r="G118" s="31"/>
      <c r="H118" s="31"/>
      <c r="I118" s="31"/>
      <c r="J118" s="31"/>
      <c r="K118" s="32">
        <f>F118</f>
        <v>5</v>
      </c>
    </row>
    <row r="119" spans="2:12">
      <c r="C119" s="166" t="s">
        <v>110</v>
      </c>
      <c r="D119" s="166"/>
      <c r="E119" s="166"/>
      <c r="F119" s="166"/>
      <c r="G119" s="166"/>
      <c r="H119" s="166"/>
      <c r="I119" s="166"/>
      <c r="J119" s="166"/>
      <c r="K119" s="33">
        <f>SUM(K118:K118)</f>
        <v>5</v>
      </c>
    </row>
    <row r="121" spans="2:12">
      <c r="B121" s="19" t="s">
        <v>137</v>
      </c>
      <c r="C121" s="169" t="str">
        <f>'[3]MOCINHA BARBALHO'!D35</f>
        <v>REVISÃO DE PONTO DE INTERRUPTOR COM REPOSIÇÃO DO INTERRUPTOR E FIAÇÃO</v>
      </c>
      <c r="D121" s="169"/>
      <c r="E121" s="169"/>
      <c r="F121" s="169"/>
      <c r="G121" s="169"/>
      <c r="H121" s="169"/>
      <c r="I121" s="169"/>
      <c r="J121" s="169"/>
      <c r="K121" s="36" t="str">
        <f>'[3]MOCINHA BARBALHO'!E35</f>
        <v>PT</v>
      </c>
      <c r="L121" s="27">
        <f>K124</f>
        <v>5</v>
      </c>
    </row>
    <row r="122" spans="2:12">
      <c r="C122" s="167" t="s">
        <v>113</v>
      </c>
      <c r="D122" s="167"/>
      <c r="E122" s="167"/>
      <c r="F122" s="29" t="s">
        <v>102</v>
      </c>
      <c r="G122" s="28" t="s">
        <v>103</v>
      </c>
      <c r="H122" s="29" t="s">
        <v>104</v>
      </c>
      <c r="I122" s="28" t="s">
        <v>105</v>
      </c>
      <c r="J122" s="28" t="s">
        <v>106</v>
      </c>
      <c r="K122" s="30" t="s">
        <v>107</v>
      </c>
    </row>
    <row r="123" spans="2:12">
      <c r="C123" s="165" t="s">
        <v>122</v>
      </c>
      <c r="D123" s="165"/>
      <c r="E123" s="165"/>
      <c r="F123" s="31">
        <v>5</v>
      </c>
      <c r="G123" s="31"/>
      <c r="H123" s="31"/>
      <c r="I123" s="31"/>
      <c r="J123" s="31"/>
      <c r="K123" s="32">
        <f>F123</f>
        <v>5</v>
      </c>
    </row>
    <row r="124" spans="2:12">
      <c r="C124" s="166" t="s">
        <v>110</v>
      </c>
      <c r="D124" s="166"/>
      <c r="E124" s="166"/>
      <c r="F124" s="166"/>
      <c r="G124" s="166"/>
      <c r="H124" s="166"/>
      <c r="I124" s="166"/>
      <c r="J124" s="166"/>
      <c r="K124" s="33">
        <f>SUM(K123:K123)</f>
        <v>5</v>
      </c>
    </row>
    <row r="125" spans="2:12">
      <c r="C125" s="41"/>
      <c r="D125" s="41"/>
      <c r="E125" s="41"/>
      <c r="F125" s="41"/>
      <c r="G125" s="41"/>
      <c r="H125" s="41"/>
      <c r="I125" s="41"/>
      <c r="J125" s="41"/>
      <c r="K125" s="42"/>
    </row>
    <row r="126" spans="2:12">
      <c r="B126" s="19" t="s">
        <v>139</v>
      </c>
      <c r="C126" s="169" t="str">
        <f>'[3]MOCINHA BARBALHO'!D36</f>
        <v>REVISÃO DE PONTO DE LUZ TIPO 3, EM TETO OU PAREDE</v>
      </c>
      <c r="D126" s="169"/>
      <c r="E126" s="169"/>
      <c r="F126" s="169"/>
      <c r="G126" s="169"/>
      <c r="H126" s="169"/>
      <c r="I126" s="169"/>
      <c r="J126" s="169"/>
      <c r="K126" s="36" t="str">
        <f>'[3]MOCINHA BARBALHO'!E36</f>
        <v>PT</v>
      </c>
      <c r="L126" s="27">
        <f>K129</f>
        <v>5</v>
      </c>
    </row>
    <row r="127" spans="2:12">
      <c r="C127" s="167" t="s">
        <v>113</v>
      </c>
      <c r="D127" s="167"/>
      <c r="E127" s="167"/>
      <c r="F127" s="29" t="s">
        <v>102</v>
      </c>
      <c r="G127" s="28" t="s">
        <v>103</v>
      </c>
      <c r="H127" s="29" t="s">
        <v>104</v>
      </c>
      <c r="I127" s="28" t="s">
        <v>105</v>
      </c>
      <c r="J127" s="28" t="s">
        <v>106</v>
      </c>
      <c r="K127" s="30" t="s">
        <v>107</v>
      </c>
    </row>
    <row r="128" spans="2:12">
      <c r="C128" s="165" t="s">
        <v>122</v>
      </c>
      <c r="D128" s="165"/>
      <c r="E128" s="165"/>
      <c r="F128" s="31">
        <v>5</v>
      </c>
      <c r="G128" s="31"/>
      <c r="H128" s="31"/>
      <c r="I128" s="31"/>
      <c r="J128" s="31"/>
      <c r="K128" s="32">
        <f>F128</f>
        <v>5</v>
      </c>
    </row>
    <row r="129" spans="2:12">
      <c r="C129" s="166" t="s">
        <v>110</v>
      </c>
      <c r="D129" s="166"/>
      <c r="E129" s="166"/>
      <c r="F129" s="166"/>
      <c r="G129" s="166"/>
      <c r="H129" s="166"/>
      <c r="I129" s="166"/>
      <c r="J129" s="166"/>
      <c r="K129" s="33">
        <f>SUM(K128:K128)</f>
        <v>5</v>
      </c>
    </row>
    <row r="131" spans="2:12">
      <c r="B131" s="19" t="s">
        <v>141</v>
      </c>
      <c r="C131" s="169" t="str">
        <f>'[3]MOCINHA BARBALHO'!D37</f>
        <v>LÂMPADA COMPACTA DE LED 10 W, BASE E27 - FORNECIMENTO E INSTALAÇÃO. AF_02/2020</v>
      </c>
      <c r="D131" s="169"/>
      <c r="E131" s="169"/>
      <c r="F131" s="169"/>
      <c r="G131" s="169"/>
      <c r="H131" s="169"/>
      <c r="I131" s="169"/>
      <c r="J131" s="169"/>
      <c r="K131" s="36" t="str">
        <f>'[3]MOCINHA BARBALHO'!E37</f>
        <v>UN</v>
      </c>
      <c r="L131" s="27">
        <f>K134</f>
        <v>10</v>
      </c>
    </row>
    <row r="132" spans="2:12">
      <c r="C132" s="167" t="s">
        <v>113</v>
      </c>
      <c r="D132" s="167"/>
      <c r="E132" s="167"/>
      <c r="F132" s="29" t="s">
        <v>102</v>
      </c>
      <c r="G132" s="28" t="s">
        <v>103</v>
      </c>
      <c r="H132" s="29" t="s">
        <v>104</v>
      </c>
      <c r="I132" s="28" t="s">
        <v>105</v>
      </c>
      <c r="J132" s="28" t="s">
        <v>106</v>
      </c>
      <c r="K132" s="30" t="s">
        <v>107</v>
      </c>
    </row>
    <row r="133" spans="2:12">
      <c r="C133" s="165" t="s">
        <v>122</v>
      </c>
      <c r="D133" s="165"/>
      <c r="E133" s="165"/>
      <c r="F133" s="31">
        <v>10</v>
      </c>
      <c r="G133" s="31"/>
      <c r="H133" s="31"/>
      <c r="I133" s="31"/>
      <c r="J133" s="31"/>
      <c r="K133" s="32">
        <f>F133</f>
        <v>10</v>
      </c>
    </row>
    <row r="134" spans="2:12">
      <c r="C134" s="166" t="s">
        <v>110</v>
      </c>
      <c r="D134" s="166"/>
      <c r="E134" s="166"/>
      <c r="F134" s="166"/>
      <c r="G134" s="166"/>
      <c r="H134" s="166"/>
      <c r="I134" s="166"/>
      <c r="J134" s="166"/>
      <c r="K134" s="33">
        <f>SUM(K133:K133)</f>
        <v>10</v>
      </c>
    </row>
    <row r="136" spans="2:12">
      <c r="B136" s="34" t="str">
        <f>[3]LAFAYETE!C29</f>
        <v>7.0</v>
      </c>
      <c r="C136" s="168" t="str">
        <f>[3]LAFAYETE!D29</f>
        <v>COBERTA</v>
      </c>
      <c r="D136" s="168"/>
      <c r="E136" s="168"/>
      <c r="F136" s="168"/>
      <c r="G136" s="168"/>
      <c r="H136" s="168"/>
      <c r="I136" s="168"/>
      <c r="J136" s="168"/>
      <c r="K136" s="168"/>
      <c r="L136" s="168"/>
    </row>
    <row r="137" spans="2:12">
      <c r="B137" s="19" t="s">
        <v>143</v>
      </c>
      <c r="C137" s="169" t="str">
        <f>'[3]MOCINHA BARBALHO'!D39</f>
        <v>TRAMA DE MADEIRA COMPOSTA POR RIPAS, CAIBROS E TERÇAS PARA TELHADOS DE ATÉ 2 ÁGUAS PARA TELHA CERÂMICA CAPA-CANAL, INCLUSO TRANSPORTE VERTICAL. AF_07/2019</v>
      </c>
      <c r="D137" s="169"/>
      <c r="E137" s="169"/>
      <c r="F137" s="169"/>
      <c r="G137" s="169"/>
      <c r="H137" s="169"/>
      <c r="I137" s="169"/>
      <c r="J137" s="169"/>
      <c r="K137" s="36" t="str">
        <f>'[3]MOCINHA BARBALHO'!E39</f>
        <v>M2</v>
      </c>
      <c r="L137" s="27">
        <f>K140</f>
        <v>72.2</v>
      </c>
    </row>
    <row r="138" spans="2:12">
      <c r="C138" s="167" t="s">
        <v>113</v>
      </c>
      <c r="D138" s="167"/>
      <c r="E138" s="167"/>
      <c r="F138" s="29" t="s">
        <v>102</v>
      </c>
      <c r="G138" s="28" t="s">
        <v>103</v>
      </c>
      <c r="H138" s="29" t="s">
        <v>104</v>
      </c>
      <c r="I138" s="28" t="s">
        <v>105</v>
      </c>
      <c r="J138" s="28" t="s">
        <v>115</v>
      </c>
      <c r="K138" s="30" t="s">
        <v>107</v>
      </c>
    </row>
    <row r="139" spans="2:12">
      <c r="C139" s="165" t="s">
        <v>457</v>
      </c>
      <c r="D139" s="165"/>
      <c r="E139" s="165"/>
      <c r="F139" s="31"/>
      <c r="G139" s="31"/>
      <c r="H139" s="31"/>
      <c r="I139" s="31"/>
      <c r="J139" s="31">
        <f>'[3]MOCINHA BARBALHO'!F39</f>
        <v>72.2</v>
      </c>
      <c r="K139" s="32">
        <f>J139</f>
        <v>72.2</v>
      </c>
    </row>
    <row r="140" spans="2:12">
      <c r="C140" s="166" t="s">
        <v>110</v>
      </c>
      <c r="D140" s="166"/>
      <c r="E140" s="166"/>
      <c r="F140" s="166"/>
      <c r="G140" s="166"/>
      <c r="H140" s="166"/>
      <c r="I140" s="166"/>
      <c r="J140" s="166"/>
      <c r="K140" s="33">
        <f>SUM(K139:K139)</f>
        <v>72.2</v>
      </c>
    </row>
    <row r="142" spans="2:12">
      <c r="B142" s="19" t="s">
        <v>145</v>
      </c>
      <c r="C142" s="169" t="str">
        <f>'[3]MOCINHA BARBALHO'!D40</f>
        <v>TELHAMENTO COM TELHA CERÂMICA CAPA-CANAL, TIPO COLONIAL, COM ATÉ 2 ÁGUAS, INCLUSO TRANSPORTE VERTICAL. AF_07/2019</v>
      </c>
      <c r="D142" s="169"/>
      <c r="E142" s="169"/>
      <c r="F142" s="169"/>
      <c r="G142" s="169"/>
      <c r="H142" s="169"/>
      <c r="I142" s="169"/>
      <c r="J142" s="169"/>
      <c r="K142" s="36" t="str">
        <f>'[3]MOCINHA BARBALHO'!E40</f>
        <v>M2</v>
      </c>
      <c r="L142" s="27">
        <f>K145</f>
        <v>72.2</v>
      </c>
    </row>
    <row r="143" spans="2:12">
      <c r="C143" s="167" t="s">
        <v>113</v>
      </c>
      <c r="D143" s="167"/>
      <c r="E143" s="167"/>
      <c r="F143" s="29" t="s">
        <v>102</v>
      </c>
      <c r="G143" s="28" t="s">
        <v>103</v>
      </c>
      <c r="H143" s="29" t="s">
        <v>104</v>
      </c>
      <c r="I143" s="28" t="s">
        <v>105</v>
      </c>
      <c r="J143" s="28" t="s">
        <v>115</v>
      </c>
      <c r="K143" s="30" t="s">
        <v>107</v>
      </c>
    </row>
    <row r="144" spans="2:12" ht="14.4" customHeight="1">
      <c r="C144" s="165" t="s">
        <v>457</v>
      </c>
      <c r="D144" s="165"/>
      <c r="E144" s="165"/>
      <c r="F144" s="31"/>
      <c r="G144" s="31"/>
      <c r="H144" s="31"/>
      <c r="I144" s="31"/>
      <c r="J144" s="31">
        <f>J139</f>
        <v>72.2</v>
      </c>
      <c r="K144" s="32">
        <f>J144</f>
        <v>72.2</v>
      </c>
    </row>
    <row r="145" spans="2:12">
      <c r="C145" s="166" t="s">
        <v>110</v>
      </c>
      <c r="D145" s="166"/>
      <c r="E145" s="166"/>
      <c r="F145" s="166"/>
      <c r="G145" s="166"/>
      <c r="H145" s="166"/>
      <c r="I145" s="166"/>
      <c r="J145" s="166"/>
      <c r="K145" s="33">
        <f>SUM(K144:K144)</f>
        <v>72.2</v>
      </c>
    </row>
    <row r="147" spans="2:12">
      <c r="B147" s="19" t="s">
        <v>472</v>
      </c>
      <c r="C147" s="169" t="str">
        <f>'[3]MOCINHA BARBALHO'!D41</f>
        <v>CALHA EM CHAPA DE ALUMINIO,
DESENVOLVIMENTO 160 CM</v>
      </c>
      <c r="D147" s="169"/>
      <c r="E147" s="169"/>
      <c r="F147" s="169"/>
      <c r="G147" s="169"/>
      <c r="H147" s="169"/>
      <c r="I147" s="169"/>
      <c r="J147" s="169"/>
      <c r="K147" s="36" t="str">
        <f>'[3]MOCINHA BARBALHO'!E41</f>
        <v>M</v>
      </c>
      <c r="L147" s="27">
        <f>K150</f>
        <v>19</v>
      </c>
    </row>
    <row r="148" spans="2:12">
      <c r="C148" s="167" t="s">
        <v>113</v>
      </c>
      <c r="D148" s="167"/>
      <c r="E148" s="167"/>
      <c r="F148" s="29" t="s">
        <v>102</v>
      </c>
      <c r="G148" s="28" t="s">
        <v>103</v>
      </c>
      <c r="H148" s="29" t="s">
        <v>104</v>
      </c>
      <c r="I148" s="28" t="s">
        <v>105</v>
      </c>
      <c r="J148" s="28" t="s">
        <v>40</v>
      </c>
      <c r="K148" s="30" t="s">
        <v>107</v>
      </c>
    </row>
    <row r="149" spans="2:12">
      <c r="C149" s="165" t="s">
        <v>457</v>
      </c>
      <c r="D149" s="165"/>
      <c r="E149" s="165"/>
      <c r="F149" s="31"/>
      <c r="G149" s="31"/>
      <c r="H149" s="31"/>
      <c r="I149" s="31">
        <v>19</v>
      </c>
      <c r="J149" s="31"/>
      <c r="K149" s="32">
        <f>I149</f>
        <v>19</v>
      </c>
    </row>
    <row r="150" spans="2:12">
      <c r="C150" s="166" t="s">
        <v>110</v>
      </c>
      <c r="D150" s="166"/>
      <c r="E150" s="166"/>
      <c r="F150" s="166"/>
      <c r="G150" s="166"/>
      <c r="H150" s="166"/>
      <c r="I150" s="166"/>
      <c r="J150" s="166"/>
      <c r="K150" s="33">
        <f>SUM(K149:K149)</f>
        <v>19</v>
      </c>
    </row>
    <row r="152" spans="2:12">
      <c r="B152" s="19" t="s">
        <v>473</v>
      </c>
      <c r="C152" s="169" t="str">
        <f>'[3]MOCINHA BARBALHO'!D42</f>
        <v>TUBO PVC, SÉRIE R, ÁGUA PLUVIAL, DN 100 MM, FORNECIDO E INSTALADO EM RAMAL DE ENCAMINHAMENTO. AF_06/2022</v>
      </c>
      <c r="D152" s="169"/>
      <c r="E152" s="169"/>
      <c r="F152" s="169"/>
      <c r="G152" s="169"/>
      <c r="H152" s="169"/>
      <c r="I152" s="169"/>
      <c r="J152" s="169"/>
      <c r="K152" s="36" t="str">
        <f>'[3]MOCINHA BARBALHO'!E42</f>
        <v>M</v>
      </c>
      <c r="L152" s="27">
        <f>K155</f>
        <v>8</v>
      </c>
    </row>
    <row r="153" spans="2:12">
      <c r="C153" s="167" t="s">
        <v>113</v>
      </c>
      <c r="D153" s="167"/>
      <c r="E153" s="167"/>
      <c r="F153" s="29" t="s">
        <v>102</v>
      </c>
      <c r="G153" s="28" t="s">
        <v>103</v>
      </c>
      <c r="H153" s="29" t="s">
        <v>104</v>
      </c>
      <c r="I153" s="28" t="s">
        <v>105</v>
      </c>
      <c r="J153" s="28" t="s">
        <v>40</v>
      </c>
      <c r="K153" s="30" t="s">
        <v>107</v>
      </c>
    </row>
    <row r="154" spans="2:12">
      <c r="C154" s="165" t="s">
        <v>457</v>
      </c>
      <c r="D154" s="165"/>
      <c r="E154" s="165"/>
      <c r="F154" s="31"/>
      <c r="G154" s="31"/>
      <c r="H154" s="31"/>
      <c r="I154" s="31">
        <v>8</v>
      </c>
      <c r="J154" s="31"/>
      <c r="K154" s="32">
        <f>I154</f>
        <v>8</v>
      </c>
    </row>
    <row r="155" spans="2:12">
      <c r="C155" s="166" t="s">
        <v>110</v>
      </c>
      <c r="D155" s="166"/>
      <c r="E155" s="166"/>
      <c r="F155" s="166"/>
      <c r="G155" s="166"/>
      <c r="H155" s="166"/>
      <c r="I155" s="166"/>
      <c r="J155" s="166"/>
      <c r="K155" s="33">
        <f>SUM(K154:K154)</f>
        <v>8</v>
      </c>
    </row>
    <row r="157" spans="2:12">
      <c r="B157" s="19" t="s">
        <v>474</v>
      </c>
      <c r="C157" s="169" t="str">
        <f>'[3]MOCINHA BARBALHO'!D43</f>
        <v>RETIRADA E RECOLOCAÇÃO DE  TELHA CERÂMICA CAPA-CANAL, COM ATÉ DUAS ÁGUAS, INCLUSO IÇAMENTO. AF_07/2019</v>
      </c>
      <c r="D157" s="169"/>
      <c r="E157" s="169"/>
      <c r="F157" s="169"/>
      <c r="G157" s="169"/>
      <c r="H157" s="169"/>
      <c r="I157" s="169"/>
      <c r="J157" s="169"/>
      <c r="K157" s="36" t="str">
        <f>'[3]MOCINHA BARBALHO'!E43</f>
        <v>M2</v>
      </c>
      <c r="L157" s="27">
        <f>K160</f>
        <v>369</v>
      </c>
    </row>
    <row r="158" spans="2:12">
      <c r="C158" s="167" t="s">
        <v>113</v>
      </c>
      <c r="D158" s="167"/>
      <c r="E158" s="167"/>
      <c r="F158" s="29" t="s">
        <v>102</v>
      </c>
      <c r="G158" s="28" t="s">
        <v>103</v>
      </c>
      <c r="H158" s="29" t="s">
        <v>104</v>
      </c>
      <c r="I158" s="28" t="s">
        <v>105</v>
      </c>
      <c r="J158" s="28" t="s">
        <v>115</v>
      </c>
      <c r="K158" s="30" t="s">
        <v>107</v>
      </c>
    </row>
    <row r="159" spans="2:12">
      <c r="C159" s="165" t="s">
        <v>146</v>
      </c>
      <c r="D159" s="165"/>
      <c r="E159" s="165"/>
      <c r="F159" s="31"/>
      <c r="G159" s="31"/>
      <c r="H159" s="31"/>
      <c r="I159" s="31"/>
      <c r="J159" s="31">
        <f>'[3]MOCINHA BARBALHO'!F43</f>
        <v>369</v>
      </c>
      <c r="K159" s="32">
        <f>J159</f>
        <v>369</v>
      </c>
    </row>
    <row r="160" spans="2:12">
      <c r="C160" s="166" t="s">
        <v>110</v>
      </c>
      <c r="D160" s="166"/>
      <c r="E160" s="166"/>
      <c r="F160" s="166"/>
      <c r="G160" s="166"/>
      <c r="H160" s="166"/>
      <c r="I160" s="166"/>
      <c r="J160" s="166"/>
      <c r="K160" s="33">
        <f>SUM(K159:K159)</f>
        <v>369</v>
      </c>
    </row>
    <row r="162" spans="2:12">
      <c r="B162" s="19" t="s">
        <v>475</v>
      </c>
      <c r="C162" s="169" t="str">
        <f>'[3]MOCINHA BARBALHO'!D44</f>
        <v>CUMEEIRA E ESPIGÃO PARA TELHA CERÂMICA EMBOÇADA COM ARGAMASSA TRAÇO 1:2:9 (CIMENTO, CAL E AREIA), PARA TELHADOS COM MAIS DE 2 ÁGUAS, INCLUSO TRANSPORTE VERTICAL. AF_07/2019</v>
      </c>
      <c r="D162" s="169"/>
      <c r="E162" s="169"/>
      <c r="F162" s="169"/>
      <c r="G162" s="169"/>
      <c r="H162" s="169"/>
      <c r="I162" s="169"/>
      <c r="J162" s="169"/>
      <c r="K162" s="36" t="str">
        <f>'[3]MOCINHA BARBALHO'!E44</f>
        <v>M</v>
      </c>
      <c r="L162" s="27">
        <f>K165</f>
        <v>44</v>
      </c>
    </row>
    <row r="163" spans="2:12">
      <c r="C163" s="167" t="s">
        <v>113</v>
      </c>
      <c r="D163" s="167"/>
      <c r="E163" s="167"/>
      <c r="F163" s="29" t="s">
        <v>102</v>
      </c>
      <c r="G163" s="28" t="s">
        <v>103</v>
      </c>
      <c r="H163" s="29" t="s">
        <v>104</v>
      </c>
      <c r="I163" s="28" t="s">
        <v>105</v>
      </c>
      <c r="J163" s="28" t="s">
        <v>40</v>
      </c>
      <c r="K163" s="30" t="s">
        <v>107</v>
      </c>
    </row>
    <row r="164" spans="2:12">
      <c r="C164" s="165" t="s">
        <v>146</v>
      </c>
      <c r="D164" s="165"/>
      <c r="E164" s="165"/>
      <c r="F164" s="31"/>
      <c r="G164" s="31"/>
      <c r="H164" s="31"/>
      <c r="I164" s="31"/>
      <c r="J164" s="31">
        <f>'[3]MOCINHA BARBALHO'!F44</f>
        <v>44</v>
      </c>
      <c r="K164" s="32">
        <f>J164</f>
        <v>44</v>
      </c>
    </row>
    <row r="165" spans="2:12">
      <c r="C165" s="166" t="s">
        <v>110</v>
      </c>
      <c r="D165" s="166"/>
      <c r="E165" s="166"/>
      <c r="F165" s="166"/>
      <c r="G165" s="166"/>
      <c r="H165" s="166"/>
      <c r="I165" s="166"/>
      <c r="J165" s="166"/>
      <c r="K165" s="33">
        <f>SUM(K164:K164)</f>
        <v>44</v>
      </c>
    </row>
    <row r="167" spans="2:12">
      <c r="B167" s="34" t="s">
        <v>147</v>
      </c>
      <c r="C167" s="168" t="str">
        <f>'[3]MOCINHA BARBALHO'!D45</f>
        <v>DIVERSOS</v>
      </c>
      <c r="D167" s="168"/>
      <c r="E167" s="168"/>
      <c r="F167" s="168"/>
      <c r="G167" s="168"/>
      <c r="H167" s="168"/>
      <c r="I167" s="168"/>
      <c r="J167" s="168"/>
      <c r="K167" s="168"/>
      <c r="L167" s="168"/>
    </row>
    <row r="168" spans="2:12" ht="27" customHeight="1">
      <c r="B168" s="19" t="s">
        <v>148</v>
      </c>
      <c r="C168" s="169" t="str">
        <f>'[3]MOCINHA BARBALHO'!D46</f>
        <v>FORRO EM RÉGUAS DE PVC, FRISADO, PARA AMBIENTES COMERCIAIS, INCLUSIVE ESTRUTURA DE FIXAÇÃO. AF_05/2017_PS</v>
      </c>
      <c r="D168" s="169"/>
      <c r="E168" s="169"/>
      <c r="F168" s="169"/>
      <c r="G168" s="169"/>
      <c r="H168" s="169"/>
      <c r="I168" s="169"/>
      <c r="J168" s="169"/>
      <c r="K168" s="36" t="str">
        <f>'[3]MOCINHA BARBALHO'!E46</f>
        <v>M2</v>
      </c>
      <c r="L168" s="27">
        <f>K171</f>
        <v>13</v>
      </c>
    </row>
    <row r="169" spans="2:12">
      <c r="C169" s="167" t="s">
        <v>113</v>
      </c>
      <c r="D169" s="167"/>
      <c r="E169" s="167"/>
      <c r="F169" s="29" t="s">
        <v>102</v>
      </c>
      <c r="G169" s="28" t="s">
        <v>103</v>
      </c>
      <c r="H169" s="29" t="s">
        <v>104</v>
      </c>
      <c r="I169" s="28" t="s">
        <v>105</v>
      </c>
      <c r="J169" s="28" t="s">
        <v>115</v>
      </c>
      <c r="K169" s="30" t="s">
        <v>107</v>
      </c>
    </row>
    <row r="170" spans="2:12" ht="14.4" customHeight="1">
      <c r="C170" s="165" t="s">
        <v>476</v>
      </c>
      <c r="D170" s="165"/>
      <c r="E170" s="165"/>
      <c r="F170" s="31"/>
      <c r="G170" s="31"/>
      <c r="H170" s="31"/>
      <c r="I170" s="31"/>
      <c r="J170" s="31">
        <v>13</v>
      </c>
      <c r="K170" s="32">
        <f>J170</f>
        <v>13</v>
      </c>
    </row>
    <row r="171" spans="2:12">
      <c r="C171" s="166" t="s">
        <v>110</v>
      </c>
      <c r="D171" s="166"/>
      <c r="E171" s="166"/>
      <c r="F171" s="166"/>
      <c r="G171" s="166"/>
      <c r="H171" s="166"/>
      <c r="I171" s="166"/>
      <c r="J171" s="166"/>
      <c r="K171" s="33">
        <f>SUM(K170:K170)</f>
        <v>13</v>
      </c>
    </row>
    <row r="173" spans="2:12" ht="32.4" customHeight="1">
      <c r="B173" s="19" t="s">
        <v>477</v>
      </c>
      <c r="C173" s="169" t="str">
        <f>'[3]MOCINHA BARBALHO'!D47</f>
        <v>LIMPEZA GERAL</v>
      </c>
      <c r="D173" s="169"/>
      <c r="E173" s="169"/>
      <c r="F173" s="169"/>
      <c r="G173" s="169"/>
      <c r="H173" s="169"/>
      <c r="I173" s="169"/>
      <c r="J173" s="169"/>
      <c r="K173" s="36" t="str">
        <f>'[3]MOCINHA BARBALHO'!E47</f>
        <v>M2</v>
      </c>
      <c r="L173" s="27">
        <f>K176</f>
        <v>207.35</v>
      </c>
    </row>
    <row r="174" spans="2:12">
      <c r="C174" s="167" t="s">
        <v>113</v>
      </c>
      <c r="D174" s="167"/>
      <c r="E174" s="167"/>
      <c r="F174" s="29" t="s">
        <v>102</v>
      </c>
      <c r="G174" s="28" t="s">
        <v>103</v>
      </c>
      <c r="H174" s="29" t="s">
        <v>104</v>
      </c>
      <c r="I174" s="28" t="s">
        <v>105</v>
      </c>
      <c r="J174" s="28" t="s">
        <v>115</v>
      </c>
      <c r="K174" s="30" t="s">
        <v>107</v>
      </c>
    </row>
    <row r="175" spans="2:12" ht="14.4" customHeight="1">
      <c r="C175" s="171" t="s">
        <v>122</v>
      </c>
      <c r="D175" s="172"/>
      <c r="E175" s="173"/>
      <c r="F175" s="31"/>
      <c r="G175" s="31"/>
      <c r="H175" s="31"/>
      <c r="I175" s="31"/>
      <c r="J175" s="31">
        <f>'[3]MOCINHA BARBALHO'!F47</f>
        <v>207.35</v>
      </c>
      <c r="K175" s="32">
        <f>J175</f>
        <v>207.35</v>
      </c>
    </row>
    <row r="176" spans="2:12">
      <c r="C176" s="166" t="s">
        <v>110</v>
      </c>
      <c r="D176" s="166"/>
      <c r="E176" s="166"/>
      <c r="F176" s="166"/>
      <c r="G176" s="166"/>
      <c r="H176" s="166"/>
      <c r="I176" s="166"/>
      <c r="J176" s="166"/>
      <c r="K176" s="33">
        <f>SUM(K175:K175)</f>
        <v>207.35</v>
      </c>
    </row>
  </sheetData>
  <mergeCells count="145">
    <mergeCell ref="B2:C5"/>
    <mergeCell ref="D2:I2"/>
    <mergeCell ref="J2:L5"/>
    <mergeCell ref="D3:I3"/>
    <mergeCell ref="D4:I5"/>
    <mergeCell ref="C12:E12"/>
    <mergeCell ref="C13:J13"/>
    <mergeCell ref="C15:J15"/>
    <mergeCell ref="C16:E16"/>
    <mergeCell ref="C17:E17"/>
    <mergeCell ref="C18:E18"/>
    <mergeCell ref="C7:J7"/>
    <mergeCell ref="C8:J8"/>
    <mergeCell ref="C9:E9"/>
    <mergeCell ref="C10:E10"/>
    <mergeCell ref="C11:E11"/>
    <mergeCell ref="C27:L27"/>
    <mergeCell ref="C28:J28"/>
    <mergeCell ref="C29:E29"/>
    <mergeCell ref="C30:E30"/>
    <mergeCell ref="C31:E31"/>
    <mergeCell ref="C32:J32"/>
    <mergeCell ref="C19:J19"/>
    <mergeCell ref="C21:J21"/>
    <mergeCell ref="C22:E22"/>
    <mergeCell ref="C23:E23"/>
    <mergeCell ref="C24:E24"/>
    <mergeCell ref="C25:J25"/>
    <mergeCell ref="C41:E41"/>
    <mergeCell ref="C42:J42"/>
    <mergeCell ref="C44:J44"/>
    <mergeCell ref="C45:E45"/>
    <mergeCell ref="C46:E46"/>
    <mergeCell ref="C47:J47"/>
    <mergeCell ref="C34:J34"/>
    <mergeCell ref="C35:E35"/>
    <mergeCell ref="C36:E36"/>
    <mergeCell ref="C37:J37"/>
    <mergeCell ref="C39:J39"/>
    <mergeCell ref="C40:E40"/>
    <mergeCell ref="C56:E56"/>
    <mergeCell ref="C57:E57"/>
    <mergeCell ref="C58:J58"/>
    <mergeCell ref="C60:J60"/>
    <mergeCell ref="C61:E61"/>
    <mergeCell ref="C62:E62"/>
    <mergeCell ref="C49:J49"/>
    <mergeCell ref="C50:E50"/>
    <mergeCell ref="C51:E51"/>
    <mergeCell ref="C52:J52"/>
    <mergeCell ref="C54:L54"/>
    <mergeCell ref="C55:J55"/>
    <mergeCell ref="C71:E71"/>
    <mergeCell ref="C72:E72"/>
    <mergeCell ref="C73:J73"/>
    <mergeCell ref="C75:L75"/>
    <mergeCell ref="C76:J76"/>
    <mergeCell ref="C77:E77"/>
    <mergeCell ref="C63:J63"/>
    <mergeCell ref="C65:J65"/>
    <mergeCell ref="C66:E66"/>
    <mergeCell ref="C67:E67"/>
    <mergeCell ref="C68:J68"/>
    <mergeCell ref="C70:J70"/>
    <mergeCell ref="C85:E85"/>
    <mergeCell ref="C86:J86"/>
    <mergeCell ref="C88:J88"/>
    <mergeCell ref="C89:E89"/>
    <mergeCell ref="C90:E90"/>
    <mergeCell ref="C91:J91"/>
    <mergeCell ref="C78:E78"/>
    <mergeCell ref="C79:E79"/>
    <mergeCell ref="C80:E80"/>
    <mergeCell ref="C81:J81"/>
    <mergeCell ref="C83:J83"/>
    <mergeCell ref="C84:E84"/>
    <mergeCell ref="C100:E100"/>
    <mergeCell ref="C101:E101"/>
    <mergeCell ref="C102:J102"/>
    <mergeCell ref="C103:K103"/>
    <mergeCell ref="C105:J105"/>
    <mergeCell ref="C106:E106"/>
    <mergeCell ref="C93:L93"/>
    <mergeCell ref="C94:J94"/>
    <mergeCell ref="C95:E95"/>
    <mergeCell ref="C96:E96"/>
    <mergeCell ref="C97:J97"/>
    <mergeCell ref="C99:J99"/>
    <mergeCell ref="C115:L115"/>
    <mergeCell ref="C116:J116"/>
    <mergeCell ref="C117:E117"/>
    <mergeCell ref="C118:E118"/>
    <mergeCell ref="C119:J119"/>
    <mergeCell ref="C121:J121"/>
    <mergeCell ref="C107:E107"/>
    <mergeCell ref="C108:J108"/>
    <mergeCell ref="C110:J110"/>
    <mergeCell ref="C111:E111"/>
    <mergeCell ref="C112:E112"/>
    <mergeCell ref="C113:J113"/>
    <mergeCell ref="C129:J129"/>
    <mergeCell ref="C131:J131"/>
    <mergeCell ref="C132:E132"/>
    <mergeCell ref="C133:E133"/>
    <mergeCell ref="C134:J134"/>
    <mergeCell ref="C136:L136"/>
    <mergeCell ref="C122:E122"/>
    <mergeCell ref="C123:E123"/>
    <mergeCell ref="C124:J124"/>
    <mergeCell ref="C126:J126"/>
    <mergeCell ref="C127:E127"/>
    <mergeCell ref="C128:E128"/>
    <mergeCell ref="C144:E144"/>
    <mergeCell ref="C145:J145"/>
    <mergeCell ref="C147:J147"/>
    <mergeCell ref="C148:E148"/>
    <mergeCell ref="C149:E149"/>
    <mergeCell ref="C150:J150"/>
    <mergeCell ref="C137:J137"/>
    <mergeCell ref="C138:E138"/>
    <mergeCell ref="C139:E139"/>
    <mergeCell ref="C140:J140"/>
    <mergeCell ref="C142:J142"/>
    <mergeCell ref="C143:E143"/>
    <mergeCell ref="C159:E159"/>
    <mergeCell ref="C160:J160"/>
    <mergeCell ref="C162:J162"/>
    <mergeCell ref="C163:E163"/>
    <mergeCell ref="C164:E164"/>
    <mergeCell ref="C165:J165"/>
    <mergeCell ref="C152:J152"/>
    <mergeCell ref="C153:E153"/>
    <mergeCell ref="C154:E154"/>
    <mergeCell ref="C155:J155"/>
    <mergeCell ref="C157:J157"/>
    <mergeCell ref="C158:E158"/>
    <mergeCell ref="C174:E174"/>
    <mergeCell ref="C175:E175"/>
    <mergeCell ref="C176:J176"/>
    <mergeCell ref="C167:L167"/>
    <mergeCell ref="C168:J168"/>
    <mergeCell ref="C169:E169"/>
    <mergeCell ref="C170:E170"/>
    <mergeCell ref="C171:J171"/>
    <mergeCell ref="C173:J17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68E22-F266-4E4E-BB94-B30582DA132C}">
  <dimension ref="A1:L70"/>
  <sheetViews>
    <sheetView topLeftCell="A58" workbookViewId="0">
      <selection activeCell="D7" sqref="D7"/>
    </sheetView>
  </sheetViews>
  <sheetFormatPr defaultRowHeight="13.8"/>
  <cols>
    <col min="1" max="2" width="10" bestFit="1" customWidth="1"/>
    <col min="3" max="3" width="13.19921875" bestFit="1" customWidth="1"/>
    <col min="4" max="4" width="60" bestFit="1" customWidth="1"/>
    <col min="5" max="5" width="8" bestFit="1" customWidth="1"/>
    <col min="6" max="10" width="13" bestFit="1" customWidth="1"/>
    <col min="12" max="12" width="9.8984375" bestFit="1" customWidth="1"/>
  </cols>
  <sheetData>
    <row r="1" spans="1:11">
      <c r="A1" s="43"/>
      <c r="B1" s="43"/>
      <c r="C1" s="43"/>
      <c r="D1" s="43" t="s">
        <v>0</v>
      </c>
      <c r="E1" s="163" t="s">
        <v>1</v>
      </c>
      <c r="F1" s="163"/>
      <c r="G1" s="163" t="s">
        <v>2</v>
      </c>
      <c r="H1" s="163"/>
      <c r="I1" s="163" t="s">
        <v>3</v>
      </c>
      <c r="J1" s="163"/>
    </row>
    <row r="2" spans="1:11" ht="79.95" customHeight="1">
      <c r="A2" s="44"/>
      <c r="B2" s="44"/>
      <c r="C2" s="44"/>
      <c r="D2" s="141" t="s">
        <v>566</v>
      </c>
      <c r="E2" s="154" t="s">
        <v>296</v>
      </c>
      <c r="F2" s="154"/>
      <c r="G2" s="154" t="s">
        <v>5</v>
      </c>
      <c r="H2" s="154"/>
      <c r="I2" s="154" t="s">
        <v>6</v>
      </c>
      <c r="J2" s="154"/>
    </row>
    <row r="3" spans="1:11">
      <c r="A3" s="162" t="s">
        <v>7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1" ht="30" customHeight="1">
      <c r="A4" s="48" t="s">
        <v>8</v>
      </c>
      <c r="B4" s="49" t="s">
        <v>9</v>
      </c>
      <c r="C4" s="48" t="s">
        <v>10</v>
      </c>
      <c r="D4" s="48" t="s">
        <v>11</v>
      </c>
      <c r="E4" s="50" t="s">
        <v>12</v>
      </c>
      <c r="F4" s="49" t="s">
        <v>13</v>
      </c>
      <c r="G4" s="49" t="s">
        <v>14</v>
      </c>
      <c r="H4" s="49" t="s">
        <v>15</v>
      </c>
      <c r="I4" s="49" t="s">
        <v>16</v>
      </c>
      <c r="J4" s="49" t="s">
        <v>17</v>
      </c>
    </row>
    <row r="5" spans="1:11" ht="24" customHeight="1">
      <c r="A5" s="45" t="s">
        <v>18</v>
      </c>
      <c r="B5" s="45"/>
      <c r="C5" s="45"/>
      <c r="D5" s="45" t="s">
        <v>19</v>
      </c>
      <c r="E5" s="45"/>
      <c r="F5" s="46"/>
      <c r="G5" s="132"/>
      <c r="H5" s="132"/>
      <c r="I5" s="130">
        <f>SUM(I6:I9)</f>
        <v>6370.88</v>
      </c>
      <c r="J5" s="72">
        <f>I5/H68</f>
        <v>2.7886111518183345E-2</v>
      </c>
      <c r="K5" s="124"/>
    </row>
    <row r="6" spans="1:11" ht="25.95" customHeight="1">
      <c r="A6" s="51" t="s">
        <v>20</v>
      </c>
      <c r="B6" s="52" t="s">
        <v>478</v>
      </c>
      <c r="C6" s="51" t="s">
        <v>29</v>
      </c>
      <c r="D6" s="51" t="s">
        <v>479</v>
      </c>
      <c r="E6" s="53" t="s">
        <v>163</v>
      </c>
      <c r="F6" s="52">
        <v>1.3680000000000001</v>
      </c>
      <c r="G6" s="128">
        <v>53.18</v>
      </c>
      <c r="H6" s="128">
        <f>SUM(G6+(G6*G2))</f>
        <v>65.347583999999998</v>
      </c>
      <c r="I6" s="128">
        <f>ROUND(F6*H6,2)</f>
        <v>89.4</v>
      </c>
      <c r="J6" s="73">
        <f>I6/H68</f>
        <v>3.9131460170739227E-4</v>
      </c>
      <c r="K6" s="124"/>
    </row>
    <row r="7" spans="1:11" ht="25.95" customHeight="1">
      <c r="A7" s="51" t="s">
        <v>297</v>
      </c>
      <c r="B7" s="52" t="s">
        <v>298</v>
      </c>
      <c r="C7" s="51" t="s">
        <v>29</v>
      </c>
      <c r="D7" s="51" t="s">
        <v>299</v>
      </c>
      <c r="E7" s="53" t="s">
        <v>163</v>
      </c>
      <c r="F7" s="52">
        <v>3.87</v>
      </c>
      <c r="G7" s="128">
        <v>80.78</v>
      </c>
      <c r="H7" s="128">
        <f>SUM(G7+(G7*G2))</f>
        <v>99.262463999999994</v>
      </c>
      <c r="I7" s="128">
        <f t="shared" ref="I7:I64" si="0">ROUND(F7*H7,2)</f>
        <v>384.15</v>
      </c>
      <c r="J7" s="73">
        <f>I7/H68</f>
        <v>1.6814709647191802E-3</v>
      </c>
      <c r="K7" s="124"/>
    </row>
    <row r="8" spans="1:11" ht="25.95" customHeight="1">
      <c r="A8" s="51" t="s">
        <v>300</v>
      </c>
      <c r="B8" s="52" t="s">
        <v>301</v>
      </c>
      <c r="C8" s="51" t="s">
        <v>29</v>
      </c>
      <c r="D8" s="51" t="s">
        <v>302</v>
      </c>
      <c r="E8" s="53" t="s">
        <v>163</v>
      </c>
      <c r="F8" s="52">
        <v>0.86</v>
      </c>
      <c r="G8" s="128">
        <v>613.26</v>
      </c>
      <c r="H8" s="128">
        <f>SUM(G8+(G8*G2))</f>
        <v>753.57388800000001</v>
      </c>
      <c r="I8" s="128">
        <f t="shared" si="0"/>
        <v>648.07000000000005</v>
      </c>
      <c r="J8" s="73">
        <f>I8/H68</f>
        <v>2.8366806927126367E-3</v>
      </c>
      <c r="K8" s="124"/>
    </row>
    <row r="9" spans="1:11" ht="25.95" customHeight="1">
      <c r="A9" s="51" t="s">
        <v>480</v>
      </c>
      <c r="B9" s="52" t="s">
        <v>481</v>
      </c>
      <c r="C9" s="51" t="s">
        <v>29</v>
      </c>
      <c r="D9" s="51" t="s">
        <v>482</v>
      </c>
      <c r="E9" s="53" t="s">
        <v>163</v>
      </c>
      <c r="F9" s="52">
        <v>36.89</v>
      </c>
      <c r="G9" s="128">
        <v>115.8</v>
      </c>
      <c r="H9" s="128">
        <f>SUM(G9+(G9*G2))</f>
        <v>142.29504</v>
      </c>
      <c r="I9" s="128">
        <f t="shared" si="0"/>
        <v>5249.26</v>
      </c>
      <c r="J9" s="73">
        <f>I9/H68</f>
        <v>2.2976645259044137E-2</v>
      </c>
      <c r="K9" s="124"/>
    </row>
    <row r="10" spans="1:11" ht="24" customHeight="1">
      <c r="A10" s="45" t="s">
        <v>25</v>
      </c>
      <c r="B10" s="45"/>
      <c r="C10" s="45"/>
      <c r="D10" s="45" t="s">
        <v>483</v>
      </c>
      <c r="E10" s="45"/>
      <c r="F10" s="46"/>
      <c r="G10" s="132"/>
      <c r="H10" s="132"/>
      <c r="I10" s="130">
        <f>SUM(I11:I12)</f>
        <v>18299.32</v>
      </c>
      <c r="J10" s="72">
        <f>I10/H68</f>
        <v>8.0098334645594141E-2</v>
      </c>
      <c r="K10" s="124"/>
    </row>
    <row r="11" spans="1:11" ht="25.95" customHeight="1">
      <c r="A11" s="51" t="s">
        <v>27</v>
      </c>
      <c r="B11" s="52" t="s">
        <v>484</v>
      </c>
      <c r="C11" s="51" t="s">
        <v>22</v>
      </c>
      <c r="D11" s="51" t="s">
        <v>485</v>
      </c>
      <c r="E11" s="53" t="s">
        <v>71</v>
      </c>
      <c r="F11" s="52">
        <v>2.58</v>
      </c>
      <c r="G11" s="128">
        <v>698.18</v>
      </c>
      <c r="H11" s="128">
        <f>SUM(G11+(G11*G2))</f>
        <v>857.92358399999989</v>
      </c>
      <c r="I11" s="128">
        <f t="shared" si="0"/>
        <v>2213.44</v>
      </c>
      <c r="J11" s="73">
        <f>I11/H68</f>
        <v>9.6884943177092866E-3</v>
      </c>
      <c r="K11" s="124"/>
    </row>
    <row r="12" spans="1:11" ht="52.05" customHeight="1">
      <c r="A12" s="51" t="s">
        <v>32</v>
      </c>
      <c r="B12" s="52" t="s">
        <v>486</v>
      </c>
      <c r="C12" s="51" t="s">
        <v>29</v>
      </c>
      <c r="D12" s="51" t="s">
        <v>487</v>
      </c>
      <c r="E12" s="53" t="s">
        <v>31</v>
      </c>
      <c r="F12" s="52">
        <v>164.25</v>
      </c>
      <c r="G12" s="128">
        <v>79.7</v>
      </c>
      <c r="H12" s="128">
        <f>SUM(G12+(G12*G2))</f>
        <v>97.935360000000003</v>
      </c>
      <c r="I12" s="128">
        <f t="shared" si="0"/>
        <v>16085.88</v>
      </c>
      <c r="J12" s="73">
        <f>I12/H68</f>
        <v>7.0409840327884859E-2</v>
      </c>
      <c r="K12" s="124"/>
    </row>
    <row r="13" spans="1:11" ht="24" customHeight="1">
      <c r="A13" s="45" t="s">
        <v>35</v>
      </c>
      <c r="B13" s="45"/>
      <c r="C13" s="45"/>
      <c r="D13" s="45" t="s">
        <v>488</v>
      </c>
      <c r="E13" s="45"/>
      <c r="F13" s="46"/>
      <c r="G13" s="132"/>
      <c r="H13" s="132"/>
      <c r="I13" s="130">
        <f>SUM(I14:I15)</f>
        <v>18108.22</v>
      </c>
      <c r="J13" s="72">
        <f>I13/H68</f>
        <v>7.9261866856038421E-2</v>
      </c>
      <c r="K13" s="124"/>
    </row>
    <row r="14" spans="1:11" ht="39" customHeight="1">
      <c r="A14" s="51" t="s">
        <v>37</v>
      </c>
      <c r="B14" s="52" t="s">
        <v>489</v>
      </c>
      <c r="C14" s="51" t="s">
        <v>29</v>
      </c>
      <c r="D14" s="51" t="s">
        <v>490</v>
      </c>
      <c r="E14" s="53" t="s">
        <v>31</v>
      </c>
      <c r="F14" s="52">
        <v>328.5</v>
      </c>
      <c r="G14" s="128">
        <v>4.62</v>
      </c>
      <c r="H14" s="128">
        <f>SUM(G14+(G14*G2))</f>
        <v>5.6770560000000003</v>
      </c>
      <c r="I14" s="128">
        <f t="shared" si="0"/>
        <v>1864.91</v>
      </c>
      <c r="J14" s="73">
        <f>I14/H68</f>
        <v>8.162936396757638E-3</v>
      </c>
      <c r="K14" s="124"/>
    </row>
    <row r="15" spans="1:11" ht="64.95" customHeight="1">
      <c r="A15" s="51" t="s">
        <v>320</v>
      </c>
      <c r="B15" s="52" t="s">
        <v>333</v>
      </c>
      <c r="C15" s="51" t="s">
        <v>29</v>
      </c>
      <c r="D15" s="51" t="s">
        <v>334</v>
      </c>
      <c r="E15" s="53" t="s">
        <v>31</v>
      </c>
      <c r="F15" s="52">
        <v>328.5</v>
      </c>
      <c r="G15" s="128">
        <v>40.24</v>
      </c>
      <c r="H15" s="128">
        <f>SUM(G15+(G15*G2))</f>
        <v>49.446912000000005</v>
      </c>
      <c r="I15" s="128">
        <f t="shared" si="0"/>
        <v>16243.31</v>
      </c>
      <c r="J15" s="73">
        <f>I15/H68</f>
        <v>7.1098930459280771E-2</v>
      </c>
      <c r="K15" s="124"/>
    </row>
    <row r="16" spans="1:11" ht="24" customHeight="1">
      <c r="A16" s="45" t="s">
        <v>41</v>
      </c>
      <c r="B16" s="45"/>
      <c r="C16" s="45"/>
      <c r="D16" s="45" t="s">
        <v>26</v>
      </c>
      <c r="E16" s="45"/>
      <c r="F16" s="46"/>
      <c r="G16" s="132"/>
      <c r="H16" s="132"/>
      <c r="I16" s="130">
        <f>SUM(I17:I20)</f>
        <v>20293.630000000005</v>
      </c>
      <c r="J16" s="72">
        <f>I16/H68</f>
        <v>8.8827670477037893E-2</v>
      </c>
      <c r="K16" s="124"/>
    </row>
    <row r="17" spans="1:11" ht="52.05" customHeight="1">
      <c r="A17" s="51" t="s">
        <v>43</v>
      </c>
      <c r="B17" s="52" t="s">
        <v>28</v>
      </c>
      <c r="C17" s="51" t="s">
        <v>29</v>
      </c>
      <c r="D17" s="51" t="s">
        <v>30</v>
      </c>
      <c r="E17" s="53" t="s">
        <v>31</v>
      </c>
      <c r="F17" s="52">
        <v>58</v>
      </c>
      <c r="G17" s="128">
        <v>52.2</v>
      </c>
      <c r="H17" s="128">
        <f>SUM(G17+(G17*G2))</f>
        <v>64.143360000000001</v>
      </c>
      <c r="I17" s="128">
        <f t="shared" si="0"/>
        <v>3720.31</v>
      </c>
      <c r="J17" s="73">
        <f>I17/H68</f>
        <v>1.6284246374474589E-2</v>
      </c>
      <c r="K17" s="124"/>
    </row>
    <row r="18" spans="1:11" ht="39" customHeight="1">
      <c r="A18" s="51" t="s">
        <v>47</v>
      </c>
      <c r="B18" s="52" t="s">
        <v>491</v>
      </c>
      <c r="C18" s="51" t="s">
        <v>29</v>
      </c>
      <c r="D18" s="51" t="s">
        <v>492</v>
      </c>
      <c r="E18" s="53" t="s">
        <v>31</v>
      </c>
      <c r="F18" s="52">
        <v>58</v>
      </c>
      <c r="G18" s="128">
        <v>54.13</v>
      </c>
      <c r="H18" s="128">
        <f>SUM(G18+(G18*G2))</f>
        <v>66.514944</v>
      </c>
      <c r="I18" s="128">
        <f t="shared" si="0"/>
        <v>3857.87</v>
      </c>
      <c r="J18" s="73">
        <f>I18/H68</f>
        <v>1.6886363115088336E-2</v>
      </c>
      <c r="K18" s="124"/>
    </row>
    <row r="19" spans="1:11" ht="39" customHeight="1">
      <c r="A19" s="51" t="s">
        <v>329</v>
      </c>
      <c r="B19" s="52" t="s">
        <v>330</v>
      </c>
      <c r="C19" s="51" t="s">
        <v>22</v>
      </c>
      <c r="D19" s="51" t="s">
        <v>331</v>
      </c>
      <c r="E19" s="53" t="s">
        <v>71</v>
      </c>
      <c r="F19" s="52">
        <v>105.4</v>
      </c>
      <c r="G19" s="128">
        <v>96.14</v>
      </c>
      <c r="H19" s="128">
        <f>SUM(G19+(G19*G2))</f>
        <v>118.136832</v>
      </c>
      <c r="I19" s="128">
        <f t="shared" si="0"/>
        <v>12451.62</v>
      </c>
      <c r="J19" s="73">
        <f>I19/H68</f>
        <v>5.4502245200355702E-2</v>
      </c>
      <c r="K19" s="124"/>
    </row>
    <row r="20" spans="1:11" ht="39" customHeight="1">
      <c r="A20" s="51" t="s">
        <v>493</v>
      </c>
      <c r="B20" s="52" t="s">
        <v>494</v>
      </c>
      <c r="C20" s="51" t="s">
        <v>29</v>
      </c>
      <c r="D20" s="51" t="s">
        <v>495</v>
      </c>
      <c r="E20" s="53" t="s">
        <v>31</v>
      </c>
      <c r="F20" s="52">
        <v>3.78</v>
      </c>
      <c r="G20" s="128">
        <v>56.8</v>
      </c>
      <c r="H20" s="128">
        <f>SUM(G20+(G20*G2))</f>
        <v>69.795839999999998</v>
      </c>
      <c r="I20" s="128">
        <f t="shared" si="0"/>
        <v>263.83</v>
      </c>
      <c r="J20" s="73">
        <f>I20/H68</f>
        <v>1.1548157871192537E-3</v>
      </c>
      <c r="K20" s="124"/>
    </row>
    <row r="21" spans="1:11" ht="24" customHeight="1">
      <c r="A21" s="45" t="s">
        <v>50</v>
      </c>
      <c r="B21" s="45"/>
      <c r="C21" s="45"/>
      <c r="D21" s="45" t="s">
        <v>36</v>
      </c>
      <c r="E21" s="45"/>
      <c r="F21" s="46"/>
      <c r="G21" s="132"/>
      <c r="H21" s="132"/>
      <c r="I21" s="130">
        <f>SUM(I22:I27)</f>
        <v>56634.360000000008</v>
      </c>
      <c r="J21" s="72">
        <f>I21/H68</f>
        <v>0.24789543653638779</v>
      </c>
      <c r="K21" s="124"/>
    </row>
    <row r="22" spans="1:11" ht="25.95" customHeight="1">
      <c r="A22" s="51" t="s">
        <v>52</v>
      </c>
      <c r="B22" s="52" t="s">
        <v>496</v>
      </c>
      <c r="C22" s="51" t="s">
        <v>22</v>
      </c>
      <c r="D22" s="51" t="s">
        <v>497</v>
      </c>
      <c r="E22" s="53" t="s">
        <v>71</v>
      </c>
      <c r="F22" s="52">
        <v>1065.75</v>
      </c>
      <c r="G22" s="128">
        <v>3.92</v>
      </c>
      <c r="H22" s="128">
        <f>SUM(G22+(G22*G2))</f>
        <v>4.8168959999999998</v>
      </c>
      <c r="I22" s="128">
        <f t="shared" si="0"/>
        <v>5133.6099999999997</v>
      </c>
      <c r="J22" s="73">
        <f>I22/H68</f>
        <v>2.247043123569447E-2</v>
      </c>
      <c r="K22" s="124"/>
    </row>
    <row r="23" spans="1:11" ht="25.95" customHeight="1">
      <c r="A23" s="51" t="s">
        <v>56</v>
      </c>
      <c r="B23" s="52" t="s">
        <v>498</v>
      </c>
      <c r="C23" s="51" t="s">
        <v>29</v>
      </c>
      <c r="D23" s="51" t="s">
        <v>499</v>
      </c>
      <c r="E23" s="53" t="s">
        <v>31</v>
      </c>
      <c r="F23" s="52">
        <v>784.95</v>
      </c>
      <c r="G23" s="128">
        <v>24.74</v>
      </c>
      <c r="H23" s="128">
        <f>SUM(G23+(G23*G2))</f>
        <v>30.400511999999999</v>
      </c>
      <c r="I23" s="128">
        <f t="shared" si="0"/>
        <v>23862.880000000001</v>
      </c>
      <c r="J23" s="73">
        <f>I23/H68</f>
        <v>0.10445070897976842</v>
      </c>
      <c r="K23" s="124"/>
    </row>
    <row r="24" spans="1:11" ht="25.95" customHeight="1">
      <c r="A24" s="51" t="s">
        <v>60</v>
      </c>
      <c r="B24" s="52" t="s">
        <v>337</v>
      </c>
      <c r="C24" s="51" t="s">
        <v>29</v>
      </c>
      <c r="D24" s="51" t="s">
        <v>338</v>
      </c>
      <c r="E24" s="53" t="s">
        <v>31</v>
      </c>
      <c r="F24" s="52">
        <v>1065.75</v>
      </c>
      <c r="G24" s="128">
        <v>3.19</v>
      </c>
      <c r="H24" s="128">
        <f>SUM(G24+(G24*G2))</f>
        <v>3.9198719999999998</v>
      </c>
      <c r="I24" s="128">
        <f t="shared" si="0"/>
        <v>4177.6000000000004</v>
      </c>
      <c r="J24" s="73">
        <f>I24/H68</f>
        <v>1.8285859956295322E-2</v>
      </c>
      <c r="K24" s="124"/>
    </row>
    <row r="25" spans="1:11" ht="25.95" customHeight="1">
      <c r="A25" s="51" t="s">
        <v>63</v>
      </c>
      <c r="B25" s="52" t="s">
        <v>339</v>
      </c>
      <c r="C25" s="51" t="s">
        <v>29</v>
      </c>
      <c r="D25" s="51" t="s">
        <v>340</v>
      </c>
      <c r="E25" s="53" t="s">
        <v>31</v>
      </c>
      <c r="F25" s="52">
        <v>1065.75</v>
      </c>
      <c r="G25" s="128">
        <v>16.21</v>
      </c>
      <c r="H25" s="128">
        <f>SUM(G25+(G25*G2))</f>
        <v>19.918848000000001</v>
      </c>
      <c r="I25" s="128">
        <f t="shared" si="0"/>
        <v>21228.51</v>
      </c>
      <c r="J25" s="73">
        <f>I25/H68</f>
        <v>9.2919753193416027E-2</v>
      </c>
      <c r="K25" s="124"/>
    </row>
    <row r="26" spans="1:11" ht="39" customHeight="1">
      <c r="A26" s="51" t="s">
        <v>500</v>
      </c>
      <c r="B26" s="52" t="s">
        <v>501</v>
      </c>
      <c r="C26" s="51" t="s">
        <v>29</v>
      </c>
      <c r="D26" s="51" t="s">
        <v>502</v>
      </c>
      <c r="E26" s="53" t="s">
        <v>31</v>
      </c>
      <c r="F26" s="52">
        <v>68.489999999999995</v>
      </c>
      <c r="G26" s="128">
        <v>15.95</v>
      </c>
      <c r="H26" s="128">
        <f>SUM(G26+(G26*G2))</f>
        <v>19.599359999999997</v>
      </c>
      <c r="I26" s="128">
        <f t="shared" si="0"/>
        <v>1342.36</v>
      </c>
      <c r="J26" s="73">
        <f>I26/H68</f>
        <v>5.875671909932159E-3</v>
      </c>
      <c r="K26" s="124"/>
    </row>
    <row r="27" spans="1:11" ht="52.05" customHeight="1">
      <c r="A27" s="51" t="s">
        <v>503</v>
      </c>
      <c r="B27" s="52" t="s">
        <v>504</v>
      </c>
      <c r="C27" s="51" t="s">
        <v>29</v>
      </c>
      <c r="D27" s="51" t="s">
        <v>505</v>
      </c>
      <c r="E27" s="53" t="s">
        <v>31</v>
      </c>
      <c r="F27" s="52">
        <v>15.27</v>
      </c>
      <c r="G27" s="128">
        <v>47.4</v>
      </c>
      <c r="H27" s="128">
        <f>SUM(G27+(G27*G2))</f>
        <v>58.24512</v>
      </c>
      <c r="I27" s="128">
        <f t="shared" si="0"/>
        <v>889.4</v>
      </c>
      <c r="J27" s="73">
        <f>I27/H68</f>
        <v>3.893011261281372E-3</v>
      </c>
      <c r="K27" s="124"/>
    </row>
    <row r="28" spans="1:11" ht="24" customHeight="1">
      <c r="A28" s="45" t="s">
        <v>66</v>
      </c>
      <c r="B28" s="45"/>
      <c r="C28" s="45"/>
      <c r="D28" s="45" t="s">
        <v>506</v>
      </c>
      <c r="E28" s="45"/>
      <c r="F28" s="46"/>
      <c r="G28" s="132"/>
      <c r="H28" s="132"/>
      <c r="I28" s="130">
        <f>SUM(I29:I34)</f>
        <v>8585.39</v>
      </c>
      <c r="J28" s="72">
        <f>I28/H68</f>
        <v>3.7579289355174808E-2</v>
      </c>
      <c r="K28" s="124"/>
    </row>
    <row r="29" spans="1:11" ht="25.95" customHeight="1">
      <c r="A29" s="51" t="s">
        <v>68</v>
      </c>
      <c r="B29" s="52" t="s">
        <v>44</v>
      </c>
      <c r="C29" s="51" t="s">
        <v>22</v>
      </c>
      <c r="D29" s="51" t="s">
        <v>45</v>
      </c>
      <c r="E29" s="53" t="s">
        <v>46</v>
      </c>
      <c r="F29" s="52">
        <v>10</v>
      </c>
      <c r="G29" s="128">
        <v>123.61</v>
      </c>
      <c r="H29" s="128">
        <f>SUM(G29+(G29*G2))</f>
        <v>151.89196799999999</v>
      </c>
      <c r="I29" s="128">
        <f t="shared" si="0"/>
        <v>1518.92</v>
      </c>
      <c r="J29" s="73">
        <f>I29/H68</f>
        <v>6.6484963627001367E-3</v>
      </c>
      <c r="K29" s="124"/>
    </row>
    <row r="30" spans="1:11" ht="25.95" customHeight="1">
      <c r="A30" s="51" t="s">
        <v>72</v>
      </c>
      <c r="B30" s="52" t="s">
        <v>48</v>
      </c>
      <c r="C30" s="51" t="s">
        <v>22</v>
      </c>
      <c r="D30" s="51" t="s">
        <v>49</v>
      </c>
      <c r="E30" s="53" t="s">
        <v>46</v>
      </c>
      <c r="F30" s="52">
        <v>10</v>
      </c>
      <c r="G30" s="128">
        <v>122.58</v>
      </c>
      <c r="H30" s="128">
        <f>SUM(G30+(G30*G2))</f>
        <v>150.626304</v>
      </c>
      <c r="I30" s="128">
        <f t="shared" si="0"/>
        <v>1506.26</v>
      </c>
      <c r="J30" s="73">
        <f>I30/H68</f>
        <v>6.5930820130623785E-3</v>
      </c>
      <c r="K30" s="124"/>
    </row>
    <row r="31" spans="1:11" ht="39" customHeight="1">
      <c r="A31" s="51" t="s">
        <v>75</v>
      </c>
      <c r="B31" s="52" t="s">
        <v>507</v>
      </c>
      <c r="C31" s="51" t="s">
        <v>29</v>
      </c>
      <c r="D31" s="51" t="s">
        <v>508</v>
      </c>
      <c r="E31" s="53" t="s">
        <v>59</v>
      </c>
      <c r="F31" s="52">
        <v>6</v>
      </c>
      <c r="G31" s="128">
        <v>180.33</v>
      </c>
      <c r="H31" s="128">
        <f>SUM(G31+(G31*G2))</f>
        <v>221.58950400000003</v>
      </c>
      <c r="I31" s="128">
        <f t="shared" si="0"/>
        <v>1329.54</v>
      </c>
      <c r="J31" s="73">
        <f>I31/H68</f>
        <v>5.8195572209624865E-3</v>
      </c>
      <c r="K31" s="124"/>
    </row>
    <row r="32" spans="1:11" ht="39" customHeight="1">
      <c r="A32" s="51" t="s">
        <v>78</v>
      </c>
      <c r="B32" s="52" t="s">
        <v>509</v>
      </c>
      <c r="C32" s="51" t="s">
        <v>29</v>
      </c>
      <c r="D32" s="51" t="s">
        <v>510</v>
      </c>
      <c r="E32" s="53" t="s">
        <v>40</v>
      </c>
      <c r="F32" s="52">
        <v>500</v>
      </c>
      <c r="G32" s="128">
        <v>4.22</v>
      </c>
      <c r="H32" s="128">
        <f>SUM(G32+(G32*G2))</f>
        <v>5.1855359999999999</v>
      </c>
      <c r="I32" s="128">
        <f t="shared" si="0"/>
        <v>2592.77</v>
      </c>
      <c r="J32" s="73">
        <f>I32/H68</f>
        <v>1.1348867560054534E-2</v>
      </c>
      <c r="K32" s="124"/>
    </row>
    <row r="33" spans="1:11" ht="24" customHeight="1">
      <c r="A33" s="51" t="s">
        <v>511</v>
      </c>
      <c r="B33" s="52" t="s">
        <v>341</v>
      </c>
      <c r="C33" s="51" t="s">
        <v>22</v>
      </c>
      <c r="D33" s="51" t="s">
        <v>342</v>
      </c>
      <c r="E33" s="53" t="s">
        <v>46</v>
      </c>
      <c r="F33" s="52">
        <v>6</v>
      </c>
      <c r="G33" s="128">
        <v>191.22</v>
      </c>
      <c r="H33" s="128">
        <f>SUM(G33+(G33*G2))</f>
        <v>234.971136</v>
      </c>
      <c r="I33" s="128">
        <f t="shared" si="0"/>
        <v>1409.83</v>
      </c>
      <c r="J33" s="73">
        <f>I33/H68</f>
        <v>6.1709962519589795E-3</v>
      </c>
      <c r="K33" s="124"/>
    </row>
    <row r="34" spans="1:11" ht="25.95" customHeight="1">
      <c r="A34" s="51" t="s">
        <v>512</v>
      </c>
      <c r="B34" s="52" t="s">
        <v>343</v>
      </c>
      <c r="C34" s="51" t="s">
        <v>29</v>
      </c>
      <c r="D34" s="51" t="s">
        <v>344</v>
      </c>
      <c r="E34" s="53" t="s">
        <v>59</v>
      </c>
      <c r="F34" s="52">
        <v>10</v>
      </c>
      <c r="G34" s="128">
        <v>18.559999999999999</v>
      </c>
      <c r="H34" s="128">
        <f>SUM(G34+(G34*G2))</f>
        <v>22.806528</v>
      </c>
      <c r="I34" s="128">
        <f t="shared" si="0"/>
        <v>228.07</v>
      </c>
      <c r="J34" s="73">
        <f>I34/H68</f>
        <v>9.9828994643629682E-4</v>
      </c>
      <c r="K34" s="124"/>
    </row>
    <row r="35" spans="1:11" ht="24" customHeight="1">
      <c r="A35" s="45" t="s">
        <v>81</v>
      </c>
      <c r="B35" s="45"/>
      <c r="C35" s="45"/>
      <c r="D35" s="45" t="s">
        <v>513</v>
      </c>
      <c r="E35" s="45"/>
      <c r="F35" s="46"/>
      <c r="G35" s="132"/>
      <c r="H35" s="132"/>
      <c r="I35" s="130">
        <f>SUM(I36:I42)</f>
        <v>5058.1899999999987</v>
      </c>
      <c r="J35" s="72">
        <f>I35/H68</f>
        <v>2.2140308783113131E-2</v>
      </c>
      <c r="K35" s="124"/>
    </row>
    <row r="36" spans="1:11" ht="25.95" customHeight="1">
      <c r="A36" s="51" t="s">
        <v>83</v>
      </c>
      <c r="B36" s="52" t="s">
        <v>514</v>
      </c>
      <c r="C36" s="51" t="s">
        <v>29</v>
      </c>
      <c r="D36" s="51" t="s">
        <v>515</v>
      </c>
      <c r="E36" s="53" t="s">
        <v>59</v>
      </c>
      <c r="F36" s="52">
        <v>4</v>
      </c>
      <c r="G36" s="128">
        <v>507.45</v>
      </c>
      <c r="H36" s="128">
        <f>SUM(G36+(G36*G2))</f>
        <v>623.55456000000004</v>
      </c>
      <c r="I36" s="128">
        <f t="shared" si="0"/>
        <v>2494.2199999999998</v>
      </c>
      <c r="J36" s="73">
        <f>I36/H68</f>
        <v>1.0917502302803264E-2</v>
      </c>
      <c r="K36" s="124"/>
    </row>
    <row r="37" spans="1:11" ht="25.95" customHeight="1">
      <c r="A37" s="51" t="s">
        <v>86</v>
      </c>
      <c r="B37" s="52" t="s">
        <v>53</v>
      </c>
      <c r="C37" s="51" t="s">
        <v>22</v>
      </c>
      <c r="D37" s="51" t="s">
        <v>54</v>
      </c>
      <c r="E37" s="53" t="s">
        <v>55</v>
      </c>
      <c r="F37" s="52">
        <v>4</v>
      </c>
      <c r="G37" s="128">
        <v>81.709999999999994</v>
      </c>
      <c r="H37" s="128">
        <f>SUM(G37+(G37*G2))</f>
        <v>100.405248</v>
      </c>
      <c r="I37" s="128">
        <f t="shared" si="0"/>
        <v>401.62</v>
      </c>
      <c r="J37" s="73">
        <f>I37/H68</f>
        <v>1.7579392655226271E-3</v>
      </c>
      <c r="K37" s="124"/>
    </row>
    <row r="38" spans="1:11" ht="25.95" customHeight="1">
      <c r="A38" s="51" t="s">
        <v>349</v>
      </c>
      <c r="B38" s="52" t="s">
        <v>516</v>
      </c>
      <c r="C38" s="51" t="s">
        <v>29</v>
      </c>
      <c r="D38" s="51" t="s">
        <v>517</v>
      </c>
      <c r="E38" s="53" t="s">
        <v>59</v>
      </c>
      <c r="F38" s="52">
        <v>1</v>
      </c>
      <c r="G38" s="128">
        <v>32.46</v>
      </c>
      <c r="H38" s="128">
        <f>SUM(G38+(G38*G2))</f>
        <v>39.886848000000001</v>
      </c>
      <c r="I38" s="128">
        <f t="shared" si="0"/>
        <v>39.89</v>
      </c>
      <c r="J38" s="73">
        <f>I38/H68</f>
        <v>1.7460334968800756E-4</v>
      </c>
      <c r="K38" s="124"/>
    </row>
    <row r="39" spans="1:11" ht="52.05" customHeight="1">
      <c r="A39" s="51" t="s">
        <v>352</v>
      </c>
      <c r="B39" s="52" t="s">
        <v>518</v>
      </c>
      <c r="C39" s="51" t="s">
        <v>29</v>
      </c>
      <c r="D39" s="51" t="s">
        <v>519</v>
      </c>
      <c r="E39" s="53" t="s">
        <v>59</v>
      </c>
      <c r="F39" s="52">
        <v>1</v>
      </c>
      <c r="G39" s="128">
        <v>519.82000000000005</v>
      </c>
      <c r="H39" s="128">
        <f>SUM(G39+(G39*G2))</f>
        <v>638.75481600000012</v>
      </c>
      <c r="I39" s="128">
        <f t="shared" si="0"/>
        <v>638.75</v>
      </c>
      <c r="J39" s="73">
        <f>I39/H68</f>
        <v>2.7958859266285995E-3</v>
      </c>
      <c r="K39" s="124"/>
    </row>
    <row r="40" spans="1:11" ht="25.95" customHeight="1">
      <c r="A40" s="51" t="s">
        <v>355</v>
      </c>
      <c r="B40" s="52" t="s">
        <v>520</v>
      </c>
      <c r="C40" s="51" t="s">
        <v>29</v>
      </c>
      <c r="D40" s="51" t="s">
        <v>521</v>
      </c>
      <c r="E40" s="53" t="s">
        <v>59</v>
      </c>
      <c r="F40" s="52">
        <v>6</v>
      </c>
      <c r="G40" s="128">
        <v>102.83</v>
      </c>
      <c r="H40" s="128">
        <f>SUM(G40+(G40*G2))</f>
        <v>126.35750400000001</v>
      </c>
      <c r="I40" s="128">
        <f t="shared" si="0"/>
        <v>758.15</v>
      </c>
      <c r="J40" s="73">
        <f>I40/H68</f>
        <v>3.3185141530700157E-3</v>
      </c>
      <c r="K40" s="124"/>
    </row>
    <row r="41" spans="1:11" ht="39" customHeight="1">
      <c r="A41" s="51" t="s">
        <v>1077</v>
      </c>
      <c r="B41" s="52" t="s">
        <v>64</v>
      </c>
      <c r="C41" s="51" t="s">
        <v>29</v>
      </c>
      <c r="D41" s="51" t="s">
        <v>65</v>
      </c>
      <c r="E41" s="53" t="s">
        <v>59</v>
      </c>
      <c r="F41" s="52">
        <v>4</v>
      </c>
      <c r="G41" s="128">
        <v>78.91</v>
      </c>
      <c r="H41" s="128">
        <f>SUM(G41+(G41*G2))</f>
        <v>96.964607999999998</v>
      </c>
      <c r="I41" s="128">
        <f t="shared" si="0"/>
        <v>387.86</v>
      </c>
      <c r="J41" s="73">
        <f>I41/H68</f>
        <v>1.6977100829779549E-3</v>
      </c>
      <c r="K41" s="124"/>
    </row>
    <row r="42" spans="1:11" ht="52.05" customHeight="1">
      <c r="A42" s="51" t="s">
        <v>1078</v>
      </c>
      <c r="B42" s="52" t="s">
        <v>524</v>
      </c>
      <c r="C42" s="51" t="s">
        <v>29</v>
      </c>
      <c r="D42" s="51" t="s">
        <v>525</v>
      </c>
      <c r="E42" s="53" t="s">
        <v>59</v>
      </c>
      <c r="F42" s="52">
        <v>2</v>
      </c>
      <c r="G42" s="128">
        <v>137.41</v>
      </c>
      <c r="H42" s="128">
        <f>SUM(G42+(G42*G2))</f>
        <v>168.84940799999998</v>
      </c>
      <c r="I42" s="128">
        <f t="shared" si="0"/>
        <v>337.7</v>
      </c>
      <c r="J42" s="73">
        <f>I42/H68</f>
        <v>1.4781537024226661E-3</v>
      </c>
      <c r="K42" s="124"/>
    </row>
    <row r="43" spans="1:11" ht="24" customHeight="1">
      <c r="A43" s="45" t="s">
        <v>89</v>
      </c>
      <c r="B43" s="45"/>
      <c r="C43" s="45"/>
      <c r="D43" s="45" t="s">
        <v>82</v>
      </c>
      <c r="E43" s="45"/>
      <c r="F43" s="46"/>
      <c r="G43" s="132"/>
      <c r="H43" s="132"/>
      <c r="I43" s="130">
        <f>SUM(I44:I51)</f>
        <v>44586.1</v>
      </c>
      <c r="J43" s="72">
        <f>I43/H68</f>
        <v>0.19515874679178927</v>
      </c>
      <c r="K43" s="124"/>
    </row>
    <row r="44" spans="1:11" ht="52.05" customHeight="1">
      <c r="A44" s="51" t="s">
        <v>90</v>
      </c>
      <c r="B44" s="52" t="s">
        <v>345</v>
      </c>
      <c r="C44" s="51" t="s">
        <v>29</v>
      </c>
      <c r="D44" s="51" t="s">
        <v>346</v>
      </c>
      <c r="E44" s="53" t="s">
        <v>31</v>
      </c>
      <c r="F44" s="52">
        <v>167.4</v>
      </c>
      <c r="G44" s="128">
        <v>92.53</v>
      </c>
      <c r="H44" s="128">
        <f>SUM(G44+(G44*G2))</f>
        <v>113.700864</v>
      </c>
      <c r="I44" s="128">
        <f t="shared" si="0"/>
        <v>19033.52</v>
      </c>
      <c r="J44" s="73">
        <f>I44/H68</f>
        <v>8.3312016754918172E-2</v>
      </c>
      <c r="K44" s="124"/>
    </row>
    <row r="45" spans="1:11" ht="39" customHeight="1">
      <c r="A45" s="51" t="s">
        <v>357</v>
      </c>
      <c r="B45" s="52" t="s">
        <v>347</v>
      </c>
      <c r="C45" s="51" t="s">
        <v>29</v>
      </c>
      <c r="D45" s="51" t="s">
        <v>348</v>
      </c>
      <c r="E45" s="53" t="s">
        <v>31</v>
      </c>
      <c r="F45" s="52">
        <v>167.4</v>
      </c>
      <c r="G45" s="128">
        <v>51.4</v>
      </c>
      <c r="H45" s="128">
        <f>SUM(G45+(G45*G2))</f>
        <v>63.160319999999999</v>
      </c>
      <c r="I45" s="128">
        <f t="shared" si="0"/>
        <v>10573.04</v>
      </c>
      <c r="J45" s="73">
        <f>I45/H68</f>
        <v>4.6279473561927589E-2</v>
      </c>
      <c r="K45" s="124"/>
    </row>
    <row r="46" spans="1:11" ht="25.95" customHeight="1">
      <c r="A46" s="51" t="s">
        <v>526</v>
      </c>
      <c r="B46" s="52" t="s">
        <v>350</v>
      </c>
      <c r="C46" s="51" t="s">
        <v>22</v>
      </c>
      <c r="D46" s="51" t="s">
        <v>351</v>
      </c>
      <c r="E46" s="53" t="s">
        <v>40</v>
      </c>
      <c r="F46" s="52">
        <v>17</v>
      </c>
      <c r="G46" s="128">
        <v>234.61</v>
      </c>
      <c r="H46" s="128">
        <f>SUM(G46+(G46*G2))</f>
        <v>288.288768</v>
      </c>
      <c r="I46" s="128">
        <f t="shared" si="0"/>
        <v>4900.91</v>
      </c>
      <c r="J46" s="73">
        <f>I46/H68</f>
        <v>2.1451875219840891E-2</v>
      </c>
      <c r="K46" s="124"/>
    </row>
    <row r="47" spans="1:11" ht="39" customHeight="1">
      <c r="A47" s="51" t="s">
        <v>527</v>
      </c>
      <c r="B47" s="52" t="s">
        <v>353</v>
      </c>
      <c r="C47" s="51" t="s">
        <v>29</v>
      </c>
      <c r="D47" s="51" t="s">
        <v>354</v>
      </c>
      <c r="E47" s="53" t="s">
        <v>40</v>
      </c>
      <c r="F47" s="52">
        <v>15</v>
      </c>
      <c r="G47" s="128">
        <v>46.85</v>
      </c>
      <c r="H47" s="128">
        <f>SUM(G47+(G47*G2))</f>
        <v>57.569280000000006</v>
      </c>
      <c r="I47" s="128">
        <f t="shared" si="0"/>
        <v>863.54</v>
      </c>
      <c r="J47" s="73">
        <f>I47/H68</f>
        <v>3.779818916760643E-3</v>
      </c>
      <c r="K47" s="124"/>
    </row>
    <row r="48" spans="1:11" ht="39" customHeight="1">
      <c r="A48" s="51" t="s">
        <v>528</v>
      </c>
      <c r="B48" s="52" t="s">
        <v>84</v>
      </c>
      <c r="C48" s="51" t="s">
        <v>29</v>
      </c>
      <c r="D48" s="51" t="s">
        <v>85</v>
      </c>
      <c r="E48" s="53" t="s">
        <v>31</v>
      </c>
      <c r="F48" s="52">
        <v>251</v>
      </c>
      <c r="G48" s="128">
        <v>18.329999999999998</v>
      </c>
      <c r="H48" s="128">
        <f>SUM(G48+(G48*G2))</f>
        <v>22.523903999999998</v>
      </c>
      <c r="I48" s="128">
        <f t="shared" si="0"/>
        <v>5653.5</v>
      </c>
      <c r="J48" s="73">
        <f>I48/H68</f>
        <v>2.4746052581126866E-2</v>
      </c>
      <c r="K48" s="124"/>
    </row>
    <row r="49" spans="1:12" ht="52.05" customHeight="1">
      <c r="A49" s="51" t="s">
        <v>529</v>
      </c>
      <c r="B49" s="52" t="s">
        <v>87</v>
      </c>
      <c r="C49" s="51" t="s">
        <v>29</v>
      </c>
      <c r="D49" s="51" t="s">
        <v>88</v>
      </c>
      <c r="E49" s="53" t="s">
        <v>40</v>
      </c>
      <c r="F49" s="52">
        <v>27</v>
      </c>
      <c r="G49" s="128">
        <v>33.090000000000003</v>
      </c>
      <c r="H49" s="128">
        <f>SUM(G49+(G49*G2))</f>
        <v>40.660992000000007</v>
      </c>
      <c r="I49" s="128">
        <f t="shared" si="0"/>
        <v>1097.8499999999999</v>
      </c>
      <c r="J49" s="73">
        <f>I49/H68</f>
        <v>4.805422097141617E-3</v>
      </c>
      <c r="K49" s="124"/>
    </row>
    <row r="50" spans="1:12" ht="39" customHeight="1">
      <c r="A50" s="51" t="s">
        <v>530</v>
      </c>
      <c r="B50" s="52" t="s">
        <v>531</v>
      </c>
      <c r="C50" s="51" t="s">
        <v>29</v>
      </c>
      <c r="D50" s="51" t="s">
        <v>532</v>
      </c>
      <c r="E50" s="53" t="s">
        <v>31</v>
      </c>
      <c r="F50" s="52">
        <v>50</v>
      </c>
      <c r="G50" s="128">
        <v>20.16</v>
      </c>
      <c r="H50" s="128">
        <f>SUM(G50+(G50*G2))</f>
        <v>24.772607999999998</v>
      </c>
      <c r="I50" s="128">
        <f t="shared" si="0"/>
        <v>1238.6300000000001</v>
      </c>
      <c r="J50" s="73">
        <f>I50/H68</f>
        <v>5.4216331668101485E-3</v>
      </c>
      <c r="K50" s="124"/>
    </row>
    <row r="51" spans="1:12" ht="39" customHeight="1">
      <c r="A51" s="51" t="s">
        <v>533</v>
      </c>
      <c r="B51" s="52" t="s">
        <v>534</v>
      </c>
      <c r="C51" s="51" t="s">
        <v>29</v>
      </c>
      <c r="D51" s="51" t="s">
        <v>535</v>
      </c>
      <c r="E51" s="53" t="s">
        <v>31</v>
      </c>
      <c r="F51" s="52">
        <v>50</v>
      </c>
      <c r="G51" s="128">
        <v>19.940000000000001</v>
      </c>
      <c r="H51" s="128">
        <f>SUM(G51+(G51*G2))</f>
        <v>24.502272000000001</v>
      </c>
      <c r="I51" s="128">
        <f t="shared" si="0"/>
        <v>1225.1099999999999</v>
      </c>
      <c r="J51" s="73">
        <f>I51/H68</f>
        <v>5.3624544932633477E-3</v>
      </c>
      <c r="K51" s="124"/>
    </row>
    <row r="52" spans="1:12" ht="24" customHeight="1">
      <c r="A52" s="45" t="s">
        <v>536</v>
      </c>
      <c r="B52" s="45"/>
      <c r="C52" s="45"/>
      <c r="D52" s="45" t="s">
        <v>537</v>
      </c>
      <c r="E52" s="45"/>
      <c r="F52" s="46"/>
      <c r="G52" s="132"/>
      <c r="H52" s="132"/>
      <c r="I52" s="130">
        <f>SUM(I53:I56)</f>
        <v>9915.52</v>
      </c>
      <c r="J52" s="72">
        <f>I52/H68</f>
        <v>4.3401429077423739E-2</v>
      </c>
      <c r="K52" s="124"/>
    </row>
    <row r="53" spans="1:12" ht="64.95" customHeight="1">
      <c r="A53" s="51" t="s">
        <v>538</v>
      </c>
      <c r="B53" s="52" t="s">
        <v>539</v>
      </c>
      <c r="C53" s="51" t="s">
        <v>29</v>
      </c>
      <c r="D53" s="51" t="s">
        <v>540</v>
      </c>
      <c r="E53" s="53" t="s">
        <v>59</v>
      </c>
      <c r="F53" s="52">
        <v>4</v>
      </c>
      <c r="G53" s="128">
        <v>995.95</v>
      </c>
      <c r="H53" s="128">
        <f>SUM(G53+(G53*G2))</f>
        <v>1223.8233600000001</v>
      </c>
      <c r="I53" s="128">
        <f t="shared" si="0"/>
        <v>4895.29</v>
      </c>
      <c r="J53" s="73">
        <f>I53/H68</f>
        <v>2.1427275800807385E-2</v>
      </c>
      <c r="K53" s="124"/>
    </row>
    <row r="54" spans="1:12" ht="64.95" customHeight="1">
      <c r="A54" s="51" t="s">
        <v>541</v>
      </c>
      <c r="B54" s="52" t="s">
        <v>542</v>
      </c>
      <c r="C54" s="51" t="s">
        <v>29</v>
      </c>
      <c r="D54" s="51" t="s">
        <v>543</v>
      </c>
      <c r="E54" s="53" t="s">
        <v>59</v>
      </c>
      <c r="F54" s="52">
        <v>1</v>
      </c>
      <c r="G54" s="128">
        <v>954.13</v>
      </c>
      <c r="H54" s="128">
        <f>SUM(G54+(G54*G2))</f>
        <v>1172.4349440000001</v>
      </c>
      <c r="I54" s="128">
        <f t="shared" si="0"/>
        <v>1172.43</v>
      </c>
      <c r="J54" s="73">
        <f>I54/H68</f>
        <v>5.1318677682304012E-3</v>
      </c>
      <c r="K54" s="124"/>
    </row>
    <row r="55" spans="1:12" ht="39" customHeight="1">
      <c r="A55" s="51" t="s">
        <v>544</v>
      </c>
      <c r="B55" s="52" t="s">
        <v>545</v>
      </c>
      <c r="C55" s="51" t="s">
        <v>29</v>
      </c>
      <c r="D55" s="51" t="s">
        <v>546</v>
      </c>
      <c r="E55" s="53" t="s">
        <v>59</v>
      </c>
      <c r="F55" s="52">
        <v>8</v>
      </c>
      <c r="G55" s="128">
        <v>183.3</v>
      </c>
      <c r="H55" s="128">
        <f>SUM(G55+(G55*G2))</f>
        <v>225.23904000000002</v>
      </c>
      <c r="I55" s="128">
        <f t="shared" si="0"/>
        <v>1801.91</v>
      </c>
      <c r="J55" s="73">
        <f>I55/H68</f>
        <v>7.8871777848161882E-3</v>
      </c>
      <c r="K55" s="124"/>
    </row>
    <row r="56" spans="1:12" ht="24" customHeight="1">
      <c r="A56" s="51" t="s">
        <v>547</v>
      </c>
      <c r="B56" s="52" t="s">
        <v>548</v>
      </c>
      <c r="C56" s="51" t="s">
        <v>22</v>
      </c>
      <c r="D56" s="51" t="s">
        <v>549</v>
      </c>
      <c r="E56" s="53" t="s">
        <v>71</v>
      </c>
      <c r="F56" s="52">
        <v>21.45</v>
      </c>
      <c r="G56" s="128">
        <v>77.62</v>
      </c>
      <c r="H56" s="128">
        <f>SUM(G56+(G56*G2))</f>
        <v>95.379456000000005</v>
      </c>
      <c r="I56" s="128">
        <f t="shared" si="0"/>
        <v>2045.89</v>
      </c>
      <c r="J56" s="73">
        <f>I56/H68</f>
        <v>8.9551077235697617E-3</v>
      </c>
      <c r="K56" s="124"/>
    </row>
    <row r="57" spans="1:12" ht="24" customHeight="1">
      <c r="A57" s="45" t="s">
        <v>550</v>
      </c>
      <c r="B57" s="45"/>
      <c r="C57" s="45"/>
      <c r="D57" s="45" t="s">
        <v>67</v>
      </c>
      <c r="E57" s="45"/>
      <c r="F57" s="46"/>
      <c r="G57" s="132"/>
      <c r="H57" s="132"/>
      <c r="I57" s="130">
        <f>SUM(I58:I62)</f>
        <v>38761.589999999997</v>
      </c>
      <c r="J57" s="72">
        <f>I57/H68</f>
        <v>0.16966416277847021</v>
      </c>
      <c r="K57" s="124"/>
    </row>
    <row r="58" spans="1:12" ht="25.95" customHeight="1">
      <c r="A58" s="51" t="s">
        <v>551</v>
      </c>
      <c r="B58" s="52" t="s">
        <v>552</v>
      </c>
      <c r="C58" s="51" t="s">
        <v>29</v>
      </c>
      <c r="D58" s="51" t="s">
        <v>553</v>
      </c>
      <c r="E58" s="53" t="s">
        <v>31</v>
      </c>
      <c r="F58" s="52">
        <v>34</v>
      </c>
      <c r="G58" s="128">
        <v>42.4</v>
      </c>
      <c r="H58" s="128">
        <f>SUM(G58+(G58*G2))</f>
        <v>52.101119999999995</v>
      </c>
      <c r="I58" s="128">
        <f t="shared" si="0"/>
        <v>1771.44</v>
      </c>
      <c r="J58" s="73">
        <f>I58/H68</f>
        <v>7.7538069132946632E-3</v>
      </c>
      <c r="K58" s="124"/>
    </row>
    <row r="59" spans="1:12" ht="39" customHeight="1">
      <c r="A59" s="51" t="s">
        <v>554</v>
      </c>
      <c r="B59" s="52" t="s">
        <v>76</v>
      </c>
      <c r="C59" s="51" t="s">
        <v>29</v>
      </c>
      <c r="D59" s="51" t="s">
        <v>77</v>
      </c>
      <c r="E59" s="53" t="s">
        <v>31</v>
      </c>
      <c r="F59" s="52">
        <v>256</v>
      </c>
      <c r="G59" s="128">
        <v>73.739999999999995</v>
      </c>
      <c r="H59" s="128">
        <f>SUM(G59+(G59*G2))</f>
        <v>90.611711999999997</v>
      </c>
      <c r="I59" s="128">
        <f t="shared" si="0"/>
        <v>23196.6</v>
      </c>
      <c r="J59" s="73">
        <f>I59/H68</f>
        <v>0.10153432091684221</v>
      </c>
      <c r="K59" s="124"/>
    </row>
    <row r="60" spans="1:12" ht="25.95" customHeight="1">
      <c r="A60" s="51" t="s">
        <v>555</v>
      </c>
      <c r="B60" s="52" t="s">
        <v>556</v>
      </c>
      <c r="C60" s="51" t="s">
        <v>29</v>
      </c>
      <c r="D60" s="51" t="s">
        <v>557</v>
      </c>
      <c r="E60" s="53" t="s">
        <v>31</v>
      </c>
      <c r="F60" s="52">
        <v>9.6</v>
      </c>
      <c r="G60" s="128">
        <v>616.21</v>
      </c>
      <c r="H60" s="128">
        <f>SUM(G60+(G60*G2))</f>
        <v>757.198848</v>
      </c>
      <c r="I60" s="128">
        <f t="shared" si="0"/>
        <v>7269.11</v>
      </c>
      <c r="J60" s="73">
        <f>I60/H68</f>
        <v>3.1817772756344766E-2</v>
      </c>
      <c r="K60" s="124"/>
    </row>
    <row r="61" spans="1:12" ht="25.95" customHeight="1">
      <c r="A61" s="51" t="s">
        <v>558</v>
      </c>
      <c r="B61" s="52" t="s">
        <v>559</v>
      </c>
      <c r="C61" s="51" t="s">
        <v>22</v>
      </c>
      <c r="D61" s="51" t="s">
        <v>560</v>
      </c>
      <c r="E61" s="53" t="s">
        <v>71</v>
      </c>
      <c r="F61" s="52">
        <v>9.24</v>
      </c>
      <c r="G61" s="128">
        <v>305.89</v>
      </c>
      <c r="H61" s="128">
        <f>SUM(G61+(G61*G2))</f>
        <v>375.87763200000001</v>
      </c>
      <c r="I61" s="128">
        <f t="shared" si="0"/>
        <v>3473.11</v>
      </c>
      <c r="J61" s="73">
        <f>I61/H68</f>
        <v>1.5202222106666231E-2</v>
      </c>
      <c r="K61" s="124"/>
    </row>
    <row r="62" spans="1:12" ht="24" customHeight="1">
      <c r="A62" s="51" t="s">
        <v>561</v>
      </c>
      <c r="B62" s="52" t="s">
        <v>562</v>
      </c>
      <c r="C62" s="51" t="s">
        <v>22</v>
      </c>
      <c r="D62" s="51" t="s">
        <v>563</v>
      </c>
      <c r="E62" s="53" t="s">
        <v>71</v>
      </c>
      <c r="F62" s="52">
        <v>5.64</v>
      </c>
      <c r="G62" s="128">
        <v>440.28</v>
      </c>
      <c r="H62" s="128">
        <f>SUM(G62+(G62*G2))</f>
        <v>541.01606399999991</v>
      </c>
      <c r="I62" s="128">
        <f t="shared" si="0"/>
        <v>3051.33</v>
      </c>
      <c r="J62" s="73">
        <f>I62/H68</f>
        <v>1.3356040085322339E-2</v>
      </c>
      <c r="K62" s="124"/>
    </row>
    <row r="63" spans="1:12" ht="24" customHeight="1">
      <c r="A63" s="45" t="s">
        <v>564</v>
      </c>
      <c r="B63" s="45"/>
      <c r="C63" s="45"/>
      <c r="D63" s="45" t="s">
        <v>67</v>
      </c>
      <c r="E63" s="45"/>
      <c r="F63" s="46"/>
      <c r="G63" s="132"/>
      <c r="H63" s="132"/>
      <c r="I63" s="130">
        <f>SUM(I64)</f>
        <v>1847.48</v>
      </c>
      <c r="J63" s="72">
        <f>I63/H68</f>
        <v>8.086643180787171E-3</v>
      </c>
      <c r="K63" s="124"/>
      <c r="L63" s="103"/>
    </row>
    <row r="64" spans="1:12" ht="24" customHeight="1">
      <c r="A64" s="51" t="s">
        <v>565</v>
      </c>
      <c r="B64" s="52" t="s">
        <v>91</v>
      </c>
      <c r="C64" s="51" t="s">
        <v>22</v>
      </c>
      <c r="D64" s="51" t="s">
        <v>92</v>
      </c>
      <c r="E64" s="53" t="s">
        <v>71</v>
      </c>
      <c r="F64" s="52">
        <v>561</v>
      </c>
      <c r="G64" s="128">
        <v>2.68</v>
      </c>
      <c r="H64" s="128">
        <f>SUM(G64+(G64*G2))</f>
        <v>3.2931840000000001</v>
      </c>
      <c r="I64" s="128">
        <f t="shared" si="0"/>
        <v>1847.48</v>
      </c>
      <c r="J64" s="73">
        <f>I64/H68</f>
        <v>8.086643180787171E-3</v>
      </c>
      <c r="K64" s="124"/>
    </row>
    <row r="65" spans="1:10">
      <c r="A65" s="69"/>
      <c r="B65" s="69"/>
      <c r="C65" s="69"/>
      <c r="D65" s="69"/>
      <c r="E65" s="69"/>
      <c r="F65" s="69"/>
      <c r="G65" s="69"/>
      <c r="H65" s="69"/>
      <c r="I65" s="69"/>
      <c r="J65" s="69"/>
    </row>
    <row r="66" spans="1:10">
      <c r="A66" s="153"/>
      <c r="B66" s="153"/>
      <c r="C66" s="153"/>
      <c r="D66" s="70"/>
      <c r="E66" s="61"/>
      <c r="F66" s="154" t="s">
        <v>93</v>
      </c>
      <c r="G66" s="153"/>
      <c r="H66" s="155">
        <v>176188.88</v>
      </c>
      <c r="I66" s="155"/>
      <c r="J66" s="155"/>
    </row>
    <row r="67" spans="1:10">
      <c r="A67" s="153"/>
      <c r="B67" s="153"/>
      <c r="C67" s="153"/>
      <c r="D67" s="70"/>
      <c r="E67" s="61"/>
      <c r="F67" s="154" t="s">
        <v>94</v>
      </c>
      <c r="G67" s="153"/>
      <c r="H67" s="155">
        <v>52271.8</v>
      </c>
      <c r="I67" s="155"/>
      <c r="J67" s="155"/>
    </row>
    <row r="68" spans="1:10">
      <c r="A68" s="153"/>
      <c r="B68" s="153"/>
      <c r="C68" s="153"/>
      <c r="D68" s="70"/>
      <c r="E68" s="61"/>
      <c r="F68" s="154" t="s">
        <v>95</v>
      </c>
      <c r="G68" s="153"/>
      <c r="H68" s="155">
        <f>SUM(I63,I57,I52,I43,I35,I28,I21,I16,I13,I10,I5)</f>
        <v>228460.68000000002</v>
      </c>
      <c r="I68" s="155"/>
      <c r="J68" s="155"/>
    </row>
    <row r="69" spans="1:10" ht="60" customHeight="1">
      <c r="A69" s="71"/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70.05" customHeight="1">
      <c r="A70" s="156"/>
      <c r="B70" s="150"/>
      <c r="C70" s="150"/>
      <c r="D70" s="150"/>
      <c r="E70" s="150"/>
      <c r="F70" s="150"/>
      <c r="G70" s="150"/>
      <c r="H70" s="150"/>
      <c r="I70" s="150"/>
      <c r="J70" s="150"/>
    </row>
  </sheetData>
  <mergeCells count="17">
    <mergeCell ref="E1:F1"/>
    <mergeCell ref="G1:H1"/>
    <mergeCell ref="I1:J1"/>
    <mergeCell ref="E2:F2"/>
    <mergeCell ref="G2:H2"/>
    <mergeCell ref="I2:J2"/>
    <mergeCell ref="A68:C68"/>
    <mergeCell ref="F68:G68"/>
    <mergeCell ref="H68:J68"/>
    <mergeCell ref="A70:J70"/>
    <mergeCell ref="A3:J3"/>
    <mergeCell ref="A66:C66"/>
    <mergeCell ref="F66:G66"/>
    <mergeCell ref="H66:J66"/>
    <mergeCell ref="A67:C67"/>
    <mergeCell ref="F67:G67"/>
    <mergeCell ref="H67:J67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A711-DC26-49A0-9614-30FD389B8F7A}">
  <dimension ref="A1:K439"/>
  <sheetViews>
    <sheetView topLeftCell="A416" workbookViewId="0">
      <selection activeCell="K429" sqref="K429"/>
    </sheetView>
  </sheetViews>
  <sheetFormatPr defaultRowHeight="13.8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  <col min="11" max="11" width="10.3984375" bestFit="1" customWidth="1"/>
  </cols>
  <sheetData>
    <row r="1" spans="1:10">
      <c r="A1" s="43"/>
      <c r="B1" s="43"/>
      <c r="C1" s="163" t="s">
        <v>0</v>
      </c>
      <c r="D1" s="163"/>
      <c r="E1" s="163" t="s">
        <v>1</v>
      </c>
      <c r="F1" s="163"/>
      <c r="G1" s="163" t="s">
        <v>2</v>
      </c>
      <c r="H1" s="163"/>
      <c r="I1" s="163" t="s">
        <v>3</v>
      </c>
      <c r="J1" s="163"/>
    </row>
    <row r="2" spans="1:10" ht="79.95" customHeight="1">
      <c r="A2" s="44"/>
      <c r="B2" s="44"/>
      <c r="C2" s="164" t="s">
        <v>1075</v>
      </c>
      <c r="D2" s="164"/>
      <c r="E2" s="154" t="s">
        <v>296</v>
      </c>
      <c r="F2" s="154"/>
      <c r="G2" s="154" t="s">
        <v>5</v>
      </c>
      <c r="H2" s="154"/>
      <c r="I2" s="154" t="s">
        <v>6</v>
      </c>
      <c r="J2" s="154"/>
    </row>
    <row r="3" spans="1:10">
      <c r="A3" s="162" t="s">
        <v>149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ht="24" customHeight="1">
      <c r="A4" s="45" t="s">
        <v>18</v>
      </c>
      <c r="B4" s="45"/>
      <c r="C4" s="45"/>
      <c r="D4" s="45" t="s">
        <v>19</v>
      </c>
      <c r="E4" s="45"/>
      <c r="F4" s="158"/>
      <c r="G4" s="158"/>
      <c r="H4" s="46"/>
      <c r="I4" s="45"/>
      <c r="J4" s="47">
        <f>SUM(J9,J14,J21,J31)</f>
        <v>6370.88</v>
      </c>
    </row>
    <row r="5" spans="1:10" ht="18" customHeight="1">
      <c r="A5" s="48" t="s">
        <v>20</v>
      </c>
      <c r="B5" s="49" t="s">
        <v>9</v>
      </c>
      <c r="C5" s="48" t="s">
        <v>10</v>
      </c>
      <c r="D5" s="48" t="s">
        <v>11</v>
      </c>
      <c r="E5" s="159" t="s">
        <v>150</v>
      </c>
      <c r="F5" s="159"/>
      <c r="G5" s="50" t="s">
        <v>12</v>
      </c>
      <c r="H5" s="49" t="s">
        <v>13</v>
      </c>
      <c r="I5" s="49" t="s">
        <v>14</v>
      </c>
      <c r="J5" s="133" t="s">
        <v>16</v>
      </c>
    </row>
    <row r="6" spans="1:10" ht="25.95" customHeight="1">
      <c r="A6" s="51" t="s">
        <v>151</v>
      </c>
      <c r="B6" s="52" t="s">
        <v>478</v>
      </c>
      <c r="C6" s="51" t="s">
        <v>29</v>
      </c>
      <c r="D6" s="51" t="s">
        <v>479</v>
      </c>
      <c r="E6" s="160" t="s">
        <v>567</v>
      </c>
      <c r="F6" s="160"/>
      <c r="G6" s="53" t="s">
        <v>163</v>
      </c>
      <c r="H6" s="54">
        <v>1</v>
      </c>
      <c r="I6" s="55">
        <f>'VOVÓ PESSOINHA'!G6</f>
        <v>53.18</v>
      </c>
      <c r="J6" s="128">
        <f>ROUND(H6*I6,2)</f>
        <v>53.18</v>
      </c>
    </row>
    <row r="7" spans="1:10" ht="24" customHeight="1">
      <c r="A7" s="56" t="s">
        <v>153</v>
      </c>
      <c r="B7" s="57" t="s">
        <v>154</v>
      </c>
      <c r="C7" s="56" t="s">
        <v>29</v>
      </c>
      <c r="D7" s="56" t="s">
        <v>155</v>
      </c>
      <c r="E7" s="161" t="s">
        <v>152</v>
      </c>
      <c r="F7" s="161"/>
      <c r="G7" s="58" t="s">
        <v>24</v>
      </c>
      <c r="H7" s="59">
        <v>0.22500000000000001</v>
      </c>
      <c r="I7" s="60">
        <v>25.38</v>
      </c>
      <c r="J7" s="128">
        <f t="shared" ref="J7:J8" si="0">ROUND(H7*I7,2)</f>
        <v>5.71</v>
      </c>
    </row>
    <row r="8" spans="1:10" ht="24" customHeight="1">
      <c r="A8" s="56" t="s">
        <v>153</v>
      </c>
      <c r="B8" s="57" t="s">
        <v>156</v>
      </c>
      <c r="C8" s="56" t="s">
        <v>29</v>
      </c>
      <c r="D8" s="56" t="s">
        <v>157</v>
      </c>
      <c r="E8" s="161" t="s">
        <v>152</v>
      </c>
      <c r="F8" s="161"/>
      <c r="G8" s="58" t="s">
        <v>24</v>
      </c>
      <c r="H8" s="59">
        <v>2.3248000000000002</v>
      </c>
      <c r="I8" s="60">
        <v>20.420000000000002</v>
      </c>
      <c r="J8" s="128">
        <f t="shared" si="0"/>
        <v>47.47</v>
      </c>
    </row>
    <row r="9" spans="1:10" ht="30" customHeight="1" thickBot="1">
      <c r="A9" s="61"/>
      <c r="B9" s="61"/>
      <c r="C9" s="61"/>
      <c r="D9" s="61"/>
      <c r="E9" s="61"/>
      <c r="F9" s="61"/>
      <c r="G9" s="61" t="s">
        <v>158</v>
      </c>
      <c r="H9" s="62">
        <f>'VOVÓ PESSOINHA'!F6</f>
        <v>1.3680000000000001</v>
      </c>
      <c r="I9" s="61" t="s">
        <v>159</v>
      </c>
      <c r="J9" s="127">
        <f>'VOVÓ PESSOINHA'!I6</f>
        <v>89.4</v>
      </c>
    </row>
    <row r="10" spans="1:10" ht="1.05" customHeight="1" thickTop="1">
      <c r="A10" s="63"/>
      <c r="B10" s="63"/>
      <c r="C10" s="63"/>
      <c r="D10" s="63"/>
      <c r="E10" s="63"/>
      <c r="F10" s="63"/>
      <c r="G10" s="63"/>
      <c r="H10" s="63"/>
      <c r="I10" s="63"/>
      <c r="J10" s="129"/>
    </row>
    <row r="11" spans="1:10" ht="18" customHeight="1">
      <c r="A11" s="48" t="s">
        <v>297</v>
      </c>
      <c r="B11" s="49" t="s">
        <v>9</v>
      </c>
      <c r="C11" s="48" t="s">
        <v>10</v>
      </c>
      <c r="D11" s="48" t="s">
        <v>11</v>
      </c>
      <c r="E11" s="159" t="s">
        <v>150</v>
      </c>
      <c r="F11" s="159"/>
      <c r="G11" s="50" t="s">
        <v>12</v>
      </c>
      <c r="H11" s="49" t="s">
        <v>13</v>
      </c>
      <c r="I11" s="49" t="s">
        <v>14</v>
      </c>
      <c r="J11" s="133" t="s">
        <v>16</v>
      </c>
    </row>
    <row r="12" spans="1:10" ht="25.95" customHeight="1">
      <c r="A12" s="51" t="s">
        <v>151</v>
      </c>
      <c r="B12" s="52" t="s">
        <v>298</v>
      </c>
      <c r="C12" s="51" t="s">
        <v>29</v>
      </c>
      <c r="D12" s="51" t="s">
        <v>299</v>
      </c>
      <c r="E12" s="160" t="s">
        <v>359</v>
      </c>
      <c r="F12" s="160"/>
      <c r="G12" s="53" t="s">
        <v>163</v>
      </c>
      <c r="H12" s="54">
        <v>1</v>
      </c>
      <c r="I12" s="55">
        <f>'VOVÓ PESSOINHA'!G7</f>
        <v>80.78</v>
      </c>
      <c r="J12" s="128">
        <f t="shared" ref="J12:J13" si="1">ROUND(H12*I12,2)</f>
        <v>80.78</v>
      </c>
    </row>
    <row r="13" spans="1:10" ht="24" customHeight="1">
      <c r="A13" s="56" t="s">
        <v>153</v>
      </c>
      <c r="B13" s="57" t="s">
        <v>156</v>
      </c>
      <c r="C13" s="56" t="s">
        <v>29</v>
      </c>
      <c r="D13" s="56" t="s">
        <v>157</v>
      </c>
      <c r="E13" s="161" t="s">
        <v>152</v>
      </c>
      <c r="F13" s="161"/>
      <c r="G13" s="58" t="s">
        <v>24</v>
      </c>
      <c r="H13" s="59">
        <v>3.956</v>
      </c>
      <c r="I13" s="60">
        <v>20.420000000000002</v>
      </c>
      <c r="J13" s="128">
        <f t="shared" si="1"/>
        <v>80.78</v>
      </c>
    </row>
    <row r="14" spans="1:10" ht="30" customHeight="1" thickBot="1">
      <c r="A14" s="61"/>
      <c r="B14" s="61"/>
      <c r="C14" s="61"/>
      <c r="D14" s="61"/>
      <c r="E14" s="61"/>
      <c r="F14" s="61"/>
      <c r="G14" s="61" t="s">
        <v>158</v>
      </c>
      <c r="H14" s="62">
        <f>'VOVÓ PESSOINHA'!F7</f>
        <v>3.87</v>
      </c>
      <c r="I14" s="61" t="s">
        <v>159</v>
      </c>
      <c r="J14" s="127">
        <f>'VOVÓ PESSOINHA'!I7</f>
        <v>384.15</v>
      </c>
    </row>
    <row r="15" spans="1:10" ht="1.05" customHeight="1" thickTop="1">
      <c r="A15" s="63"/>
      <c r="B15" s="63"/>
      <c r="C15" s="63"/>
      <c r="D15" s="63"/>
      <c r="E15" s="63"/>
      <c r="F15" s="63"/>
      <c r="G15" s="63"/>
      <c r="H15" s="63"/>
      <c r="I15" s="63"/>
      <c r="J15" s="129"/>
    </row>
    <row r="16" spans="1:10" ht="18" customHeight="1">
      <c r="A16" s="48" t="s">
        <v>300</v>
      </c>
      <c r="B16" s="49" t="s">
        <v>9</v>
      </c>
      <c r="C16" s="48" t="s">
        <v>10</v>
      </c>
      <c r="D16" s="48" t="s">
        <v>11</v>
      </c>
      <c r="E16" s="159" t="s">
        <v>150</v>
      </c>
      <c r="F16" s="159"/>
      <c r="G16" s="50" t="s">
        <v>12</v>
      </c>
      <c r="H16" s="49" t="s">
        <v>13</v>
      </c>
      <c r="I16" s="49" t="s">
        <v>14</v>
      </c>
      <c r="J16" s="133" t="s">
        <v>16</v>
      </c>
    </row>
    <row r="17" spans="1:10" ht="25.95" customHeight="1">
      <c r="A17" s="51" t="s">
        <v>151</v>
      </c>
      <c r="B17" s="52" t="s">
        <v>301</v>
      </c>
      <c r="C17" s="51" t="s">
        <v>29</v>
      </c>
      <c r="D17" s="51" t="s">
        <v>302</v>
      </c>
      <c r="E17" s="160" t="s">
        <v>172</v>
      </c>
      <c r="F17" s="160"/>
      <c r="G17" s="53" t="s">
        <v>163</v>
      </c>
      <c r="H17" s="54">
        <v>1</v>
      </c>
      <c r="I17" s="55">
        <f>'VOVÓ PESSOINHA'!G8</f>
        <v>613.26</v>
      </c>
      <c r="J17" s="128">
        <f t="shared" ref="J17:J20" si="2">ROUND(H17*I17,2)</f>
        <v>613.26</v>
      </c>
    </row>
    <row r="18" spans="1:10" ht="24" customHeight="1">
      <c r="A18" s="56" t="s">
        <v>153</v>
      </c>
      <c r="B18" s="57" t="s">
        <v>154</v>
      </c>
      <c r="C18" s="56" t="s">
        <v>29</v>
      </c>
      <c r="D18" s="56" t="s">
        <v>155</v>
      </c>
      <c r="E18" s="161" t="s">
        <v>152</v>
      </c>
      <c r="F18" s="161"/>
      <c r="G18" s="58" t="s">
        <v>24</v>
      </c>
      <c r="H18" s="59">
        <v>5.4370000000000003</v>
      </c>
      <c r="I18" s="60">
        <v>25.38</v>
      </c>
      <c r="J18" s="128">
        <f t="shared" si="2"/>
        <v>137.99</v>
      </c>
    </row>
    <row r="19" spans="1:10" ht="24" customHeight="1">
      <c r="A19" s="56" t="s">
        <v>153</v>
      </c>
      <c r="B19" s="57" t="s">
        <v>156</v>
      </c>
      <c r="C19" s="56" t="s">
        <v>29</v>
      </c>
      <c r="D19" s="56" t="s">
        <v>157</v>
      </c>
      <c r="E19" s="161" t="s">
        <v>152</v>
      </c>
      <c r="F19" s="161"/>
      <c r="G19" s="58" t="s">
        <v>24</v>
      </c>
      <c r="H19" s="59">
        <v>1.4830000000000001</v>
      </c>
      <c r="I19" s="60">
        <v>20.420000000000002</v>
      </c>
      <c r="J19" s="128">
        <f t="shared" si="2"/>
        <v>30.28</v>
      </c>
    </row>
    <row r="20" spans="1:10" ht="39" customHeight="1">
      <c r="A20" s="56" t="s">
        <v>153</v>
      </c>
      <c r="B20" s="57" t="s">
        <v>360</v>
      </c>
      <c r="C20" s="56" t="s">
        <v>29</v>
      </c>
      <c r="D20" s="56" t="s">
        <v>361</v>
      </c>
      <c r="E20" s="161" t="s">
        <v>172</v>
      </c>
      <c r="F20" s="161"/>
      <c r="G20" s="58" t="s">
        <v>163</v>
      </c>
      <c r="H20" s="59">
        <v>1.1299999999999999</v>
      </c>
      <c r="I20" s="60">
        <v>393.8</v>
      </c>
      <c r="J20" s="128">
        <f t="shared" si="2"/>
        <v>444.99</v>
      </c>
    </row>
    <row r="21" spans="1:10" ht="30" customHeight="1" thickBot="1">
      <c r="A21" s="61"/>
      <c r="B21" s="61"/>
      <c r="C21" s="61"/>
      <c r="D21" s="61"/>
      <c r="E21" s="61"/>
      <c r="F21" s="61"/>
      <c r="G21" s="61" t="s">
        <v>158</v>
      </c>
      <c r="H21" s="62">
        <f>'VOVÓ PESSOINHA'!F8</f>
        <v>0.86</v>
      </c>
      <c r="I21" s="61" t="s">
        <v>159</v>
      </c>
      <c r="J21" s="127">
        <f>'VOVÓ PESSOINHA'!I8</f>
        <v>648.07000000000005</v>
      </c>
    </row>
    <row r="22" spans="1:10" ht="1.05" customHeight="1" thickTop="1">
      <c r="A22" s="63"/>
      <c r="B22" s="63"/>
      <c r="C22" s="63"/>
      <c r="D22" s="63"/>
      <c r="E22" s="63"/>
      <c r="F22" s="63"/>
      <c r="G22" s="63"/>
      <c r="H22" s="63"/>
      <c r="I22" s="63"/>
      <c r="J22" s="129"/>
    </row>
    <row r="23" spans="1:10" ht="18" customHeight="1">
      <c r="A23" s="48" t="s">
        <v>480</v>
      </c>
      <c r="B23" s="49" t="s">
        <v>9</v>
      </c>
      <c r="C23" s="48" t="s">
        <v>10</v>
      </c>
      <c r="D23" s="48" t="s">
        <v>11</v>
      </c>
      <c r="E23" s="159" t="s">
        <v>150</v>
      </c>
      <c r="F23" s="159"/>
      <c r="G23" s="50" t="s">
        <v>12</v>
      </c>
      <c r="H23" s="49" t="s">
        <v>13</v>
      </c>
      <c r="I23" s="49" t="s">
        <v>14</v>
      </c>
      <c r="J23" s="133" t="s">
        <v>16</v>
      </c>
    </row>
    <row r="24" spans="1:10" ht="25.95" customHeight="1">
      <c r="A24" s="51" t="s">
        <v>151</v>
      </c>
      <c r="B24" s="52" t="s">
        <v>481</v>
      </c>
      <c r="C24" s="51" t="s">
        <v>29</v>
      </c>
      <c r="D24" s="51" t="s">
        <v>482</v>
      </c>
      <c r="E24" s="160" t="s">
        <v>359</v>
      </c>
      <c r="F24" s="160"/>
      <c r="G24" s="53" t="s">
        <v>163</v>
      </c>
      <c r="H24" s="54">
        <v>1</v>
      </c>
      <c r="I24" s="55">
        <f>'VOVÓ PESSOINHA'!G9</f>
        <v>115.8</v>
      </c>
      <c r="J24" s="128">
        <f t="shared" ref="J24:J30" si="3">ROUND(H24*I24,2)</f>
        <v>115.8</v>
      </c>
    </row>
    <row r="25" spans="1:10" ht="64.95" customHeight="1">
      <c r="A25" s="56" t="s">
        <v>153</v>
      </c>
      <c r="B25" s="57" t="s">
        <v>568</v>
      </c>
      <c r="C25" s="56" t="s">
        <v>29</v>
      </c>
      <c r="D25" s="56" t="s">
        <v>569</v>
      </c>
      <c r="E25" s="161" t="s">
        <v>278</v>
      </c>
      <c r="F25" s="161"/>
      <c r="G25" s="58" t="s">
        <v>279</v>
      </c>
      <c r="H25" s="59">
        <v>6.0000000000000001E-3</v>
      </c>
      <c r="I25" s="60">
        <v>337.31</v>
      </c>
      <c r="J25" s="128">
        <f t="shared" si="3"/>
        <v>2.02</v>
      </c>
    </row>
    <row r="26" spans="1:10" ht="64.95" customHeight="1">
      <c r="A26" s="56" t="s">
        <v>153</v>
      </c>
      <c r="B26" s="57" t="s">
        <v>570</v>
      </c>
      <c r="C26" s="56" t="s">
        <v>29</v>
      </c>
      <c r="D26" s="56" t="s">
        <v>571</v>
      </c>
      <c r="E26" s="161" t="s">
        <v>278</v>
      </c>
      <c r="F26" s="161"/>
      <c r="G26" s="58" t="s">
        <v>282</v>
      </c>
      <c r="H26" s="59">
        <v>3.0000000000000001E-3</v>
      </c>
      <c r="I26" s="60">
        <v>73.319999999999993</v>
      </c>
      <c r="J26" s="128">
        <f t="shared" si="3"/>
        <v>0.22</v>
      </c>
    </row>
    <row r="27" spans="1:10" ht="24" customHeight="1">
      <c r="A27" s="56" t="s">
        <v>153</v>
      </c>
      <c r="B27" s="57" t="s">
        <v>156</v>
      </c>
      <c r="C27" s="56" t="s">
        <v>29</v>
      </c>
      <c r="D27" s="56" t="s">
        <v>157</v>
      </c>
      <c r="E27" s="161" t="s">
        <v>152</v>
      </c>
      <c r="F27" s="161"/>
      <c r="G27" s="58" t="s">
        <v>24</v>
      </c>
      <c r="H27" s="59">
        <v>0.65900000000000003</v>
      </c>
      <c r="I27" s="60">
        <v>20.420000000000002</v>
      </c>
      <c r="J27" s="128">
        <f t="shared" si="3"/>
        <v>13.46</v>
      </c>
    </row>
    <row r="28" spans="1:10" ht="39" customHeight="1">
      <c r="A28" s="56" t="s">
        <v>153</v>
      </c>
      <c r="B28" s="57" t="s">
        <v>572</v>
      </c>
      <c r="C28" s="56" t="s">
        <v>29</v>
      </c>
      <c r="D28" s="56" t="s">
        <v>573</v>
      </c>
      <c r="E28" s="161" t="s">
        <v>278</v>
      </c>
      <c r="F28" s="161"/>
      <c r="G28" s="58" t="s">
        <v>279</v>
      </c>
      <c r="H28" s="59">
        <v>0.27400000000000002</v>
      </c>
      <c r="I28" s="60">
        <v>39.83</v>
      </c>
      <c r="J28" s="128">
        <f t="shared" si="3"/>
        <v>10.91</v>
      </c>
    </row>
    <row r="29" spans="1:10" ht="39" customHeight="1">
      <c r="A29" s="56" t="s">
        <v>153</v>
      </c>
      <c r="B29" s="57" t="s">
        <v>574</v>
      </c>
      <c r="C29" s="56" t="s">
        <v>29</v>
      </c>
      <c r="D29" s="56" t="s">
        <v>575</v>
      </c>
      <c r="E29" s="161" t="s">
        <v>278</v>
      </c>
      <c r="F29" s="161"/>
      <c r="G29" s="58" t="s">
        <v>282</v>
      </c>
      <c r="H29" s="59">
        <v>0.254</v>
      </c>
      <c r="I29" s="60">
        <v>33.82</v>
      </c>
      <c r="J29" s="128">
        <f t="shared" si="3"/>
        <v>8.59</v>
      </c>
    </row>
    <row r="30" spans="1:10" ht="25.95" customHeight="1">
      <c r="A30" s="64" t="s">
        <v>164</v>
      </c>
      <c r="B30" s="65" t="s">
        <v>576</v>
      </c>
      <c r="C30" s="64" t="s">
        <v>29</v>
      </c>
      <c r="D30" s="64" t="s">
        <v>577</v>
      </c>
      <c r="E30" s="157" t="s">
        <v>167</v>
      </c>
      <c r="F30" s="157"/>
      <c r="G30" s="66" t="s">
        <v>163</v>
      </c>
      <c r="H30" s="67">
        <v>1.25</v>
      </c>
      <c r="I30" s="68">
        <v>64.5</v>
      </c>
      <c r="J30" s="128">
        <f t="shared" si="3"/>
        <v>80.63</v>
      </c>
    </row>
    <row r="31" spans="1:10" ht="30" customHeight="1" thickBot="1">
      <c r="A31" s="61"/>
      <c r="B31" s="61"/>
      <c r="C31" s="61"/>
      <c r="D31" s="61"/>
      <c r="E31" s="61"/>
      <c r="F31" s="61"/>
      <c r="G31" s="61" t="s">
        <v>158</v>
      </c>
      <c r="H31" s="62">
        <f>'VOVÓ PESSOINHA'!F9</f>
        <v>36.89</v>
      </c>
      <c r="I31" s="61" t="s">
        <v>159</v>
      </c>
      <c r="J31" s="127">
        <f>'VOVÓ PESSOINHA'!I9</f>
        <v>5249.26</v>
      </c>
    </row>
    <row r="32" spans="1:10" ht="1.05" customHeight="1" thickTop="1">
      <c r="A32" s="63"/>
      <c r="B32" s="63"/>
      <c r="C32" s="63"/>
      <c r="D32" s="63"/>
      <c r="E32" s="63"/>
      <c r="F32" s="63"/>
      <c r="G32" s="63"/>
      <c r="H32" s="63"/>
      <c r="I32" s="63"/>
      <c r="J32" s="129"/>
    </row>
    <row r="33" spans="1:11" ht="24" customHeight="1">
      <c r="A33" s="45" t="s">
        <v>25</v>
      </c>
      <c r="B33" s="45"/>
      <c r="C33" s="45"/>
      <c r="D33" s="45" t="s">
        <v>483</v>
      </c>
      <c r="E33" s="45"/>
      <c r="F33" s="158"/>
      <c r="G33" s="158"/>
      <c r="H33" s="46"/>
      <c r="I33" s="45"/>
      <c r="J33" s="130">
        <f>SUM(J40,J50)</f>
        <v>18299.32</v>
      </c>
    </row>
    <row r="34" spans="1:11" ht="18" customHeight="1">
      <c r="A34" s="48" t="s">
        <v>27</v>
      </c>
      <c r="B34" s="49" t="s">
        <v>9</v>
      </c>
      <c r="C34" s="48" t="s">
        <v>10</v>
      </c>
      <c r="D34" s="48" t="s">
        <v>11</v>
      </c>
      <c r="E34" s="159" t="s">
        <v>150</v>
      </c>
      <c r="F34" s="159"/>
      <c r="G34" s="50" t="s">
        <v>12</v>
      </c>
      <c r="H34" s="49" t="s">
        <v>13</v>
      </c>
      <c r="I34" s="49" t="s">
        <v>14</v>
      </c>
      <c r="J34" s="49" t="s">
        <v>16</v>
      </c>
    </row>
    <row r="35" spans="1:11" ht="25.95" customHeight="1">
      <c r="A35" s="51" t="s">
        <v>151</v>
      </c>
      <c r="B35" s="52" t="s">
        <v>484</v>
      </c>
      <c r="C35" s="51" t="s">
        <v>22</v>
      </c>
      <c r="D35" s="51" t="s">
        <v>485</v>
      </c>
      <c r="E35" s="160" t="s">
        <v>205</v>
      </c>
      <c r="F35" s="160"/>
      <c r="G35" s="53" t="s">
        <v>71</v>
      </c>
      <c r="H35" s="54">
        <v>1</v>
      </c>
      <c r="I35" s="55">
        <f>'VOVÓ PESSOINHA'!G11</f>
        <v>698.18</v>
      </c>
      <c r="J35" s="128">
        <f t="shared" ref="J35:J39" si="4">ROUND(H35*I35,2)</f>
        <v>698.18</v>
      </c>
      <c r="K35" s="143"/>
    </row>
    <row r="36" spans="1:11" ht="24" customHeight="1">
      <c r="A36" s="56" t="s">
        <v>153</v>
      </c>
      <c r="B36" s="57" t="s">
        <v>156</v>
      </c>
      <c r="C36" s="56" t="s">
        <v>29</v>
      </c>
      <c r="D36" s="56" t="s">
        <v>157</v>
      </c>
      <c r="E36" s="161" t="s">
        <v>152</v>
      </c>
      <c r="F36" s="161"/>
      <c r="G36" s="58" t="s">
        <v>24</v>
      </c>
      <c r="H36" s="59">
        <v>9.1999999999999993</v>
      </c>
      <c r="I36" s="60">
        <v>20.420000000000002</v>
      </c>
      <c r="J36" s="128">
        <f t="shared" si="4"/>
        <v>187.86</v>
      </c>
      <c r="K36" s="143"/>
    </row>
    <row r="37" spans="1:11" ht="24" customHeight="1">
      <c r="A37" s="56" t="s">
        <v>153</v>
      </c>
      <c r="B37" s="57" t="s">
        <v>154</v>
      </c>
      <c r="C37" s="56" t="s">
        <v>29</v>
      </c>
      <c r="D37" s="56" t="s">
        <v>155</v>
      </c>
      <c r="E37" s="161" t="s">
        <v>152</v>
      </c>
      <c r="F37" s="161"/>
      <c r="G37" s="58" t="s">
        <v>24</v>
      </c>
      <c r="H37" s="59">
        <v>8.5</v>
      </c>
      <c r="I37" s="60">
        <v>25.38</v>
      </c>
      <c r="J37" s="128">
        <f t="shared" si="4"/>
        <v>215.73</v>
      </c>
    </row>
    <row r="38" spans="1:11" ht="25.95" customHeight="1">
      <c r="A38" s="56" t="s">
        <v>153</v>
      </c>
      <c r="B38" s="57" t="s">
        <v>578</v>
      </c>
      <c r="C38" s="56" t="s">
        <v>29</v>
      </c>
      <c r="D38" s="56" t="s">
        <v>579</v>
      </c>
      <c r="E38" s="161" t="s">
        <v>152</v>
      </c>
      <c r="F38" s="161"/>
      <c r="G38" s="58" t="s">
        <v>163</v>
      </c>
      <c r="H38" s="59">
        <v>0.3</v>
      </c>
      <c r="I38" s="60">
        <v>590.29999999999995</v>
      </c>
      <c r="J38" s="128">
        <f t="shared" si="4"/>
        <v>177.09</v>
      </c>
    </row>
    <row r="39" spans="1:11" ht="39" customHeight="1">
      <c r="A39" s="64" t="s">
        <v>164</v>
      </c>
      <c r="B39" s="65" t="s">
        <v>580</v>
      </c>
      <c r="C39" s="64" t="s">
        <v>29</v>
      </c>
      <c r="D39" s="64" t="s">
        <v>581</v>
      </c>
      <c r="E39" s="157" t="s">
        <v>167</v>
      </c>
      <c r="F39" s="157"/>
      <c r="G39" s="66" t="s">
        <v>59</v>
      </c>
      <c r="H39" s="67">
        <v>235</v>
      </c>
      <c r="I39" s="68">
        <v>0.5</v>
      </c>
      <c r="J39" s="128">
        <f t="shared" si="4"/>
        <v>117.5</v>
      </c>
    </row>
    <row r="40" spans="1:11" ht="30" customHeight="1" thickBot="1">
      <c r="A40" s="61"/>
      <c r="B40" s="61"/>
      <c r="C40" s="61"/>
      <c r="D40" s="61"/>
      <c r="E40" s="61"/>
      <c r="F40" s="61"/>
      <c r="G40" s="61" t="s">
        <v>158</v>
      </c>
      <c r="H40" s="62">
        <f>'VOVÓ PESSOINHA'!F11</f>
        <v>2.58</v>
      </c>
      <c r="I40" s="61" t="s">
        <v>159</v>
      </c>
      <c r="J40" s="127">
        <f>'VOVÓ PESSOINHA'!I11</f>
        <v>2213.44</v>
      </c>
    </row>
    <row r="41" spans="1:11" ht="1.05" customHeight="1" thickTop="1">
      <c r="A41" s="63"/>
      <c r="B41" s="63"/>
      <c r="C41" s="63"/>
      <c r="D41" s="63"/>
      <c r="E41" s="63"/>
      <c r="F41" s="63"/>
      <c r="G41" s="63"/>
      <c r="H41" s="63"/>
      <c r="I41" s="63"/>
      <c r="J41" s="63"/>
    </row>
    <row r="42" spans="1:11" ht="18" customHeight="1">
      <c r="A42" s="48" t="s">
        <v>32</v>
      </c>
      <c r="B42" s="49" t="s">
        <v>9</v>
      </c>
      <c r="C42" s="48" t="s">
        <v>10</v>
      </c>
      <c r="D42" s="48" t="s">
        <v>11</v>
      </c>
      <c r="E42" s="159" t="s">
        <v>150</v>
      </c>
      <c r="F42" s="159"/>
      <c r="G42" s="50" t="s">
        <v>12</v>
      </c>
      <c r="H42" s="49" t="s">
        <v>13</v>
      </c>
      <c r="I42" s="49" t="s">
        <v>14</v>
      </c>
      <c r="J42" s="49" t="s">
        <v>16</v>
      </c>
    </row>
    <row r="43" spans="1:11" ht="52.05" customHeight="1">
      <c r="A43" s="51" t="s">
        <v>151</v>
      </c>
      <c r="B43" s="52" t="s">
        <v>486</v>
      </c>
      <c r="C43" s="51" t="s">
        <v>29</v>
      </c>
      <c r="D43" s="51" t="s">
        <v>487</v>
      </c>
      <c r="E43" s="160" t="s">
        <v>582</v>
      </c>
      <c r="F43" s="160"/>
      <c r="G43" s="53" t="s">
        <v>31</v>
      </c>
      <c r="H43" s="54">
        <v>1</v>
      </c>
      <c r="I43" s="55">
        <f>'VOVÓ PESSOINHA'!G12</f>
        <v>79.7</v>
      </c>
      <c r="J43" s="128">
        <f t="shared" ref="J43:J49" si="5">ROUND(H43*I43,2)</f>
        <v>79.7</v>
      </c>
    </row>
    <row r="44" spans="1:11" ht="52.05" customHeight="1">
      <c r="A44" s="56" t="s">
        <v>153</v>
      </c>
      <c r="B44" s="57" t="s">
        <v>583</v>
      </c>
      <c r="C44" s="56" t="s">
        <v>29</v>
      </c>
      <c r="D44" s="56" t="s">
        <v>584</v>
      </c>
      <c r="E44" s="161" t="s">
        <v>152</v>
      </c>
      <c r="F44" s="161"/>
      <c r="G44" s="58" t="s">
        <v>163</v>
      </c>
      <c r="H44" s="59">
        <v>9.1000000000000004E-3</v>
      </c>
      <c r="I44" s="60">
        <v>748.06</v>
      </c>
      <c r="J44" s="128">
        <f t="shared" si="5"/>
        <v>6.81</v>
      </c>
    </row>
    <row r="45" spans="1:11" ht="24" customHeight="1">
      <c r="A45" s="56" t="s">
        <v>153</v>
      </c>
      <c r="B45" s="57" t="s">
        <v>154</v>
      </c>
      <c r="C45" s="56" t="s">
        <v>29</v>
      </c>
      <c r="D45" s="56" t="s">
        <v>155</v>
      </c>
      <c r="E45" s="161" t="s">
        <v>152</v>
      </c>
      <c r="F45" s="161"/>
      <c r="G45" s="58" t="s">
        <v>24</v>
      </c>
      <c r="H45" s="59">
        <v>1.61</v>
      </c>
      <c r="I45" s="60">
        <v>25.38</v>
      </c>
      <c r="J45" s="128">
        <f t="shared" si="5"/>
        <v>40.86</v>
      </c>
    </row>
    <row r="46" spans="1:11" ht="24" customHeight="1">
      <c r="A46" s="56" t="s">
        <v>153</v>
      </c>
      <c r="B46" s="57" t="s">
        <v>156</v>
      </c>
      <c r="C46" s="56" t="s">
        <v>29</v>
      </c>
      <c r="D46" s="56" t="s">
        <v>157</v>
      </c>
      <c r="E46" s="161" t="s">
        <v>152</v>
      </c>
      <c r="F46" s="161"/>
      <c r="G46" s="58" t="s">
        <v>24</v>
      </c>
      <c r="H46" s="59">
        <v>0.80500000000000005</v>
      </c>
      <c r="I46" s="60">
        <v>20.420000000000002</v>
      </c>
      <c r="J46" s="128">
        <f t="shared" si="5"/>
        <v>16.440000000000001</v>
      </c>
    </row>
    <row r="47" spans="1:11" ht="39" customHeight="1">
      <c r="A47" s="64" t="s">
        <v>164</v>
      </c>
      <c r="B47" s="65" t="s">
        <v>580</v>
      </c>
      <c r="C47" s="64" t="s">
        <v>29</v>
      </c>
      <c r="D47" s="64" t="s">
        <v>581</v>
      </c>
      <c r="E47" s="157" t="s">
        <v>167</v>
      </c>
      <c r="F47" s="157"/>
      <c r="G47" s="66" t="s">
        <v>59</v>
      </c>
      <c r="H47" s="67">
        <v>28.31</v>
      </c>
      <c r="I47" s="68">
        <v>0.5</v>
      </c>
      <c r="J47" s="128">
        <f t="shared" si="5"/>
        <v>14.16</v>
      </c>
    </row>
    <row r="48" spans="1:11" ht="39" customHeight="1">
      <c r="A48" s="64" t="s">
        <v>164</v>
      </c>
      <c r="B48" s="65" t="s">
        <v>585</v>
      </c>
      <c r="C48" s="64" t="s">
        <v>29</v>
      </c>
      <c r="D48" s="64" t="s">
        <v>586</v>
      </c>
      <c r="E48" s="157" t="s">
        <v>167</v>
      </c>
      <c r="F48" s="157"/>
      <c r="G48" s="66" t="s">
        <v>40</v>
      </c>
      <c r="H48" s="67">
        <v>0.42</v>
      </c>
      <c r="I48" s="68">
        <v>3</v>
      </c>
      <c r="J48" s="128">
        <f t="shared" si="5"/>
        <v>1.26</v>
      </c>
    </row>
    <row r="49" spans="1:10" ht="24" customHeight="1">
      <c r="A49" s="64" t="s">
        <v>164</v>
      </c>
      <c r="B49" s="65" t="s">
        <v>587</v>
      </c>
      <c r="C49" s="64" t="s">
        <v>29</v>
      </c>
      <c r="D49" s="64" t="s">
        <v>588</v>
      </c>
      <c r="E49" s="157" t="s">
        <v>167</v>
      </c>
      <c r="F49" s="157"/>
      <c r="G49" s="66" t="s">
        <v>258</v>
      </c>
      <c r="H49" s="67">
        <v>5.0000000000000001E-3</v>
      </c>
      <c r="I49" s="68">
        <v>41.52</v>
      </c>
      <c r="J49" s="128">
        <f t="shared" si="5"/>
        <v>0.21</v>
      </c>
    </row>
    <row r="50" spans="1:10" ht="30" customHeight="1" thickBot="1">
      <c r="A50" s="61"/>
      <c r="B50" s="61"/>
      <c r="C50" s="61"/>
      <c r="D50" s="61"/>
      <c r="E50" s="61"/>
      <c r="F50" s="61"/>
      <c r="G50" s="61" t="s">
        <v>158</v>
      </c>
      <c r="H50" s="62">
        <f>'VOVÓ PESSOINHA'!F12</f>
        <v>164.25</v>
      </c>
      <c r="I50" s="61" t="s">
        <v>159</v>
      </c>
      <c r="J50" s="127">
        <f>'VOVÓ PESSOINHA'!I12</f>
        <v>16085.88</v>
      </c>
    </row>
    <row r="51" spans="1:10" ht="1.05" customHeight="1" thickTop="1">
      <c r="A51" s="63"/>
      <c r="B51" s="63"/>
      <c r="C51" s="63"/>
      <c r="D51" s="63"/>
      <c r="E51" s="63"/>
      <c r="F51" s="63"/>
      <c r="G51" s="63"/>
      <c r="H51" s="63"/>
      <c r="I51" s="63"/>
      <c r="J51" s="129"/>
    </row>
    <row r="52" spans="1:10" ht="24" customHeight="1">
      <c r="A52" s="45" t="s">
        <v>35</v>
      </c>
      <c r="B52" s="45"/>
      <c r="C52" s="45"/>
      <c r="D52" s="45" t="s">
        <v>488</v>
      </c>
      <c r="E52" s="45"/>
      <c r="F52" s="158"/>
      <c r="G52" s="158"/>
      <c r="H52" s="46"/>
      <c r="I52" s="45"/>
      <c r="J52" s="130">
        <f>SUM(J58,J65)</f>
        <v>18108.22</v>
      </c>
    </row>
    <row r="53" spans="1:10" ht="18" customHeight="1">
      <c r="A53" s="48" t="s">
        <v>37</v>
      </c>
      <c r="B53" s="49" t="s">
        <v>9</v>
      </c>
      <c r="C53" s="48" t="s">
        <v>10</v>
      </c>
      <c r="D53" s="48" t="s">
        <v>11</v>
      </c>
      <c r="E53" s="159" t="s">
        <v>150</v>
      </c>
      <c r="F53" s="159"/>
      <c r="G53" s="50" t="s">
        <v>12</v>
      </c>
      <c r="H53" s="49" t="s">
        <v>13</v>
      </c>
      <c r="I53" s="49" t="s">
        <v>14</v>
      </c>
      <c r="J53" s="49" t="s">
        <v>16</v>
      </c>
    </row>
    <row r="54" spans="1:10" ht="39" customHeight="1">
      <c r="A54" s="51" t="s">
        <v>151</v>
      </c>
      <c r="B54" s="52" t="s">
        <v>489</v>
      </c>
      <c r="C54" s="51" t="s">
        <v>29</v>
      </c>
      <c r="D54" s="51" t="s">
        <v>490</v>
      </c>
      <c r="E54" s="160" t="s">
        <v>244</v>
      </c>
      <c r="F54" s="160"/>
      <c r="G54" s="53" t="s">
        <v>31</v>
      </c>
      <c r="H54" s="54">
        <v>1</v>
      </c>
      <c r="I54" s="55">
        <f>'VOVÓ PESSOINHA'!G14</f>
        <v>4.62</v>
      </c>
      <c r="J54" s="128">
        <f t="shared" ref="J54:J57" si="6">ROUND(H54*I54,2)</f>
        <v>4.62</v>
      </c>
    </row>
    <row r="55" spans="1:10" ht="39" customHeight="1">
      <c r="A55" s="56" t="s">
        <v>153</v>
      </c>
      <c r="B55" s="57" t="s">
        <v>589</v>
      </c>
      <c r="C55" s="56" t="s">
        <v>29</v>
      </c>
      <c r="D55" s="56" t="s">
        <v>590</v>
      </c>
      <c r="E55" s="161" t="s">
        <v>152</v>
      </c>
      <c r="F55" s="161"/>
      <c r="G55" s="58" t="s">
        <v>163</v>
      </c>
      <c r="H55" s="59">
        <v>3.7000000000000002E-3</v>
      </c>
      <c r="I55" s="60">
        <v>643.69000000000005</v>
      </c>
      <c r="J55" s="128">
        <f t="shared" si="6"/>
        <v>2.38</v>
      </c>
    </row>
    <row r="56" spans="1:10" ht="24" customHeight="1">
      <c r="A56" s="56" t="s">
        <v>153</v>
      </c>
      <c r="B56" s="57" t="s">
        <v>154</v>
      </c>
      <c r="C56" s="56" t="s">
        <v>29</v>
      </c>
      <c r="D56" s="56" t="s">
        <v>155</v>
      </c>
      <c r="E56" s="161" t="s">
        <v>152</v>
      </c>
      <c r="F56" s="161"/>
      <c r="G56" s="58" t="s">
        <v>24</v>
      </c>
      <c r="H56" s="59">
        <v>6.8099999999999994E-2</v>
      </c>
      <c r="I56" s="60">
        <v>25.38</v>
      </c>
      <c r="J56" s="128">
        <f t="shared" si="6"/>
        <v>1.73</v>
      </c>
    </row>
    <row r="57" spans="1:10" ht="24" customHeight="1">
      <c r="A57" s="56" t="s">
        <v>153</v>
      </c>
      <c r="B57" s="57" t="s">
        <v>156</v>
      </c>
      <c r="C57" s="56" t="s">
        <v>29</v>
      </c>
      <c r="D57" s="56" t="s">
        <v>157</v>
      </c>
      <c r="E57" s="161" t="s">
        <v>152</v>
      </c>
      <c r="F57" s="161"/>
      <c r="G57" s="58" t="s">
        <v>24</v>
      </c>
      <c r="H57" s="59">
        <v>2.5499999999999998E-2</v>
      </c>
      <c r="I57" s="60">
        <v>20.420000000000002</v>
      </c>
      <c r="J57" s="128">
        <f t="shared" si="6"/>
        <v>0.52</v>
      </c>
    </row>
    <row r="58" spans="1:10" ht="30" customHeight="1" thickBot="1">
      <c r="A58" s="61"/>
      <c r="B58" s="61"/>
      <c r="C58" s="61"/>
      <c r="D58" s="61"/>
      <c r="E58" s="61"/>
      <c r="F58" s="61"/>
      <c r="G58" s="61" t="s">
        <v>158</v>
      </c>
      <c r="H58" s="62">
        <f>'VOVÓ PESSOINHA'!F14</f>
        <v>328.5</v>
      </c>
      <c r="I58" s="61" t="s">
        <v>159</v>
      </c>
      <c r="J58" s="127">
        <f>'VOVÓ PESSOINHA'!I14</f>
        <v>1864.91</v>
      </c>
    </row>
    <row r="59" spans="1:10" ht="1.05" customHeight="1" thickTop="1">
      <c r="A59" s="63"/>
      <c r="B59" s="63"/>
      <c r="C59" s="63"/>
      <c r="D59" s="63"/>
      <c r="E59" s="63"/>
      <c r="F59" s="63"/>
      <c r="G59" s="63"/>
      <c r="H59" s="63"/>
      <c r="I59" s="63"/>
      <c r="J59" s="63"/>
    </row>
    <row r="60" spans="1:10" ht="18" customHeight="1">
      <c r="A60" s="48" t="s">
        <v>320</v>
      </c>
      <c r="B60" s="49" t="s">
        <v>9</v>
      </c>
      <c r="C60" s="48" t="s">
        <v>10</v>
      </c>
      <c r="D60" s="48" t="s">
        <v>11</v>
      </c>
      <c r="E60" s="159" t="s">
        <v>150</v>
      </c>
      <c r="F60" s="159"/>
      <c r="G60" s="50" t="s">
        <v>12</v>
      </c>
      <c r="H60" s="49" t="s">
        <v>13</v>
      </c>
      <c r="I60" s="49" t="s">
        <v>14</v>
      </c>
      <c r="J60" s="49" t="s">
        <v>16</v>
      </c>
    </row>
    <row r="61" spans="1:10" ht="64.95" customHeight="1">
      <c r="A61" s="51" t="s">
        <v>151</v>
      </c>
      <c r="B61" s="52" t="s">
        <v>333</v>
      </c>
      <c r="C61" s="51" t="s">
        <v>29</v>
      </c>
      <c r="D61" s="51" t="s">
        <v>334</v>
      </c>
      <c r="E61" s="160" t="s">
        <v>244</v>
      </c>
      <c r="F61" s="160"/>
      <c r="G61" s="53" t="s">
        <v>31</v>
      </c>
      <c r="H61" s="54">
        <v>1</v>
      </c>
      <c r="I61" s="55">
        <f>'VOVÓ PESSOINHA'!G15</f>
        <v>40.24</v>
      </c>
      <c r="J61" s="128">
        <f t="shared" ref="J61:J64" si="7">ROUND(H61*I61,2)</f>
        <v>40.24</v>
      </c>
    </row>
    <row r="62" spans="1:10" ht="52.05" customHeight="1">
      <c r="A62" s="56" t="s">
        <v>153</v>
      </c>
      <c r="B62" s="57" t="s">
        <v>417</v>
      </c>
      <c r="C62" s="56" t="s">
        <v>29</v>
      </c>
      <c r="D62" s="56" t="s">
        <v>418</v>
      </c>
      <c r="E62" s="161" t="s">
        <v>152</v>
      </c>
      <c r="F62" s="161"/>
      <c r="G62" s="58" t="s">
        <v>163</v>
      </c>
      <c r="H62" s="59">
        <v>3.7600000000000001E-2</v>
      </c>
      <c r="I62" s="60">
        <v>660.42</v>
      </c>
      <c r="J62" s="128">
        <f t="shared" si="7"/>
        <v>24.83</v>
      </c>
    </row>
    <row r="63" spans="1:10" ht="24" customHeight="1">
      <c r="A63" s="56" t="s">
        <v>153</v>
      </c>
      <c r="B63" s="57" t="s">
        <v>154</v>
      </c>
      <c r="C63" s="56" t="s">
        <v>29</v>
      </c>
      <c r="D63" s="56" t="s">
        <v>155</v>
      </c>
      <c r="E63" s="161" t="s">
        <v>152</v>
      </c>
      <c r="F63" s="161"/>
      <c r="G63" s="58" t="s">
        <v>24</v>
      </c>
      <c r="H63" s="59">
        <v>0.47</v>
      </c>
      <c r="I63" s="60">
        <v>25.38</v>
      </c>
      <c r="J63" s="128">
        <f t="shared" si="7"/>
        <v>11.93</v>
      </c>
    </row>
    <row r="64" spans="1:10" ht="24" customHeight="1">
      <c r="A64" s="56" t="s">
        <v>153</v>
      </c>
      <c r="B64" s="57" t="s">
        <v>156</v>
      </c>
      <c r="C64" s="56" t="s">
        <v>29</v>
      </c>
      <c r="D64" s="56" t="s">
        <v>157</v>
      </c>
      <c r="E64" s="161" t="s">
        <v>152</v>
      </c>
      <c r="F64" s="161"/>
      <c r="G64" s="58" t="s">
        <v>24</v>
      </c>
      <c r="H64" s="59">
        <v>0.17100000000000001</v>
      </c>
      <c r="I64" s="60">
        <v>20.420000000000002</v>
      </c>
      <c r="J64" s="128">
        <f t="shared" si="7"/>
        <v>3.49</v>
      </c>
    </row>
    <row r="65" spans="1:10" ht="30" customHeight="1" thickBot="1">
      <c r="A65" s="61"/>
      <c r="B65" s="61"/>
      <c r="C65" s="61"/>
      <c r="D65" s="61"/>
      <c r="E65" s="61"/>
      <c r="F65" s="61"/>
      <c r="G65" s="61" t="s">
        <v>158</v>
      </c>
      <c r="H65" s="62">
        <f>'VOVÓ PESSOINHA'!F15</f>
        <v>328.5</v>
      </c>
      <c r="I65" s="61" t="s">
        <v>159</v>
      </c>
      <c r="J65" s="127">
        <f>'VOVÓ PESSOINHA'!I15</f>
        <v>16243.31</v>
      </c>
    </row>
    <row r="66" spans="1:10" ht="1.05" customHeight="1" thickTop="1">
      <c r="A66" s="63"/>
      <c r="B66" s="63"/>
      <c r="C66" s="63"/>
      <c r="D66" s="63"/>
      <c r="E66" s="63"/>
      <c r="F66" s="63"/>
      <c r="G66" s="63"/>
      <c r="H66" s="63"/>
      <c r="I66" s="63"/>
      <c r="J66" s="129"/>
    </row>
    <row r="67" spans="1:10" ht="24" customHeight="1">
      <c r="A67" s="45" t="s">
        <v>41</v>
      </c>
      <c r="B67" s="45"/>
      <c r="C67" s="45"/>
      <c r="D67" s="45" t="s">
        <v>26</v>
      </c>
      <c r="E67" s="45"/>
      <c r="F67" s="158"/>
      <c r="G67" s="158"/>
      <c r="H67" s="46"/>
      <c r="I67" s="45"/>
      <c r="J67" s="130">
        <f>SUM(J74,J83,J91,J100)</f>
        <v>20293.630000000005</v>
      </c>
    </row>
    <row r="68" spans="1:10" ht="18" customHeight="1">
      <c r="A68" s="48" t="s">
        <v>43</v>
      </c>
      <c r="B68" s="49" t="s">
        <v>9</v>
      </c>
      <c r="C68" s="48" t="s">
        <v>10</v>
      </c>
      <c r="D68" s="48" t="s">
        <v>11</v>
      </c>
      <c r="E68" s="159" t="s">
        <v>150</v>
      </c>
      <c r="F68" s="159"/>
      <c r="G68" s="50" t="s">
        <v>12</v>
      </c>
      <c r="H68" s="49" t="s">
        <v>13</v>
      </c>
      <c r="I68" s="49" t="s">
        <v>14</v>
      </c>
      <c r="J68" s="49" t="s">
        <v>16</v>
      </c>
    </row>
    <row r="69" spans="1:10" ht="52.05" customHeight="1">
      <c r="A69" s="51" t="s">
        <v>151</v>
      </c>
      <c r="B69" s="52" t="s">
        <v>28</v>
      </c>
      <c r="C69" s="51" t="s">
        <v>29</v>
      </c>
      <c r="D69" s="51" t="s">
        <v>30</v>
      </c>
      <c r="E69" s="160" t="s">
        <v>160</v>
      </c>
      <c r="F69" s="160"/>
      <c r="G69" s="53" t="s">
        <v>31</v>
      </c>
      <c r="H69" s="54">
        <v>1</v>
      </c>
      <c r="I69" s="55">
        <f>'VOVÓ PESSOINHA'!G17</f>
        <v>52.2</v>
      </c>
      <c r="J69" s="128">
        <f t="shared" ref="J69:J73" si="8">ROUND(H69*I69,2)</f>
        <v>52.2</v>
      </c>
    </row>
    <row r="70" spans="1:10" ht="39" customHeight="1">
      <c r="A70" s="56" t="s">
        <v>153</v>
      </c>
      <c r="B70" s="57" t="s">
        <v>161</v>
      </c>
      <c r="C70" s="56" t="s">
        <v>29</v>
      </c>
      <c r="D70" s="56" t="s">
        <v>162</v>
      </c>
      <c r="E70" s="161" t="s">
        <v>152</v>
      </c>
      <c r="F70" s="161"/>
      <c r="G70" s="58" t="s">
        <v>163</v>
      </c>
      <c r="H70" s="59">
        <v>4.3099999999999999E-2</v>
      </c>
      <c r="I70" s="60">
        <v>717.37</v>
      </c>
      <c r="J70" s="128">
        <f t="shared" si="8"/>
        <v>30.92</v>
      </c>
    </row>
    <row r="71" spans="1:10" ht="24" customHeight="1">
      <c r="A71" s="56" t="s">
        <v>153</v>
      </c>
      <c r="B71" s="57" t="s">
        <v>154</v>
      </c>
      <c r="C71" s="56" t="s">
        <v>29</v>
      </c>
      <c r="D71" s="56" t="s">
        <v>155</v>
      </c>
      <c r="E71" s="161" t="s">
        <v>152</v>
      </c>
      <c r="F71" s="161"/>
      <c r="G71" s="58" t="s">
        <v>24</v>
      </c>
      <c r="H71" s="59">
        <v>0.58899999999999997</v>
      </c>
      <c r="I71" s="60">
        <v>25.38</v>
      </c>
      <c r="J71" s="128">
        <f t="shared" si="8"/>
        <v>14.95</v>
      </c>
    </row>
    <row r="72" spans="1:10" ht="24" customHeight="1">
      <c r="A72" s="56" t="s">
        <v>153</v>
      </c>
      <c r="B72" s="57" t="s">
        <v>156</v>
      </c>
      <c r="C72" s="56" t="s">
        <v>29</v>
      </c>
      <c r="D72" s="56" t="s">
        <v>157</v>
      </c>
      <c r="E72" s="161" t="s">
        <v>152</v>
      </c>
      <c r="F72" s="161"/>
      <c r="G72" s="58" t="s">
        <v>24</v>
      </c>
      <c r="H72" s="59">
        <v>0.29399999999999998</v>
      </c>
      <c r="I72" s="60">
        <v>20.420000000000002</v>
      </c>
      <c r="J72" s="128">
        <f t="shared" si="8"/>
        <v>6</v>
      </c>
    </row>
    <row r="73" spans="1:10" ht="24" customHeight="1">
      <c r="A73" s="64" t="s">
        <v>164</v>
      </c>
      <c r="B73" s="65" t="s">
        <v>165</v>
      </c>
      <c r="C73" s="64" t="s">
        <v>29</v>
      </c>
      <c r="D73" s="64" t="s">
        <v>166</v>
      </c>
      <c r="E73" s="157" t="s">
        <v>167</v>
      </c>
      <c r="F73" s="157"/>
      <c r="G73" s="66" t="s">
        <v>126</v>
      </c>
      <c r="H73" s="67">
        <v>0.5</v>
      </c>
      <c r="I73" s="68">
        <v>0.7</v>
      </c>
      <c r="J73" s="128">
        <f t="shared" si="8"/>
        <v>0.35</v>
      </c>
    </row>
    <row r="74" spans="1:10" ht="30" customHeight="1" thickBot="1">
      <c r="A74" s="61"/>
      <c r="B74" s="61"/>
      <c r="C74" s="61"/>
      <c r="D74" s="61"/>
      <c r="E74" s="61"/>
      <c r="F74" s="61"/>
      <c r="G74" s="61" t="s">
        <v>158</v>
      </c>
      <c r="H74" s="62">
        <f>'VOVÓ PESSOINHA'!F17</f>
        <v>58</v>
      </c>
      <c r="I74" s="61" t="s">
        <v>159</v>
      </c>
      <c r="J74" s="127">
        <f>'VOVÓ PESSOINHA'!I17</f>
        <v>3720.31</v>
      </c>
    </row>
    <row r="75" spans="1:10" ht="1.05" customHeight="1" thickTop="1">
      <c r="A75" s="63"/>
      <c r="B75" s="63"/>
      <c r="C75" s="63"/>
      <c r="D75" s="63"/>
      <c r="E75" s="63"/>
      <c r="F75" s="63"/>
      <c r="G75" s="63"/>
      <c r="H75" s="63"/>
      <c r="I75" s="63"/>
      <c r="J75" s="63"/>
    </row>
    <row r="76" spans="1:10" ht="18" customHeight="1">
      <c r="A76" s="48" t="s">
        <v>47</v>
      </c>
      <c r="B76" s="49" t="s">
        <v>9</v>
      </c>
      <c r="C76" s="48" t="s">
        <v>10</v>
      </c>
      <c r="D76" s="48" t="s">
        <v>11</v>
      </c>
      <c r="E76" s="159" t="s">
        <v>150</v>
      </c>
      <c r="F76" s="159"/>
      <c r="G76" s="50" t="s">
        <v>12</v>
      </c>
      <c r="H76" s="49" t="s">
        <v>13</v>
      </c>
      <c r="I76" s="49" t="s">
        <v>14</v>
      </c>
      <c r="J76" s="49" t="s">
        <v>16</v>
      </c>
    </row>
    <row r="77" spans="1:10" ht="39" customHeight="1">
      <c r="A77" s="51" t="s">
        <v>151</v>
      </c>
      <c r="B77" s="52" t="s">
        <v>491</v>
      </c>
      <c r="C77" s="51" t="s">
        <v>29</v>
      </c>
      <c r="D77" s="51" t="s">
        <v>492</v>
      </c>
      <c r="E77" s="160" t="s">
        <v>160</v>
      </c>
      <c r="F77" s="160"/>
      <c r="G77" s="53" t="s">
        <v>31</v>
      </c>
      <c r="H77" s="54">
        <v>1</v>
      </c>
      <c r="I77" s="55">
        <f>'VOVÓ PESSOINHA'!G18</f>
        <v>54.13</v>
      </c>
      <c r="J77" s="128">
        <f t="shared" ref="J77:J82" si="9">ROUND(H77*I77,2)</f>
        <v>54.13</v>
      </c>
    </row>
    <row r="78" spans="1:10" ht="39" customHeight="1">
      <c r="A78" s="56" t="s">
        <v>153</v>
      </c>
      <c r="B78" s="57" t="s">
        <v>591</v>
      </c>
      <c r="C78" s="56" t="s">
        <v>29</v>
      </c>
      <c r="D78" s="56" t="s">
        <v>592</v>
      </c>
      <c r="E78" s="161" t="s">
        <v>152</v>
      </c>
      <c r="F78" s="161"/>
      <c r="G78" s="58" t="s">
        <v>163</v>
      </c>
      <c r="H78" s="59">
        <v>5.2999999999999999E-2</v>
      </c>
      <c r="I78" s="60">
        <v>692.97</v>
      </c>
      <c r="J78" s="128">
        <f t="shared" si="9"/>
        <v>36.729999999999997</v>
      </c>
    </row>
    <row r="79" spans="1:10" ht="24" customHeight="1">
      <c r="A79" s="56" t="s">
        <v>153</v>
      </c>
      <c r="B79" s="57" t="s">
        <v>154</v>
      </c>
      <c r="C79" s="56" t="s">
        <v>29</v>
      </c>
      <c r="D79" s="56" t="s">
        <v>155</v>
      </c>
      <c r="E79" s="161" t="s">
        <v>152</v>
      </c>
      <c r="F79" s="161"/>
      <c r="G79" s="58" t="s">
        <v>24</v>
      </c>
      <c r="H79" s="59">
        <v>0.41799999999999998</v>
      </c>
      <c r="I79" s="60">
        <v>25.38</v>
      </c>
      <c r="J79" s="128">
        <f t="shared" si="9"/>
        <v>10.61</v>
      </c>
    </row>
    <row r="80" spans="1:10" ht="24" customHeight="1">
      <c r="A80" s="56" t="s">
        <v>153</v>
      </c>
      <c r="B80" s="57" t="s">
        <v>156</v>
      </c>
      <c r="C80" s="56" t="s">
        <v>29</v>
      </c>
      <c r="D80" s="56" t="s">
        <v>157</v>
      </c>
      <c r="E80" s="161" t="s">
        <v>152</v>
      </c>
      <c r="F80" s="161"/>
      <c r="G80" s="58" t="s">
        <v>24</v>
      </c>
      <c r="H80" s="59">
        <v>0.20899999999999999</v>
      </c>
      <c r="I80" s="60">
        <v>20.420000000000002</v>
      </c>
      <c r="J80" s="128">
        <f t="shared" si="9"/>
        <v>4.2699999999999996</v>
      </c>
    </row>
    <row r="81" spans="1:11" ht="24" customHeight="1">
      <c r="A81" s="64" t="s">
        <v>164</v>
      </c>
      <c r="B81" s="65" t="s">
        <v>165</v>
      </c>
      <c r="C81" s="64" t="s">
        <v>29</v>
      </c>
      <c r="D81" s="64" t="s">
        <v>166</v>
      </c>
      <c r="E81" s="157" t="s">
        <v>167</v>
      </c>
      <c r="F81" s="157"/>
      <c r="G81" s="66" t="s">
        <v>126</v>
      </c>
      <c r="H81" s="67">
        <v>0.5</v>
      </c>
      <c r="I81" s="68">
        <v>0.7</v>
      </c>
      <c r="J81" s="128">
        <f t="shared" si="9"/>
        <v>0.35</v>
      </c>
    </row>
    <row r="82" spans="1:11" ht="25.95" customHeight="1">
      <c r="A82" s="64" t="s">
        <v>164</v>
      </c>
      <c r="B82" s="65" t="s">
        <v>593</v>
      </c>
      <c r="C82" s="64" t="s">
        <v>29</v>
      </c>
      <c r="D82" s="64" t="s">
        <v>594</v>
      </c>
      <c r="E82" s="157" t="s">
        <v>167</v>
      </c>
      <c r="F82" s="157"/>
      <c r="G82" s="66" t="s">
        <v>40</v>
      </c>
      <c r="H82" s="67">
        <v>1.67</v>
      </c>
      <c r="I82" s="68">
        <v>1.32</v>
      </c>
      <c r="J82" s="128">
        <f t="shared" si="9"/>
        <v>2.2000000000000002</v>
      </c>
    </row>
    <row r="83" spans="1:11" ht="30" customHeight="1" thickBot="1">
      <c r="A83" s="61"/>
      <c r="B83" s="61"/>
      <c r="C83" s="61"/>
      <c r="D83" s="61"/>
      <c r="E83" s="61"/>
      <c r="F83" s="61"/>
      <c r="G83" s="61" t="s">
        <v>158</v>
      </c>
      <c r="H83" s="62">
        <f>'VOVÓ PESSOINHA'!F18</f>
        <v>58</v>
      </c>
      <c r="I83" s="61" t="s">
        <v>159</v>
      </c>
      <c r="J83" s="127">
        <f>'VOVÓ PESSOINHA'!I18</f>
        <v>3857.87</v>
      </c>
    </row>
    <row r="84" spans="1:11" ht="1.05" customHeight="1" thickTop="1">
      <c r="A84" s="63"/>
      <c r="B84" s="63"/>
      <c r="C84" s="63"/>
      <c r="D84" s="63"/>
      <c r="E84" s="63"/>
      <c r="F84" s="63"/>
      <c r="G84" s="63"/>
      <c r="H84" s="63"/>
      <c r="I84" s="63"/>
      <c r="J84" s="63"/>
    </row>
    <row r="85" spans="1:11" ht="18" customHeight="1">
      <c r="A85" s="48" t="s">
        <v>329</v>
      </c>
      <c r="B85" s="49" t="s">
        <v>9</v>
      </c>
      <c r="C85" s="48" t="s">
        <v>10</v>
      </c>
      <c r="D85" s="48" t="s">
        <v>11</v>
      </c>
      <c r="E85" s="159" t="s">
        <v>150</v>
      </c>
      <c r="F85" s="159"/>
      <c r="G85" s="50" t="s">
        <v>12</v>
      </c>
      <c r="H85" s="49" t="s">
        <v>13</v>
      </c>
      <c r="I85" s="49" t="s">
        <v>14</v>
      </c>
      <c r="J85" s="49" t="s">
        <v>16</v>
      </c>
    </row>
    <row r="86" spans="1:11" ht="39" customHeight="1">
      <c r="A86" s="51" t="s">
        <v>151</v>
      </c>
      <c r="B86" s="52" t="s">
        <v>330</v>
      </c>
      <c r="C86" s="51" t="s">
        <v>22</v>
      </c>
      <c r="D86" s="51" t="s">
        <v>331</v>
      </c>
      <c r="E86" s="160" t="s">
        <v>205</v>
      </c>
      <c r="F86" s="160"/>
      <c r="G86" s="53" t="s">
        <v>71</v>
      </c>
      <c r="H86" s="54">
        <v>1</v>
      </c>
      <c r="I86" s="55">
        <f>'VOVÓ PESSOINHA'!G19</f>
        <v>96.14</v>
      </c>
      <c r="J86" s="128">
        <f t="shared" ref="J86:J90" si="10">ROUND(H86*I86,2)</f>
        <v>96.14</v>
      </c>
      <c r="K86" s="143"/>
    </row>
    <row r="87" spans="1:11" ht="24" customHeight="1">
      <c r="A87" s="56" t="s">
        <v>153</v>
      </c>
      <c r="B87" s="57" t="s">
        <v>411</v>
      </c>
      <c r="C87" s="56" t="s">
        <v>29</v>
      </c>
      <c r="D87" s="56" t="s">
        <v>412</v>
      </c>
      <c r="E87" s="161" t="s">
        <v>152</v>
      </c>
      <c r="F87" s="161"/>
      <c r="G87" s="58" t="s">
        <v>24</v>
      </c>
      <c r="H87" s="59">
        <v>0.5</v>
      </c>
      <c r="I87" s="60">
        <v>25.38</v>
      </c>
      <c r="J87" s="128">
        <f t="shared" si="10"/>
        <v>12.69</v>
      </c>
      <c r="K87" s="143"/>
    </row>
    <row r="88" spans="1:11" ht="24" customHeight="1">
      <c r="A88" s="56" t="s">
        <v>153</v>
      </c>
      <c r="B88" s="57" t="s">
        <v>156</v>
      </c>
      <c r="C88" s="56" t="s">
        <v>29</v>
      </c>
      <c r="D88" s="56" t="s">
        <v>157</v>
      </c>
      <c r="E88" s="161" t="s">
        <v>152</v>
      </c>
      <c r="F88" s="161"/>
      <c r="G88" s="58" t="s">
        <v>24</v>
      </c>
      <c r="H88" s="59">
        <v>1</v>
      </c>
      <c r="I88" s="60">
        <v>20.420000000000002</v>
      </c>
      <c r="J88" s="128">
        <f t="shared" si="10"/>
        <v>20.420000000000002</v>
      </c>
    </row>
    <row r="89" spans="1:11" ht="25.95" customHeight="1">
      <c r="A89" s="64" t="s">
        <v>164</v>
      </c>
      <c r="B89" s="65" t="s">
        <v>413</v>
      </c>
      <c r="C89" s="64" t="s">
        <v>29</v>
      </c>
      <c r="D89" s="64" t="s">
        <v>414</v>
      </c>
      <c r="E89" s="157" t="s">
        <v>167</v>
      </c>
      <c r="F89" s="157"/>
      <c r="G89" s="66" t="s">
        <v>163</v>
      </c>
      <c r="H89" s="67">
        <v>0.13</v>
      </c>
      <c r="I89" s="68">
        <v>129</v>
      </c>
      <c r="J89" s="128">
        <f t="shared" si="10"/>
        <v>16.77</v>
      </c>
    </row>
    <row r="90" spans="1:11" ht="39" customHeight="1">
      <c r="A90" s="64" t="s">
        <v>164</v>
      </c>
      <c r="B90" s="65" t="s">
        <v>415</v>
      </c>
      <c r="C90" s="64" t="s">
        <v>209</v>
      </c>
      <c r="D90" s="64" t="s">
        <v>416</v>
      </c>
      <c r="E90" s="157" t="s">
        <v>167</v>
      </c>
      <c r="F90" s="157"/>
      <c r="G90" s="66" t="s">
        <v>211</v>
      </c>
      <c r="H90" s="67">
        <v>18</v>
      </c>
      <c r="I90" s="68">
        <v>2.57</v>
      </c>
      <c r="J90" s="128">
        <f t="shared" si="10"/>
        <v>46.26</v>
      </c>
    </row>
    <row r="91" spans="1:11" ht="30" customHeight="1" thickBot="1">
      <c r="A91" s="61"/>
      <c r="B91" s="61"/>
      <c r="C91" s="61"/>
      <c r="D91" s="61"/>
      <c r="E91" s="61"/>
      <c r="F91" s="61"/>
      <c r="G91" s="61" t="s">
        <v>158</v>
      </c>
      <c r="H91" s="62">
        <f>'VOVÓ PESSOINHA'!F19</f>
        <v>105.4</v>
      </c>
      <c r="I91" s="61" t="s">
        <v>159</v>
      </c>
      <c r="J91" s="127">
        <f>'VOVÓ PESSOINHA'!I19</f>
        <v>12451.62</v>
      </c>
    </row>
    <row r="92" spans="1:11" ht="1.05" customHeight="1" thickTop="1">
      <c r="A92" s="63"/>
      <c r="B92" s="63"/>
      <c r="C92" s="63"/>
      <c r="D92" s="63"/>
      <c r="E92" s="63"/>
      <c r="F92" s="63"/>
      <c r="G92" s="63"/>
      <c r="H92" s="63"/>
      <c r="I92" s="63"/>
      <c r="J92" s="63"/>
    </row>
    <row r="93" spans="1:11" ht="18" customHeight="1">
      <c r="A93" s="48" t="s">
        <v>493</v>
      </c>
      <c r="B93" s="49" t="s">
        <v>9</v>
      </c>
      <c r="C93" s="48" t="s">
        <v>10</v>
      </c>
      <c r="D93" s="48" t="s">
        <v>11</v>
      </c>
      <c r="E93" s="159" t="s">
        <v>150</v>
      </c>
      <c r="F93" s="159"/>
      <c r="G93" s="50" t="s">
        <v>12</v>
      </c>
      <c r="H93" s="49" t="s">
        <v>13</v>
      </c>
      <c r="I93" s="49" t="s">
        <v>14</v>
      </c>
      <c r="J93" s="49" t="s">
        <v>16</v>
      </c>
    </row>
    <row r="94" spans="1:11" ht="39" customHeight="1">
      <c r="A94" s="51" t="s">
        <v>151</v>
      </c>
      <c r="B94" s="52" t="s">
        <v>494</v>
      </c>
      <c r="C94" s="51" t="s">
        <v>29</v>
      </c>
      <c r="D94" s="51" t="s">
        <v>495</v>
      </c>
      <c r="E94" s="160" t="s">
        <v>160</v>
      </c>
      <c r="F94" s="160"/>
      <c r="G94" s="53" t="s">
        <v>31</v>
      </c>
      <c r="H94" s="54">
        <v>1</v>
      </c>
      <c r="I94" s="55">
        <f>'VOVÓ PESSOINHA'!G20</f>
        <v>56.8</v>
      </c>
      <c r="J94" s="128">
        <f t="shared" ref="J94:J99" si="11">ROUND(H94*I94,2)</f>
        <v>56.8</v>
      </c>
    </row>
    <row r="95" spans="1:11" ht="25.95" customHeight="1">
      <c r="A95" s="56" t="s">
        <v>153</v>
      </c>
      <c r="B95" s="57" t="s">
        <v>595</v>
      </c>
      <c r="C95" s="56" t="s">
        <v>29</v>
      </c>
      <c r="D95" s="56" t="s">
        <v>596</v>
      </c>
      <c r="E95" s="161" t="s">
        <v>152</v>
      </c>
      <c r="F95" s="161"/>
      <c r="G95" s="58" t="s">
        <v>24</v>
      </c>
      <c r="H95" s="59">
        <v>0.43</v>
      </c>
      <c r="I95" s="60">
        <v>25.25</v>
      </c>
      <c r="J95" s="128">
        <f t="shared" si="11"/>
        <v>10.86</v>
      </c>
    </row>
    <row r="96" spans="1:11" ht="24" customHeight="1">
      <c r="A96" s="56" t="s">
        <v>153</v>
      </c>
      <c r="B96" s="57" t="s">
        <v>156</v>
      </c>
      <c r="C96" s="56" t="s">
        <v>29</v>
      </c>
      <c r="D96" s="56" t="s">
        <v>157</v>
      </c>
      <c r="E96" s="161" t="s">
        <v>152</v>
      </c>
      <c r="F96" s="161"/>
      <c r="G96" s="58" t="s">
        <v>24</v>
      </c>
      <c r="H96" s="59">
        <v>0.2</v>
      </c>
      <c r="I96" s="60">
        <v>20.420000000000002</v>
      </c>
      <c r="J96" s="128">
        <f t="shared" si="11"/>
        <v>4.08</v>
      </c>
    </row>
    <row r="97" spans="1:11" ht="25.95" customHeight="1">
      <c r="A97" s="64" t="s">
        <v>164</v>
      </c>
      <c r="B97" s="65" t="s">
        <v>597</v>
      </c>
      <c r="C97" s="64" t="s">
        <v>29</v>
      </c>
      <c r="D97" s="64" t="s">
        <v>598</v>
      </c>
      <c r="E97" s="157" t="s">
        <v>167</v>
      </c>
      <c r="F97" s="157"/>
      <c r="G97" s="66" t="s">
        <v>31</v>
      </c>
      <c r="H97" s="67">
        <v>1.06</v>
      </c>
      <c r="I97" s="68">
        <v>33.9</v>
      </c>
      <c r="J97" s="128">
        <f t="shared" si="11"/>
        <v>35.93</v>
      </c>
    </row>
    <row r="98" spans="1:11" ht="24" customHeight="1">
      <c r="A98" s="64" t="s">
        <v>164</v>
      </c>
      <c r="B98" s="65" t="s">
        <v>599</v>
      </c>
      <c r="C98" s="64" t="s">
        <v>29</v>
      </c>
      <c r="D98" s="64" t="s">
        <v>600</v>
      </c>
      <c r="E98" s="157" t="s">
        <v>167</v>
      </c>
      <c r="F98" s="157"/>
      <c r="G98" s="66" t="s">
        <v>126</v>
      </c>
      <c r="H98" s="67">
        <v>4.8600000000000003</v>
      </c>
      <c r="I98" s="68">
        <v>0.95</v>
      </c>
      <c r="J98" s="128">
        <f t="shared" si="11"/>
        <v>4.62</v>
      </c>
    </row>
    <row r="99" spans="1:11" ht="24" customHeight="1">
      <c r="A99" s="64" t="s">
        <v>164</v>
      </c>
      <c r="B99" s="65" t="s">
        <v>601</v>
      </c>
      <c r="C99" s="64" t="s">
        <v>29</v>
      </c>
      <c r="D99" s="64" t="s">
        <v>602</v>
      </c>
      <c r="E99" s="157" t="s">
        <v>167</v>
      </c>
      <c r="F99" s="157"/>
      <c r="G99" s="66" t="s">
        <v>126</v>
      </c>
      <c r="H99" s="67">
        <v>0.24</v>
      </c>
      <c r="I99" s="68">
        <v>5.57</v>
      </c>
      <c r="J99" s="128">
        <f t="shared" si="11"/>
        <v>1.34</v>
      </c>
    </row>
    <row r="100" spans="1:11" ht="30" customHeight="1" thickBot="1">
      <c r="A100" s="61"/>
      <c r="B100" s="61"/>
      <c r="C100" s="61"/>
      <c r="D100" s="61"/>
      <c r="E100" s="61"/>
      <c r="F100" s="61"/>
      <c r="G100" s="61" t="s">
        <v>158</v>
      </c>
      <c r="H100" s="62">
        <f>'VOVÓ PESSOINHA'!F20</f>
        <v>3.78</v>
      </c>
      <c r="I100" s="61" t="s">
        <v>159</v>
      </c>
      <c r="J100" s="127">
        <f>'VOVÓ PESSOINHA'!I20</f>
        <v>263.83</v>
      </c>
    </row>
    <row r="101" spans="1:11" ht="1.05" customHeight="1" thickTop="1">
      <c r="A101" s="63"/>
      <c r="B101" s="63"/>
      <c r="C101" s="63"/>
      <c r="D101" s="63"/>
      <c r="E101" s="63"/>
      <c r="F101" s="63"/>
      <c r="G101" s="63"/>
      <c r="H101" s="63"/>
      <c r="I101" s="63"/>
      <c r="J101" s="129"/>
    </row>
    <row r="102" spans="1:11" ht="24" customHeight="1">
      <c r="A102" s="45" t="s">
        <v>50</v>
      </c>
      <c r="B102" s="45"/>
      <c r="C102" s="45"/>
      <c r="D102" s="45" t="s">
        <v>36</v>
      </c>
      <c r="E102" s="45"/>
      <c r="F102" s="158"/>
      <c r="G102" s="158"/>
      <c r="H102" s="46"/>
      <c r="I102" s="45"/>
      <c r="J102" s="130">
        <f>SUM(J107,J115,J122,J129,J136,J143)</f>
        <v>56634.360000000008</v>
      </c>
    </row>
    <row r="103" spans="1:11" ht="18" customHeight="1">
      <c r="A103" s="48" t="s">
        <v>52</v>
      </c>
      <c r="B103" s="49" t="s">
        <v>9</v>
      </c>
      <c r="C103" s="48" t="s">
        <v>10</v>
      </c>
      <c r="D103" s="48" t="s">
        <v>11</v>
      </c>
      <c r="E103" s="159" t="s">
        <v>150</v>
      </c>
      <c r="F103" s="159"/>
      <c r="G103" s="50" t="s">
        <v>12</v>
      </c>
      <c r="H103" s="49" t="s">
        <v>13</v>
      </c>
      <c r="I103" s="49" t="s">
        <v>14</v>
      </c>
      <c r="J103" s="49" t="s">
        <v>16</v>
      </c>
    </row>
    <row r="104" spans="1:11" ht="25.95" customHeight="1">
      <c r="A104" s="51" t="s">
        <v>151</v>
      </c>
      <c r="B104" s="52" t="s">
        <v>496</v>
      </c>
      <c r="C104" s="51" t="s">
        <v>22</v>
      </c>
      <c r="D104" s="51" t="s">
        <v>497</v>
      </c>
      <c r="E104" s="160" t="s">
        <v>205</v>
      </c>
      <c r="F104" s="160"/>
      <c r="G104" s="53" t="s">
        <v>71</v>
      </c>
      <c r="H104" s="54">
        <v>1</v>
      </c>
      <c r="I104" s="55">
        <f>'VOVÓ PESSOINHA'!G22</f>
        <v>3.92</v>
      </c>
      <c r="J104" s="128">
        <f t="shared" ref="J104:J106" si="12">ROUND(H104*I104,2)</f>
        <v>3.92</v>
      </c>
      <c r="K104" s="143"/>
    </row>
    <row r="105" spans="1:11" ht="24" customHeight="1">
      <c r="A105" s="56" t="s">
        <v>153</v>
      </c>
      <c r="B105" s="57" t="s">
        <v>185</v>
      </c>
      <c r="C105" s="56" t="s">
        <v>29</v>
      </c>
      <c r="D105" s="56" t="s">
        <v>186</v>
      </c>
      <c r="E105" s="161" t="s">
        <v>152</v>
      </c>
      <c r="F105" s="161"/>
      <c r="G105" s="58" t="s">
        <v>24</v>
      </c>
      <c r="H105" s="59">
        <v>0.14000000000000001</v>
      </c>
      <c r="I105" s="60">
        <v>26.6</v>
      </c>
      <c r="J105" s="128">
        <f t="shared" si="12"/>
        <v>3.72</v>
      </c>
      <c r="K105" s="143"/>
    </row>
    <row r="106" spans="1:11" ht="25.95" customHeight="1">
      <c r="A106" s="64" t="s">
        <v>164</v>
      </c>
      <c r="B106" s="65" t="s">
        <v>419</v>
      </c>
      <c r="C106" s="64" t="s">
        <v>29</v>
      </c>
      <c r="D106" s="64" t="s">
        <v>420</v>
      </c>
      <c r="E106" s="157" t="s">
        <v>167</v>
      </c>
      <c r="F106" s="157"/>
      <c r="G106" s="66" t="s">
        <v>59</v>
      </c>
      <c r="H106" s="67">
        <v>0.25</v>
      </c>
      <c r="I106" s="68">
        <v>0.79</v>
      </c>
      <c r="J106" s="128">
        <f t="shared" si="12"/>
        <v>0.2</v>
      </c>
    </row>
    <row r="107" spans="1:11" ht="30" customHeight="1" thickBot="1">
      <c r="A107" s="61"/>
      <c r="B107" s="61"/>
      <c r="C107" s="61"/>
      <c r="D107" s="61"/>
      <c r="E107" s="61"/>
      <c r="F107" s="61"/>
      <c r="G107" s="61" t="s">
        <v>158</v>
      </c>
      <c r="H107" s="62">
        <f>'VOVÓ PESSOINHA'!F22</f>
        <v>1065.75</v>
      </c>
      <c r="I107" s="61" t="s">
        <v>159</v>
      </c>
      <c r="J107" s="127">
        <f>'VOVÓ PESSOINHA'!I22</f>
        <v>5133.6099999999997</v>
      </c>
    </row>
    <row r="108" spans="1:11" ht="1.05" customHeight="1" thickTop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</row>
    <row r="109" spans="1:11" ht="18" customHeight="1">
      <c r="A109" s="48" t="s">
        <v>56</v>
      </c>
      <c r="B109" s="49" t="s">
        <v>9</v>
      </c>
      <c r="C109" s="48" t="s">
        <v>10</v>
      </c>
      <c r="D109" s="48" t="s">
        <v>11</v>
      </c>
      <c r="E109" s="159" t="s">
        <v>150</v>
      </c>
      <c r="F109" s="159"/>
      <c r="G109" s="50" t="s">
        <v>12</v>
      </c>
      <c r="H109" s="49" t="s">
        <v>13</v>
      </c>
      <c r="I109" s="49" t="s">
        <v>14</v>
      </c>
      <c r="J109" s="49" t="s">
        <v>16</v>
      </c>
    </row>
    <row r="110" spans="1:11" ht="25.95" customHeight="1">
      <c r="A110" s="51" t="s">
        <v>151</v>
      </c>
      <c r="B110" s="52" t="s">
        <v>498</v>
      </c>
      <c r="C110" s="51" t="s">
        <v>29</v>
      </c>
      <c r="D110" s="51" t="s">
        <v>499</v>
      </c>
      <c r="E110" s="160" t="s">
        <v>184</v>
      </c>
      <c r="F110" s="160"/>
      <c r="G110" s="53" t="s">
        <v>31</v>
      </c>
      <c r="H110" s="54">
        <v>1</v>
      </c>
      <c r="I110" s="55">
        <f>'VOVÓ PESSOINHA'!G23</f>
        <v>24.74</v>
      </c>
      <c r="J110" s="128">
        <f t="shared" ref="J110:J114" si="13">ROUND(H110*I110,2)</f>
        <v>24.74</v>
      </c>
    </row>
    <row r="111" spans="1:11" ht="24" customHeight="1">
      <c r="A111" s="56" t="s">
        <v>153</v>
      </c>
      <c r="B111" s="57" t="s">
        <v>185</v>
      </c>
      <c r="C111" s="56" t="s">
        <v>29</v>
      </c>
      <c r="D111" s="56" t="s">
        <v>186</v>
      </c>
      <c r="E111" s="161" t="s">
        <v>152</v>
      </c>
      <c r="F111" s="161"/>
      <c r="G111" s="58" t="s">
        <v>24</v>
      </c>
      <c r="H111" s="59">
        <v>0.57099999999999995</v>
      </c>
      <c r="I111" s="60">
        <v>26.6</v>
      </c>
      <c r="J111" s="128">
        <f t="shared" si="13"/>
        <v>15.19</v>
      </c>
    </row>
    <row r="112" spans="1:11" ht="24" customHeight="1">
      <c r="A112" s="56" t="s">
        <v>153</v>
      </c>
      <c r="B112" s="57" t="s">
        <v>156</v>
      </c>
      <c r="C112" s="56" t="s">
        <v>29</v>
      </c>
      <c r="D112" s="56" t="s">
        <v>157</v>
      </c>
      <c r="E112" s="161" t="s">
        <v>152</v>
      </c>
      <c r="F112" s="161"/>
      <c r="G112" s="58" t="s">
        <v>24</v>
      </c>
      <c r="H112" s="59">
        <v>0.14299999999999999</v>
      </c>
      <c r="I112" s="60">
        <v>20.420000000000002</v>
      </c>
      <c r="J112" s="128">
        <f t="shared" si="13"/>
        <v>2.92</v>
      </c>
    </row>
    <row r="113" spans="1:10" ht="25.95" customHeight="1">
      <c r="A113" s="64" t="s">
        <v>164</v>
      </c>
      <c r="B113" s="65" t="s">
        <v>419</v>
      </c>
      <c r="C113" s="64" t="s">
        <v>29</v>
      </c>
      <c r="D113" s="64" t="s">
        <v>420</v>
      </c>
      <c r="E113" s="157" t="s">
        <v>167</v>
      </c>
      <c r="F113" s="157"/>
      <c r="G113" s="66" t="s">
        <v>59</v>
      </c>
      <c r="H113" s="67">
        <v>0.1</v>
      </c>
      <c r="I113" s="68">
        <v>0.79</v>
      </c>
      <c r="J113" s="128">
        <f t="shared" si="13"/>
        <v>0.08</v>
      </c>
    </row>
    <row r="114" spans="1:10" ht="25.95" customHeight="1">
      <c r="A114" s="64" t="s">
        <v>164</v>
      </c>
      <c r="B114" s="65" t="s">
        <v>603</v>
      </c>
      <c r="C114" s="64" t="s">
        <v>29</v>
      </c>
      <c r="D114" s="64" t="s">
        <v>604</v>
      </c>
      <c r="E114" s="157" t="s">
        <v>167</v>
      </c>
      <c r="F114" s="157"/>
      <c r="G114" s="66" t="s">
        <v>126</v>
      </c>
      <c r="H114" s="67">
        <v>1.5518400000000001</v>
      </c>
      <c r="I114" s="68">
        <v>4.24</v>
      </c>
      <c r="J114" s="128">
        <f t="shared" si="13"/>
        <v>6.58</v>
      </c>
    </row>
    <row r="115" spans="1:10" ht="30" customHeight="1" thickBot="1">
      <c r="A115" s="61"/>
      <c r="B115" s="61"/>
      <c r="C115" s="61"/>
      <c r="D115" s="61"/>
      <c r="E115" s="61"/>
      <c r="F115" s="61"/>
      <c r="G115" s="61" t="s">
        <v>158</v>
      </c>
      <c r="H115" s="62">
        <f>'VOVÓ PESSOINHA'!F23</f>
        <v>784.95</v>
      </c>
      <c r="I115" s="61" t="s">
        <v>159</v>
      </c>
      <c r="J115" s="127">
        <f>'VOVÓ PESSOINHA'!I23</f>
        <v>23862.880000000001</v>
      </c>
    </row>
    <row r="116" spans="1:10" ht="1.05" customHeight="1" thickTop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</row>
    <row r="117" spans="1:10" ht="18" customHeight="1">
      <c r="A117" s="48" t="s">
        <v>60</v>
      </c>
      <c r="B117" s="49" t="s">
        <v>9</v>
      </c>
      <c r="C117" s="48" t="s">
        <v>10</v>
      </c>
      <c r="D117" s="48" t="s">
        <v>11</v>
      </c>
      <c r="E117" s="159" t="s">
        <v>150</v>
      </c>
      <c r="F117" s="159"/>
      <c r="G117" s="50" t="s">
        <v>12</v>
      </c>
      <c r="H117" s="49" t="s">
        <v>13</v>
      </c>
      <c r="I117" s="49" t="s">
        <v>14</v>
      </c>
      <c r="J117" s="49" t="s">
        <v>16</v>
      </c>
    </row>
    <row r="118" spans="1:10" ht="25.95" customHeight="1">
      <c r="A118" s="51" t="s">
        <v>151</v>
      </c>
      <c r="B118" s="52" t="s">
        <v>337</v>
      </c>
      <c r="C118" s="51" t="s">
        <v>29</v>
      </c>
      <c r="D118" s="51" t="s">
        <v>338</v>
      </c>
      <c r="E118" s="160" t="s">
        <v>184</v>
      </c>
      <c r="F118" s="160"/>
      <c r="G118" s="53" t="s">
        <v>31</v>
      </c>
      <c r="H118" s="54">
        <v>1</v>
      </c>
      <c r="I118" s="55">
        <f>'VOVÓ PESSOINHA'!G24</f>
        <v>3.19</v>
      </c>
      <c r="J118" s="128">
        <f t="shared" ref="J118:J121" si="14">ROUND(H118*I118,2)</f>
        <v>3.19</v>
      </c>
    </row>
    <row r="119" spans="1:10" ht="24" customHeight="1">
      <c r="A119" s="56" t="s">
        <v>153</v>
      </c>
      <c r="B119" s="57" t="s">
        <v>185</v>
      </c>
      <c r="C119" s="56" t="s">
        <v>29</v>
      </c>
      <c r="D119" s="56" t="s">
        <v>186</v>
      </c>
      <c r="E119" s="161" t="s">
        <v>152</v>
      </c>
      <c r="F119" s="161"/>
      <c r="G119" s="58" t="s">
        <v>24</v>
      </c>
      <c r="H119" s="59">
        <v>5.3999999999999999E-2</v>
      </c>
      <c r="I119" s="60">
        <v>26.6</v>
      </c>
      <c r="J119" s="128">
        <f t="shared" si="14"/>
        <v>1.44</v>
      </c>
    </row>
    <row r="120" spans="1:10" ht="24" customHeight="1">
      <c r="A120" s="56" t="s">
        <v>153</v>
      </c>
      <c r="B120" s="57" t="s">
        <v>156</v>
      </c>
      <c r="C120" s="56" t="s">
        <v>29</v>
      </c>
      <c r="D120" s="56" t="s">
        <v>157</v>
      </c>
      <c r="E120" s="161" t="s">
        <v>152</v>
      </c>
      <c r="F120" s="161"/>
      <c r="G120" s="58" t="s">
        <v>24</v>
      </c>
      <c r="H120" s="59">
        <v>1.4E-2</v>
      </c>
      <c r="I120" s="60">
        <v>20.420000000000002</v>
      </c>
      <c r="J120" s="128">
        <f t="shared" si="14"/>
        <v>0.28999999999999998</v>
      </c>
    </row>
    <row r="121" spans="1:10" ht="24" customHeight="1">
      <c r="A121" s="64" t="s">
        <v>164</v>
      </c>
      <c r="B121" s="65" t="s">
        <v>423</v>
      </c>
      <c r="C121" s="64" t="s">
        <v>29</v>
      </c>
      <c r="D121" s="64" t="s">
        <v>424</v>
      </c>
      <c r="E121" s="157" t="s">
        <v>167</v>
      </c>
      <c r="F121" s="157"/>
      <c r="G121" s="66" t="s">
        <v>175</v>
      </c>
      <c r="H121" s="67">
        <v>0.16</v>
      </c>
      <c r="I121" s="68">
        <v>9.2899999999999991</v>
      </c>
      <c r="J121" s="128">
        <f t="shared" si="14"/>
        <v>1.49</v>
      </c>
    </row>
    <row r="122" spans="1:10" ht="30" customHeight="1" thickBot="1">
      <c r="A122" s="61"/>
      <c r="B122" s="61"/>
      <c r="C122" s="61"/>
      <c r="D122" s="61"/>
      <c r="E122" s="61"/>
      <c r="F122" s="61"/>
      <c r="G122" s="61" t="s">
        <v>158</v>
      </c>
      <c r="H122" s="62">
        <f>'VOVÓ PESSOINHA'!F24</f>
        <v>1065.75</v>
      </c>
      <c r="I122" s="61" t="s">
        <v>159</v>
      </c>
      <c r="J122" s="127">
        <f>'VOVÓ PESSOINHA'!I24</f>
        <v>4177.6000000000004</v>
      </c>
    </row>
    <row r="123" spans="1:10" ht="1.05" customHeight="1" thickTop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</row>
    <row r="124" spans="1:10" ht="18" customHeight="1">
      <c r="A124" s="48" t="s">
        <v>63</v>
      </c>
      <c r="B124" s="49" t="s">
        <v>9</v>
      </c>
      <c r="C124" s="48" t="s">
        <v>10</v>
      </c>
      <c r="D124" s="48" t="s">
        <v>11</v>
      </c>
      <c r="E124" s="159" t="s">
        <v>150</v>
      </c>
      <c r="F124" s="159"/>
      <c r="G124" s="50" t="s">
        <v>12</v>
      </c>
      <c r="H124" s="49" t="s">
        <v>13</v>
      </c>
      <c r="I124" s="49" t="s">
        <v>14</v>
      </c>
      <c r="J124" s="49" t="s">
        <v>16</v>
      </c>
    </row>
    <row r="125" spans="1:10" ht="25.95" customHeight="1">
      <c r="A125" s="51" t="s">
        <v>151</v>
      </c>
      <c r="B125" s="52" t="s">
        <v>339</v>
      </c>
      <c r="C125" s="51" t="s">
        <v>29</v>
      </c>
      <c r="D125" s="51" t="s">
        <v>340</v>
      </c>
      <c r="E125" s="160" t="s">
        <v>184</v>
      </c>
      <c r="F125" s="160"/>
      <c r="G125" s="53" t="s">
        <v>31</v>
      </c>
      <c r="H125" s="54">
        <v>1</v>
      </c>
      <c r="I125" s="55">
        <f>'VOVÓ PESSOINHA'!G25</f>
        <v>16.21</v>
      </c>
      <c r="J125" s="128">
        <f t="shared" ref="J125:J128" si="15">ROUND(H125*I125,2)</f>
        <v>16.21</v>
      </c>
    </row>
    <row r="126" spans="1:10" ht="24" customHeight="1">
      <c r="A126" s="56" t="s">
        <v>153</v>
      </c>
      <c r="B126" s="57" t="s">
        <v>185</v>
      </c>
      <c r="C126" s="56" t="s">
        <v>29</v>
      </c>
      <c r="D126" s="56" t="s">
        <v>186</v>
      </c>
      <c r="E126" s="161" t="s">
        <v>152</v>
      </c>
      <c r="F126" s="161"/>
      <c r="G126" s="58" t="s">
        <v>24</v>
      </c>
      <c r="H126" s="59">
        <v>0.34399999999999997</v>
      </c>
      <c r="I126" s="60">
        <v>26.6</v>
      </c>
      <c r="J126" s="128">
        <f t="shared" si="15"/>
        <v>9.15</v>
      </c>
    </row>
    <row r="127" spans="1:10" ht="24" customHeight="1">
      <c r="A127" s="56" t="s">
        <v>153</v>
      </c>
      <c r="B127" s="57" t="s">
        <v>156</v>
      </c>
      <c r="C127" s="56" t="s">
        <v>29</v>
      </c>
      <c r="D127" s="56" t="s">
        <v>157</v>
      </c>
      <c r="E127" s="161" t="s">
        <v>152</v>
      </c>
      <c r="F127" s="161"/>
      <c r="G127" s="58" t="s">
        <v>24</v>
      </c>
      <c r="H127" s="59">
        <v>8.5999999999999993E-2</v>
      </c>
      <c r="I127" s="60">
        <v>20.420000000000002</v>
      </c>
      <c r="J127" s="128">
        <f t="shared" si="15"/>
        <v>1.76</v>
      </c>
    </row>
    <row r="128" spans="1:10" ht="24" customHeight="1">
      <c r="A128" s="64" t="s">
        <v>164</v>
      </c>
      <c r="B128" s="65" t="s">
        <v>425</v>
      </c>
      <c r="C128" s="64" t="s">
        <v>29</v>
      </c>
      <c r="D128" s="64" t="s">
        <v>426</v>
      </c>
      <c r="E128" s="157" t="s">
        <v>167</v>
      </c>
      <c r="F128" s="157"/>
      <c r="G128" s="66" t="s">
        <v>175</v>
      </c>
      <c r="H128" s="67">
        <v>0.2</v>
      </c>
      <c r="I128" s="68">
        <v>26.59</v>
      </c>
      <c r="J128" s="128">
        <f t="shared" si="15"/>
        <v>5.32</v>
      </c>
    </row>
    <row r="129" spans="1:10" ht="30" customHeight="1" thickBot="1">
      <c r="A129" s="61"/>
      <c r="B129" s="61"/>
      <c r="C129" s="61"/>
      <c r="D129" s="61"/>
      <c r="E129" s="61"/>
      <c r="F129" s="61"/>
      <c r="G129" s="61" t="s">
        <v>158</v>
      </c>
      <c r="H129" s="62">
        <f>'VOVÓ PESSOINHA'!F25</f>
        <v>1065.75</v>
      </c>
      <c r="I129" s="61" t="s">
        <v>159</v>
      </c>
      <c r="J129" s="127">
        <f>'VOVÓ PESSOINHA'!I25</f>
        <v>21228.51</v>
      </c>
    </row>
    <row r="130" spans="1:10" ht="1.05" customHeight="1" thickTop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</row>
    <row r="131" spans="1:10" ht="18" customHeight="1">
      <c r="A131" s="48" t="s">
        <v>500</v>
      </c>
      <c r="B131" s="49" t="s">
        <v>9</v>
      </c>
      <c r="C131" s="48" t="s">
        <v>10</v>
      </c>
      <c r="D131" s="48" t="s">
        <v>11</v>
      </c>
      <c r="E131" s="159" t="s">
        <v>150</v>
      </c>
      <c r="F131" s="159"/>
      <c r="G131" s="50" t="s">
        <v>12</v>
      </c>
      <c r="H131" s="49" t="s">
        <v>13</v>
      </c>
      <c r="I131" s="49" t="s">
        <v>14</v>
      </c>
      <c r="J131" s="49" t="s">
        <v>16</v>
      </c>
    </row>
    <row r="132" spans="1:10" ht="39" customHeight="1">
      <c r="A132" s="51" t="s">
        <v>151</v>
      </c>
      <c r="B132" s="52" t="s">
        <v>501</v>
      </c>
      <c r="C132" s="51" t="s">
        <v>29</v>
      </c>
      <c r="D132" s="51" t="s">
        <v>502</v>
      </c>
      <c r="E132" s="160" t="s">
        <v>184</v>
      </c>
      <c r="F132" s="160"/>
      <c r="G132" s="53" t="s">
        <v>31</v>
      </c>
      <c r="H132" s="54">
        <v>1</v>
      </c>
      <c r="I132" s="55">
        <f>'VOVÓ PESSOINHA'!G26</f>
        <v>15.95</v>
      </c>
      <c r="J132" s="128">
        <f t="shared" ref="J132:J135" si="16">ROUND(H132*I132,2)</f>
        <v>15.95</v>
      </c>
    </row>
    <row r="133" spans="1:10" ht="24" customHeight="1">
      <c r="A133" s="56" t="s">
        <v>153</v>
      </c>
      <c r="B133" s="57" t="s">
        <v>185</v>
      </c>
      <c r="C133" s="56" t="s">
        <v>29</v>
      </c>
      <c r="D133" s="56" t="s">
        <v>186</v>
      </c>
      <c r="E133" s="161" t="s">
        <v>152</v>
      </c>
      <c r="F133" s="161"/>
      <c r="G133" s="58" t="s">
        <v>24</v>
      </c>
      <c r="H133" s="59">
        <v>0.3805</v>
      </c>
      <c r="I133" s="60">
        <v>26.6</v>
      </c>
      <c r="J133" s="128">
        <f t="shared" si="16"/>
        <v>10.119999999999999</v>
      </c>
    </row>
    <row r="134" spans="1:10" ht="24" customHeight="1">
      <c r="A134" s="64" t="s">
        <v>164</v>
      </c>
      <c r="B134" s="65" t="s">
        <v>605</v>
      </c>
      <c r="C134" s="64" t="s">
        <v>29</v>
      </c>
      <c r="D134" s="64" t="s">
        <v>606</v>
      </c>
      <c r="E134" s="157" t="s">
        <v>167</v>
      </c>
      <c r="F134" s="157"/>
      <c r="G134" s="66" t="s">
        <v>175</v>
      </c>
      <c r="H134" s="67">
        <v>1.4E-2</v>
      </c>
      <c r="I134" s="68">
        <v>26.4</v>
      </c>
      <c r="J134" s="128">
        <f t="shared" si="16"/>
        <v>0.37</v>
      </c>
    </row>
    <row r="135" spans="1:10" ht="24" customHeight="1">
      <c r="A135" s="64" t="s">
        <v>164</v>
      </c>
      <c r="B135" s="65" t="s">
        <v>607</v>
      </c>
      <c r="C135" s="64" t="s">
        <v>29</v>
      </c>
      <c r="D135" s="64" t="s">
        <v>608</v>
      </c>
      <c r="E135" s="157" t="s">
        <v>167</v>
      </c>
      <c r="F135" s="157"/>
      <c r="G135" s="66" t="s">
        <v>175</v>
      </c>
      <c r="H135" s="67">
        <v>0.14030000000000001</v>
      </c>
      <c r="I135" s="68">
        <v>39.01</v>
      </c>
      <c r="J135" s="128">
        <f t="shared" si="16"/>
        <v>5.47</v>
      </c>
    </row>
    <row r="136" spans="1:10" ht="30" customHeight="1" thickBot="1">
      <c r="A136" s="61"/>
      <c r="B136" s="61"/>
      <c r="C136" s="61"/>
      <c r="D136" s="61"/>
      <c r="E136" s="61"/>
      <c r="F136" s="61"/>
      <c r="G136" s="61" t="s">
        <v>158</v>
      </c>
      <c r="H136" s="62">
        <f>'VOVÓ PESSOINHA'!F26</f>
        <v>68.489999999999995</v>
      </c>
      <c r="I136" s="61" t="s">
        <v>159</v>
      </c>
      <c r="J136" s="127">
        <f>'VOVÓ PESSOINHA'!I26</f>
        <v>1342.36</v>
      </c>
    </row>
    <row r="137" spans="1:10" ht="1.05" customHeight="1" thickTop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</row>
    <row r="138" spans="1:10" ht="18" customHeight="1">
      <c r="A138" s="48" t="s">
        <v>503</v>
      </c>
      <c r="B138" s="49" t="s">
        <v>9</v>
      </c>
      <c r="C138" s="48" t="s">
        <v>10</v>
      </c>
      <c r="D138" s="48" t="s">
        <v>11</v>
      </c>
      <c r="E138" s="159" t="s">
        <v>150</v>
      </c>
      <c r="F138" s="159"/>
      <c r="G138" s="50" t="s">
        <v>12</v>
      </c>
      <c r="H138" s="49" t="s">
        <v>13</v>
      </c>
      <c r="I138" s="49" t="s">
        <v>14</v>
      </c>
      <c r="J138" s="49" t="s">
        <v>16</v>
      </c>
    </row>
    <row r="139" spans="1:10" ht="52.05" customHeight="1">
      <c r="A139" s="51" t="s">
        <v>151</v>
      </c>
      <c r="B139" s="52" t="s">
        <v>504</v>
      </c>
      <c r="C139" s="51" t="s">
        <v>29</v>
      </c>
      <c r="D139" s="51" t="s">
        <v>505</v>
      </c>
      <c r="E139" s="160" t="s">
        <v>184</v>
      </c>
      <c r="F139" s="160"/>
      <c r="G139" s="53" t="s">
        <v>31</v>
      </c>
      <c r="H139" s="54">
        <v>1</v>
      </c>
      <c r="I139" s="55">
        <f>'VOVÓ PESSOINHA'!G27</f>
        <v>47.4</v>
      </c>
      <c r="J139" s="128">
        <f t="shared" ref="J139:J142" si="17">ROUND(H139*I139,2)</f>
        <v>47.4</v>
      </c>
    </row>
    <row r="140" spans="1:10" ht="24" customHeight="1">
      <c r="A140" s="56" t="s">
        <v>153</v>
      </c>
      <c r="B140" s="57" t="s">
        <v>185</v>
      </c>
      <c r="C140" s="56" t="s">
        <v>29</v>
      </c>
      <c r="D140" s="56" t="s">
        <v>186</v>
      </c>
      <c r="E140" s="161" t="s">
        <v>152</v>
      </c>
      <c r="F140" s="161"/>
      <c r="G140" s="58" t="s">
        <v>24</v>
      </c>
      <c r="H140" s="59">
        <v>1.0530999999999999</v>
      </c>
      <c r="I140" s="60">
        <v>26.6</v>
      </c>
      <c r="J140" s="128">
        <f t="shared" si="17"/>
        <v>28.01</v>
      </c>
    </row>
    <row r="141" spans="1:10" ht="24" customHeight="1">
      <c r="A141" s="64" t="s">
        <v>164</v>
      </c>
      <c r="B141" s="65" t="s">
        <v>605</v>
      </c>
      <c r="C141" s="64" t="s">
        <v>29</v>
      </c>
      <c r="D141" s="64" t="s">
        <v>606</v>
      </c>
      <c r="E141" s="157" t="s">
        <v>167</v>
      </c>
      <c r="F141" s="157"/>
      <c r="G141" s="66" t="s">
        <v>175</v>
      </c>
      <c r="H141" s="67">
        <v>0.124</v>
      </c>
      <c r="I141" s="68">
        <v>26.4</v>
      </c>
      <c r="J141" s="128">
        <f t="shared" si="17"/>
        <v>3.27</v>
      </c>
    </row>
    <row r="142" spans="1:10" ht="24" customHeight="1">
      <c r="A142" s="64" t="s">
        <v>164</v>
      </c>
      <c r="B142" s="65" t="s">
        <v>607</v>
      </c>
      <c r="C142" s="64" t="s">
        <v>29</v>
      </c>
      <c r="D142" s="64" t="s">
        <v>608</v>
      </c>
      <c r="E142" s="157" t="s">
        <v>167</v>
      </c>
      <c r="F142" s="157"/>
      <c r="G142" s="66" t="s">
        <v>175</v>
      </c>
      <c r="H142" s="67">
        <v>0.41339999999999999</v>
      </c>
      <c r="I142" s="68">
        <v>39.01</v>
      </c>
      <c r="J142" s="128">
        <f t="shared" si="17"/>
        <v>16.13</v>
      </c>
    </row>
    <row r="143" spans="1:10" ht="30" customHeight="1" thickBot="1">
      <c r="A143" s="61"/>
      <c r="B143" s="61"/>
      <c r="C143" s="61"/>
      <c r="D143" s="61"/>
      <c r="E143" s="61"/>
      <c r="F143" s="61"/>
      <c r="G143" s="61" t="s">
        <v>158</v>
      </c>
      <c r="H143" s="62">
        <f>'VOVÓ PESSOINHA'!F27</f>
        <v>15.27</v>
      </c>
      <c r="I143" s="61" t="s">
        <v>159</v>
      </c>
      <c r="J143" s="127">
        <f>'VOVÓ PESSOINHA'!I27</f>
        <v>889.4</v>
      </c>
    </row>
    <row r="144" spans="1:10" ht="1.05" customHeight="1" thickTop="1">
      <c r="A144" s="63"/>
      <c r="B144" s="63"/>
      <c r="C144" s="63"/>
      <c r="D144" s="63"/>
      <c r="E144" s="63"/>
      <c r="F144" s="63"/>
      <c r="G144" s="63"/>
      <c r="H144" s="63"/>
      <c r="I144" s="63"/>
      <c r="J144" s="129"/>
    </row>
    <row r="145" spans="1:11" ht="24" customHeight="1">
      <c r="A145" s="45" t="s">
        <v>66</v>
      </c>
      <c r="B145" s="45"/>
      <c r="C145" s="45"/>
      <c r="D145" s="45" t="s">
        <v>506</v>
      </c>
      <c r="E145" s="45"/>
      <c r="F145" s="158"/>
      <c r="G145" s="158"/>
      <c r="H145" s="46"/>
      <c r="I145" s="45"/>
      <c r="J145" s="130">
        <f>SUM(J154,J164,J177,J185,J195,J203)</f>
        <v>8585.39</v>
      </c>
    </row>
    <row r="146" spans="1:11" ht="18" customHeight="1">
      <c r="A146" s="48" t="s">
        <v>68</v>
      </c>
      <c r="B146" s="49" t="s">
        <v>9</v>
      </c>
      <c r="C146" s="48" t="s">
        <v>10</v>
      </c>
      <c r="D146" s="48" t="s">
        <v>11</v>
      </c>
      <c r="E146" s="159" t="s">
        <v>150</v>
      </c>
      <c r="F146" s="159"/>
      <c r="G146" s="50" t="s">
        <v>12</v>
      </c>
      <c r="H146" s="49" t="s">
        <v>13</v>
      </c>
      <c r="I146" s="49" t="s">
        <v>14</v>
      </c>
      <c r="J146" s="49" t="s">
        <v>16</v>
      </c>
    </row>
    <row r="147" spans="1:11" ht="25.95" customHeight="1">
      <c r="A147" s="51" t="s">
        <v>151</v>
      </c>
      <c r="B147" s="52" t="s">
        <v>44</v>
      </c>
      <c r="C147" s="51" t="s">
        <v>22</v>
      </c>
      <c r="D147" s="51" t="s">
        <v>45</v>
      </c>
      <c r="E147" s="160" t="s">
        <v>152</v>
      </c>
      <c r="F147" s="160"/>
      <c r="G147" s="53" t="s">
        <v>46</v>
      </c>
      <c r="H147" s="54">
        <v>1</v>
      </c>
      <c r="I147" s="55">
        <f>'VOVÓ PESSOINHA'!G29</f>
        <v>123.61</v>
      </c>
      <c r="J147" s="128">
        <f t="shared" ref="J147:J153" si="18">ROUND(H147*I147,2)</f>
        <v>123.61</v>
      </c>
      <c r="K147" s="143"/>
    </row>
    <row r="148" spans="1:11" ht="24" customHeight="1">
      <c r="A148" s="56" t="s">
        <v>153</v>
      </c>
      <c r="B148" s="57" t="s">
        <v>193</v>
      </c>
      <c r="C148" s="56" t="s">
        <v>29</v>
      </c>
      <c r="D148" s="56" t="s">
        <v>194</v>
      </c>
      <c r="E148" s="161" t="s">
        <v>152</v>
      </c>
      <c r="F148" s="161"/>
      <c r="G148" s="58" t="s">
        <v>24</v>
      </c>
      <c r="H148" s="59">
        <v>2</v>
      </c>
      <c r="I148" s="60">
        <v>25.69</v>
      </c>
      <c r="J148" s="128">
        <f t="shared" si="18"/>
        <v>51.38</v>
      </c>
      <c r="K148" s="143"/>
    </row>
    <row r="149" spans="1:11" ht="24" customHeight="1">
      <c r="A149" s="56" t="s">
        <v>153</v>
      </c>
      <c r="B149" s="57" t="s">
        <v>156</v>
      </c>
      <c r="C149" s="56" t="s">
        <v>29</v>
      </c>
      <c r="D149" s="56" t="s">
        <v>157</v>
      </c>
      <c r="E149" s="161" t="s">
        <v>152</v>
      </c>
      <c r="F149" s="161"/>
      <c r="G149" s="58" t="s">
        <v>24</v>
      </c>
      <c r="H149" s="59">
        <v>1</v>
      </c>
      <c r="I149" s="60">
        <v>20.420000000000002</v>
      </c>
      <c r="J149" s="128">
        <f t="shared" si="18"/>
        <v>20.420000000000002</v>
      </c>
    </row>
    <row r="150" spans="1:11" ht="25.95" customHeight="1">
      <c r="A150" s="64" t="s">
        <v>164</v>
      </c>
      <c r="B150" s="65" t="s">
        <v>195</v>
      </c>
      <c r="C150" s="64" t="s">
        <v>29</v>
      </c>
      <c r="D150" s="64" t="s">
        <v>196</v>
      </c>
      <c r="E150" s="157" t="s">
        <v>167</v>
      </c>
      <c r="F150" s="157"/>
      <c r="G150" s="66" t="s">
        <v>126</v>
      </c>
      <c r="H150" s="67">
        <v>6.0000000000000001E-3</v>
      </c>
      <c r="I150" s="68">
        <v>27</v>
      </c>
      <c r="J150" s="128">
        <f t="shared" si="18"/>
        <v>0.16</v>
      </c>
    </row>
    <row r="151" spans="1:11" ht="25.95" customHeight="1">
      <c r="A151" s="64" t="s">
        <v>164</v>
      </c>
      <c r="B151" s="65" t="s">
        <v>197</v>
      </c>
      <c r="C151" s="64" t="s">
        <v>29</v>
      </c>
      <c r="D151" s="64" t="s">
        <v>198</v>
      </c>
      <c r="E151" s="157" t="s">
        <v>167</v>
      </c>
      <c r="F151" s="157"/>
      <c r="G151" s="66" t="s">
        <v>40</v>
      </c>
      <c r="H151" s="67">
        <v>12</v>
      </c>
      <c r="I151" s="68">
        <v>2.6</v>
      </c>
      <c r="J151" s="128">
        <f t="shared" si="18"/>
        <v>31.2</v>
      </c>
    </row>
    <row r="152" spans="1:11" ht="25.95" customHeight="1">
      <c r="A152" s="64" t="s">
        <v>164</v>
      </c>
      <c r="B152" s="65" t="s">
        <v>199</v>
      </c>
      <c r="C152" s="64" t="s">
        <v>29</v>
      </c>
      <c r="D152" s="64" t="s">
        <v>200</v>
      </c>
      <c r="E152" s="157" t="s">
        <v>167</v>
      </c>
      <c r="F152" s="157"/>
      <c r="G152" s="66" t="s">
        <v>59</v>
      </c>
      <c r="H152" s="67">
        <v>0.5</v>
      </c>
      <c r="I152" s="68">
        <v>23.96</v>
      </c>
      <c r="J152" s="128">
        <f t="shared" si="18"/>
        <v>11.98</v>
      </c>
    </row>
    <row r="153" spans="1:11" ht="24" customHeight="1">
      <c r="A153" s="64" t="s">
        <v>164</v>
      </c>
      <c r="B153" s="65" t="s">
        <v>201</v>
      </c>
      <c r="C153" s="64" t="s">
        <v>29</v>
      </c>
      <c r="D153" s="64" t="s">
        <v>202</v>
      </c>
      <c r="E153" s="157" t="s">
        <v>167</v>
      </c>
      <c r="F153" s="157"/>
      <c r="G153" s="66" t="s">
        <v>59</v>
      </c>
      <c r="H153" s="67">
        <v>1</v>
      </c>
      <c r="I153" s="68">
        <v>8.4700000000000006</v>
      </c>
      <c r="J153" s="128">
        <f t="shared" si="18"/>
        <v>8.4700000000000006</v>
      </c>
    </row>
    <row r="154" spans="1:11" ht="30" customHeight="1" thickBot="1">
      <c r="A154" s="61"/>
      <c r="B154" s="61"/>
      <c r="C154" s="61"/>
      <c r="D154" s="61"/>
      <c r="E154" s="61"/>
      <c r="F154" s="61"/>
      <c r="G154" s="61" t="s">
        <v>158</v>
      </c>
      <c r="H154" s="62">
        <f>'VOVÓ PESSOINHA'!F29</f>
        <v>10</v>
      </c>
      <c r="I154" s="61" t="s">
        <v>159</v>
      </c>
      <c r="J154" s="127">
        <f>'VOVÓ PESSOINHA'!I29</f>
        <v>1518.92</v>
      </c>
    </row>
    <row r="155" spans="1:11" ht="1.05" customHeight="1" thickTop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</row>
    <row r="156" spans="1:11" ht="18" customHeight="1">
      <c r="A156" s="48" t="s">
        <v>72</v>
      </c>
      <c r="B156" s="49" t="s">
        <v>9</v>
      </c>
      <c r="C156" s="48" t="s">
        <v>10</v>
      </c>
      <c r="D156" s="48" t="s">
        <v>11</v>
      </c>
      <c r="E156" s="159" t="s">
        <v>150</v>
      </c>
      <c r="F156" s="159"/>
      <c r="G156" s="50" t="s">
        <v>12</v>
      </c>
      <c r="H156" s="49" t="s">
        <v>13</v>
      </c>
      <c r="I156" s="49" t="s">
        <v>14</v>
      </c>
      <c r="J156" s="49" t="s">
        <v>16</v>
      </c>
    </row>
    <row r="157" spans="1:11" ht="25.95" customHeight="1">
      <c r="A157" s="51" t="s">
        <v>151</v>
      </c>
      <c r="B157" s="52" t="s">
        <v>48</v>
      </c>
      <c r="C157" s="51" t="s">
        <v>22</v>
      </c>
      <c r="D157" s="51" t="s">
        <v>49</v>
      </c>
      <c r="E157" s="160" t="s">
        <v>152</v>
      </c>
      <c r="F157" s="160"/>
      <c r="G157" s="53" t="s">
        <v>46</v>
      </c>
      <c r="H157" s="54">
        <v>1</v>
      </c>
      <c r="I157" s="55">
        <f>'VOVÓ PESSOINHA'!G30</f>
        <v>122.58</v>
      </c>
      <c r="J157" s="128">
        <f t="shared" ref="J157:J163" si="19">ROUND(H157*I157,2)</f>
        <v>122.58</v>
      </c>
      <c r="K157" s="143"/>
    </row>
    <row r="158" spans="1:11" ht="24" customHeight="1">
      <c r="A158" s="56" t="s">
        <v>153</v>
      </c>
      <c r="B158" s="57" t="s">
        <v>193</v>
      </c>
      <c r="C158" s="56" t="s">
        <v>29</v>
      </c>
      <c r="D158" s="56" t="s">
        <v>194</v>
      </c>
      <c r="E158" s="161" t="s">
        <v>152</v>
      </c>
      <c r="F158" s="161"/>
      <c r="G158" s="58" t="s">
        <v>24</v>
      </c>
      <c r="H158" s="59">
        <v>2</v>
      </c>
      <c r="I158" s="60">
        <v>25.69</v>
      </c>
      <c r="J158" s="128">
        <f t="shared" si="19"/>
        <v>51.38</v>
      </c>
      <c r="K158" s="143"/>
    </row>
    <row r="159" spans="1:11" ht="24" customHeight="1">
      <c r="A159" s="56" t="s">
        <v>153</v>
      </c>
      <c r="B159" s="57" t="s">
        <v>156</v>
      </c>
      <c r="C159" s="56" t="s">
        <v>29</v>
      </c>
      <c r="D159" s="56" t="s">
        <v>157</v>
      </c>
      <c r="E159" s="161" t="s">
        <v>152</v>
      </c>
      <c r="F159" s="161"/>
      <c r="G159" s="58" t="s">
        <v>24</v>
      </c>
      <c r="H159" s="59">
        <v>1</v>
      </c>
      <c r="I159" s="60">
        <v>20.420000000000002</v>
      </c>
      <c r="J159" s="128">
        <f t="shared" si="19"/>
        <v>20.420000000000002</v>
      </c>
    </row>
    <row r="160" spans="1:11" ht="25.95" customHeight="1">
      <c r="A160" s="64" t="s">
        <v>164</v>
      </c>
      <c r="B160" s="65" t="s">
        <v>195</v>
      </c>
      <c r="C160" s="64" t="s">
        <v>29</v>
      </c>
      <c r="D160" s="64" t="s">
        <v>196</v>
      </c>
      <c r="E160" s="157" t="s">
        <v>167</v>
      </c>
      <c r="F160" s="157"/>
      <c r="G160" s="66" t="s">
        <v>126</v>
      </c>
      <c r="H160" s="67">
        <v>6.0000000000000001E-3</v>
      </c>
      <c r="I160" s="68">
        <v>27</v>
      </c>
      <c r="J160" s="128">
        <f t="shared" si="19"/>
        <v>0.16</v>
      </c>
    </row>
    <row r="161" spans="1:10" ht="25.95" customHeight="1">
      <c r="A161" s="64" t="s">
        <v>164</v>
      </c>
      <c r="B161" s="65" t="s">
        <v>197</v>
      </c>
      <c r="C161" s="64" t="s">
        <v>29</v>
      </c>
      <c r="D161" s="64" t="s">
        <v>198</v>
      </c>
      <c r="E161" s="157" t="s">
        <v>167</v>
      </c>
      <c r="F161" s="157"/>
      <c r="G161" s="66" t="s">
        <v>40</v>
      </c>
      <c r="H161" s="67">
        <v>12</v>
      </c>
      <c r="I161" s="68">
        <v>2.6</v>
      </c>
      <c r="J161" s="128">
        <f t="shared" si="19"/>
        <v>31.2</v>
      </c>
    </row>
    <row r="162" spans="1:10" ht="25.95" customHeight="1">
      <c r="A162" s="64" t="s">
        <v>164</v>
      </c>
      <c r="B162" s="65" t="s">
        <v>199</v>
      </c>
      <c r="C162" s="64" t="s">
        <v>29</v>
      </c>
      <c r="D162" s="64" t="s">
        <v>200</v>
      </c>
      <c r="E162" s="157" t="s">
        <v>167</v>
      </c>
      <c r="F162" s="157"/>
      <c r="G162" s="66" t="s">
        <v>59</v>
      </c>
      <c r="H162" s="67">
        <v>0.5</v>
      </c>
      <c r="I162" s="68">
        <v>23.96</v>
      </c>
      <c r="J162" s="128">
        <f t="shared" si="19"/>
        <v>11.98</v>
      </c>
    </row>
    <row r="163" spans="1:10" ht="24" customHeight="1">
      <c r="A163" s="64" t="s">
        <v>164</v>
      </c>
      <c r="B163" s="65" t="s">
        <v>203</v>
      </c>
      <c r="C163" s="64" t="s">
        <v>29</v>
      </c>
      <c r="D163" s="64" t="s">
        <v>204</v>
      </c>
      <c r="E163" s="157" t="s">
        <v>167</v>
      </c>
      <c r="F163" s="157"/>
      <c r="G163" s="66" t="s">
        <v>59</v>
      </c>
      <c r="H163" s="67">
        <v>1</v>
      </c>
      <c r="I163" s="68">
        <v>7.44</v>
      </c>
      <c r="J163" s="128">
        <f t="shared" si="19"/>
        <v>7.44</v>
      </c>
    </row>
    <row r="164" spans="1:10" ht="30" customHeight="1" thickBot="1">
      <c r="A164" s="61"/>
      <c r="B164" s="61"/>
      <c r="C164" s="61"/>
      <c r="D164" s="61"/>
      <c r="E164" s="61"/>
      <c r="F164" s="61"/>
      <c r="G164" s="61" t="s">
        <v>158</v>
      </c>
      <c r="H164" s="62">
        <f>'VOVÓ PESSOINHA'!F30</f>
        <v>10</v>
      </c>
      <c r="I164" s="61" t="s">
        <v>159</v>
      </c>
      <c r="J164" s="127">
        <f>'VOVÓ PESSOINHA'!I30</f>
        <v>1506.26</v>
      </c>
    </row>
    <row r="165" spans="1:10" ht="1.05" customHeight="1" thickTop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</row>
    <row r="166" spans="1:10" ht="18" customHeight="1">
      <c r="A166" s="48" t="s">
        <v>75</v>
      </c>
      <c r="B166" s="49" t="s">
        <v>9</v>
      </c>
      <c r="C166" s="48" t="s">
        <v>10</v>
      </c>
      <c r="D166" s="48" t="s">
        <v>11</v>
      </c>
      <c r="E166" s="159" t="s">
        <v>150</v>
      </c>
      <c r="F166" s="159"/>
      <c r="G166" s="50" t="s">
        <v>12</v>
      </c>
      <c r="H166" s="49" t="s">
        <v>13</v>
      </c>
      <c r="I166" s="49" t="s">
        <v>14</v>
      </c>
      <c r="J166" s="49" t="s">
        <v>16</v>
      </c>
    </row>
    <row r="167" spans="1:10" ht="39" customHeight="1">
      <c r="A167" s="51" t="s">
        <v>151</v>
      </c>
      <c r="B167" s="52" t="s">
        <v>507</v>
      </c>
      <c r="C167" s="51" t="s">
        <v>29</v>
      </c>
      <c r="D167" s="51" t="s">
        <v>508</v>
      </c>
      <c r="E167" s="160" t="s">
        <v>431</v>
      </c>
      <c r="F167" s="160"/>
      <c r="G167" s="53" t="s">
        <v>59</v>
      </c>
      <c r="H167" s="54">
        <v>1</v>
      </c>
      <c r="I167" s="55">
        <f>'VOVÓ PESSOINHA'!G31</f>
        <v>180.33</v>
      </c>
      <c r="J167" s="128">
        <f t="shared" ref="J167:J176" si="20">ROUND(H167*I167,2)</f>
        <v>180.33</v>
      </c>
    </row>
    <row r="168" spans="1:10" ht="25.95" customHeight="1">
      <c r="A168" s="56" t="s">
        <v>153</v>
      </c>
      <c r="B168" s="57" t="s">
        <v>609</v>
      </c>
      <c r="C168" s="56" t="s">
        <v>29</v>
      </c>
      <c r="D168" s="56" t="s">
        <v>610</v>
      </c>
      <c r="E168" s="161" t="s">
        <v>216</v>
      </c>
      <c r="F168" s="161"/>
      <c r="G168" s="58" t="s">
        <v>40</v>
      </c>
      <c r="H168" s="59">
        <v>2.2000000000000002</v>
      </c>
      <c r="I168" s="60">
        <v>6.22</v>
      </c>
      <c r="J168" s="128">
        <f t="shared" si="20"/>
        <v>13.68</v>
      </c>
    </row>
    <row r="169" spans="1:10" ht="25.95" customHeight="1">
      <c r="A169" s="56" t="s">
        <v>153</v>
      </c>
      <c r="B169" s="57" t="s">
        <v>611</v>
      </c>
      <c r="C169" s="56" t="s">
        <v>29</v>
      </c>
      <c r="D169" s="56" t="s">
        <v>612</v>
      </c>
      <c r="E169" s="161" t="s">
        <v>216</v>
      </c>
      <c r="F169" s="161"/>
      <c r="G169" s="58" t="s">
        <v>59</v>
      </c>
      <c r="H169" s="59">
        <v>1</v>
      </c>
      <c r="I169" s="60">
        <v>3.99</v>
      </c>
      <c r="J169" s="128">
        <f t="shared" si="20"/>
        <v>3.99</v>
      </c>
    </row>
    <row r="170" spans="1:10" ht="39" customHeight="1">
      <c r="A170" s="56" t="s">
        <v>153</v>
      </c>
      <c r="B170" s="57" t="s">
        <v>613</v>
      </c>
      <c r="C170" s="56" t="s">
        <v>29</v>
      </c>
      <c r="D170" s="56" t="s">
        <v>614</v>
      </c>
      <c r="E170" s="161" t="s">
        <v>216</v>
      </c>
      <c r="F170" s="161"/>
      <c r="G170" s="58" t="s">
        <v>40</v>
      </c>
      <c r="H170" s="59">
        <v>2.2000000000000002</v>
      </c>
      <c r="I170" s="60">
        <v>12.67</v>
      </c>
      <c r="J170" s="128">
        <f t="shared" si="20"/>
        <v>27.87</v>
      </c>
    </row>
    <row r="171" spans="1:10" ht="39" customHeight="1">
      <c r="A171" s="56" t="s">
        <v>153</v>
      </c>
      <c r="B171" s="57" t="s">
        <v>615</v>
      </c>
      <c r="C171" s="56" t="s">
        <v>29</v>
      </c>
      <c r="D171" s="56" t="s">
        <v>616</v>
      </c>
      <c r="E171" s="161" t="s">
        <v>431</v>
      </c>
      <c r="F171" s="161"/>
      <c r="G171" s="58" t="s">
        <v>40</v>
      </c>
      <c r="H171" s="59">
        <v>2</v>
      </c>
      <c r="I171" s="60">
        <v>6.18</v>
      </c>
      <c r="J171" s="128">
        <f t="shared" si="20"/>
        <v>12.36</v>
      </c>
    </row>
    <row r="172" spans="1:10" ht="39" customHeight="1">
      <c r="A172" s="56" t="s">
        <v>153</v>
      </c>
      <c r="B172" s="57" t="s">
        <v>617</v>
      </c>
      <c r="C172" s="56" t="s">
        <v>29</v>
      </c>
      <c r="D172" s="56" t="s">
        <v>618</v>
      </c>
      <c r="E172" s="161" t="s">
        <v>431</v>
      </c>
      <c r="F172" s="161"/>
      <c r="G172" s="58" t="s">
        <v>40</v>
      </c>
      <c r="H172" s="59">
        <v>2.2000000000000002</v>
      </c>
      <c r="I172" s="60">
        <v>8.5299999999999994</v>
      </c>
      <c r="J172" s="128">
        <f t="shared" si="20"/>
        <v>18.77</v>
      </c>
    </row>
    <row r="173" spans="1:10" ht="39" customHeight="1">
      <c r="A173" s="56" t="s">
        <v>153</v>
      </c>
      <c r="B173" s="57" t="s">
        <v>509</v>
      </c>
      <c r="C173" s="56" t="s">
        <v>29</v>
      </c>
      <c r="D173" s="56" t="s">
        <v>510</v>
      </c>
      <c r="E173" s="161" t="s">
        <v>431</v>
      </c>
      <c r="F173" s="161"/>
      <c r="G173" s="58" t="s">
        <v>40</v>
      </c>
      <c r="H173" s="59">
        <v>12.6</v>
      </c>
      <c r="I173" s="60">
        <v>4.22</v>
      </c>
      <c r="J173" s="128">
        <f t="shared" si="20"/>
        <v>53.17</v>
      </c>
    </row>
    <row r="174" spans="1:10" ht="25.95" customHeight="1">
      <c r="A174" s="56" t="s">
        <v>153</v>
      </c>
      <c r="B174" s="57" t="s">
        <v>619</v>
      </c>
      <c r="C174" s="56" t="s">
        <v>29</v>
      </c>
      <c r="D174" s="56" t="s">
        <v>620</v>
      </c>
      <c r="E174" s="161" t="s">
        <v>431</v>
      </c>
      <c r="F174" s="161"/>
      <c r="G174" s="58" t="s">
        <v>59</v>
      </c>
      <c r="H174" s="59">
        <v>0.375</v>
      </c>
      <c r="I174" s="60">
        <v>12.63</v>
      </c>
      <c r="J174" s="128">
        <f t="shared" si="20"/>
        <v>4.74</v>
      </c>
    </row>
    <row r="175" spans="1:10" ht="39" customHeight="1">
      <c r="A175" s="56" t="s">
        <v>153</v>
      </c>
      <c r="B175" s="57" t="s">
        <v>621</v>
      </c>
      <c r="C175" s="56" t="s">
        <v>29</v>
      </c>
      <c r="D175" s="56" t="s">
        <v>622</v>
      </c>
      <c r="E175" s="161" t="s">
        <v>431</v>
      </c>
      <c r="F175" s="161"/>
      <c r="G175" s="58" t="s">
        <v>59</v>
      </c>
      <c r="H175" s="59">
        <v>1</v>
      </c>
      <c r="I175" s="60">
        <v>15.27</v>
      </c>
      <c r="J175" s="128">
        <f t="shared" si="20"/>
        <v>15.27</v>
      </c>
    </row>
    <row r="176" spans="1:10" ht="39" customHeight="1">
      <c r="A176" s="56" t="s">
        <v>153</v>
      </c>
      <c r="B176" s="57" t="s">
        <v>623</v>
      </c>
      <c r="C176" s="56" t="s">
        <v>29</v>
      </c>
      <c r="D176" s="56" t="s">
        <v>624</v>
      </c>
      <c r="E176" s="161" t="s">
        <v>431</v>
      </c>
      <c r="F176" s="161"/>
      <c r="G176" s="58" t="s">
        <v>59</v>
      </c>
      <c r="H176" s="59">
        <v>1</v>
      </c>
      <c r="I176" s="60">
        <v>30.5</v>
      </c>
      <c r="J176" s="128">
        <f t="shared" si="20"/>
        <v>30.5</v>
      </c>
    </row>
    <row r="177" spans="1:11" ht="30" customHeight="1" thickBot="1">
      <c r="A177" s="61"/>
      <c r="B177" s="61"/>
      <c r="C177" s="61"/>
      <c r="D177" s="61"/>
      <c r="E177" s="61"/>
      <c r="F177" s="61"/>
      <c r="G177" s="61" t="s">
        <v>158</v>
      </c>
      <c r="H177" s="62">
        <f>'VOVÓ PESSOINHA'!F31</f>
        <v>6</v>
      </c>
      <c r="I177" s="61" t="s">
        <v>159</v>
      </c>
      <c r="J177" s="127">
        <f>'VOVÓ PESSOINHA'!I31</f>
        <v>1329.54</v>
      </c>
    </row>
    <row r="178" spans="1:11" ht="1.05" customHeight="1" thickTop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</row>
    <row r="179" spans="1:11" ht="18" customHeight="1">
      <c r="A179" s="48" t="s">
        <v>78</v>
      </c>
      <c r="B179" s="49" t="s">
        <v>9</v>
      </c>
      <c r="C179" s="48" t="s">
        <v>10</v>
      </c>
      <c r="D179" s="48" t="s">
        <v>11</v>
      </c>
      <c r="E179" s="159" t="s">
        <v>150</v>
      </c>
      <c r="F179" s="159"/>
      <c r="G179" s="50" t="s">
        <v>12</v>
      </c>
      <c r="H179" s="49" t="s">
        <v>13</v>
      </c>
      <c r="I179" s="49" t="s">
        <v>14</v>
      </c>
      <c r="J179" s="49" t="s">
        <v>16</v>
      </c>
    </row>
    <row r="180" spans="1:11" ht="39" customHeight="1">
      <c r="A180" s="51" t="s">
        <v>151</v>
      </c>
      <c r="B180" s="52" t="s">
        <v>509</v>
      </c>
      <c r="C180" s="51" t="s">
        <v>29</v>
      </c>
      <c r="D180" s="51" t="s">
        <v>510</v>
      </c>
      <c r="E180" s="160" t="s">
        <v>431</v>
      </c>
      <c r="F180" s="160"/>
      <c r="G180" s="53" t="s">
        <v>40</v>
      </c>
      <c r="H180" s="54">
        <v>1</v>
      </c>
      <c r="I180" s="55">
        <f>'VOVÓ PESSOINHA'!G32</f>
        <v>4.22</v>
      </c>
      <c r="J180" s="128">
        <f t="shared" ref="J180:J184" si="21">ROUND(H180*I180,2)</f>
        <v>4.22</v>
      </c>
    </row>
    <row r="181" spans="1:11" ht="25.95" customHeight="1">
      <c r="A181" s="56" t="s">
        <v>153</v>
      </c>
      <c r="B181" s="57" t="s">
        <v>432</v>
      </c>
      <c r="C181" s="56" t="s">
        <v>29</v>
      </c>
      <c r="D181" s="56" t="s">
        <v>433</v>
      </c>
      <c r="E181" s="161" t="s">
        <v>152</v>
      </c>
      <c r="F181" s="161"/>
      <c r="G181" s="58" t="s">
        <v>24</v>
      </c>
      <c r="H181" s="59">
        <v>0.03</v>
      </c>
      <c r="I181" s="60">
        <v>20</v>
      </c>
      <c r="J181" s="128">
        <f t="shared" si="21"/>
        <v>0.6</v>
      </c>
    </row>
    <row r="182" spans="1:11" ht="24" customHeight="1">
      <c r="A182" s="56" t="s">
        <v>153</v>
      </c>
      <c r="B182" s="57" t="s">
        <v>193</v>
      </c>
      <c r="C182" s="56" t="s">
        <v>29</v>
      </c>
      <c r="D182" s="56" t="s">
        <v>194</v>
      </c>
      <c r="E182" s="161" t="s">
        <v>152</v>
      </c>
      <c r="F182" s="161"/>
      <c r="G182" s="58" t="s">
        <v>24</v>
      </c>
      <c r="H182" s="59">
        <v>0.03</v>
      </c>
      <c r="I182" s="60">
        <v>25.69</v>
      </c>
      <c r="J182" s="128">
        <f t="shared" si="21"/>
        <v>0.77</v>
      </c>
    </row>
    <row r="183" spans="1:11" ht="39" customHeight="1">
      <c r="A183" s="64" t="s">
        <v>164</v>
      </c>
      <c r="B183" s="65" t="s">
        <v>625</v>
      </c>
      <c r="C183" s="64" t="s">
        <v>29</v>
      </c>
      <c r="D183" s="64" t="s">
        <v>626</v>
      </c>
      <c r="E183" s="157" t="s">
        <v>167</v>
      </c>
      <c r="F183" s="157"/>
      <c r="G183" s="66" t="s">
        <v>40</v>
      </c>
      <c r="H183" s="67">
        <v>1.19</v>
      </c>
      <c r="I183" s="68">
        <v>2.33</v>
      </c>
      <c r="J183" s="128">
        <f t="shared" si="21"/>
        <v>2.77</v>
      </c>
    </row>
    <row r="184" spans="1:11" ht="25.95" customHeight="1">
      <c r="A184" s="64" t="s">
        <v>164</v>
      </c>
      <c r="B184" s="65" t="s">
        <v>627</v>
      </c>
      <c r="C184" s="64" t="s">
        <v>29</v>
      </c>
      <c r="D184" s="64" t="s">
        <v>628</v>
      </c>
      <c r="E184" s="157" t="s">
        <v>167</v>
      </c>
      <c r="F184" s="157"/>
      <c r="G184" s="66" t="s">
        <v>59</v>
      </c>
      <c r="H184" s="67">
        <v>8.9999999999999993E-3</v>
      </c>
      <c r="I184" s="68">
        <v>9.06</v>
      </c>
      <c r="J184" s="128">
        <f t="shared" si="21"/>
        <v>0.08</v>
      </c>
    </row>
    <row r="185" spans="1:11" ht="30" customHeight="1" thickBot="1">
      <c r="A185" s="61"/>
      <c r="B185" s="61"/>
      <c r="C185" s="61"/>
      <c r="D185" s="61"/>
      <c r="E185" s="61"/>
      <c r="F185" s="61"/>
      <c r="G185" s="61" t="s">
        <v>158</v>
      </c>
      <c r="H185" s="62">
        <f>'VOVÓ PESSOINHA'!F32</f>
        <v>500</v>
      </c>
      <c r="I185" s="61" t="s">
        <v>159</v>
      </c>
      <c r="J185" s="127">
        <f>'VOVÓ PESSOINHA'!I32</f>
        <v>2592.77</v>
      </c>
    </row>
    <row r="186" spans="1:11" ht="1.05" customHeight="1" thickTop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</row>
    <row r="187" spans="1:11" ht="18" customHeight="1">
      <c r="A187" s="48" t="s">
        <v>511</v>
      </c>
      <c r="B187" s="49" t="s">
        <v>9</v>
      </c>
      <c r="C187" s="48" t="s">
        <v>10</v>
      </c>
      <c r="D187" s="48" t="s">
        <v>11</v>
      </c>
      <c r="E187" s="159" t="s">
        <v>150</v>
      </c>
      <c r="F187" s="159"/>
      <c r="G187" s="50" t="s">
        <v>12</v>
      </c>
      <c r="H187" s="49" t="s">
        <v>13</v>
      </c>
      <c r="I187" s="49" t="s">
        <v>14</v>
      </c>
      <c r="J187" s="49" t="s">
        <v>16</v>
      </c>
    </row>
    <row r="188" spans="1:11" ht="24" customHeight="1">
      <c r="A188" s="51" t="s">
        <v>151</v>
      </c>
      <c r="B188" s="52" t="s">
        <v>341</v>
      </c>
      <c r="C188" s="51" t="s">
        <v>22</v>
      </c>
      <c r="D188" s="51" t="s">
        <v>342</v>
      </c>
      <c r="E188" s="160" t="s">
        <v>205</v>
      </c>
      <c r="F188" s="160"/>
      <c r="G188" s="53" t="s">
        <v>46</v>
      </c>
      <c r="H188" s="54">
        <v>1</v>
      </c>
      <c r="I188" s="55">
        <f>'VOVÓ PESSOINHA'!G33</f>
        <v>191.22</v>
      </c>
      <c r="J188" s="128">
        <f t="shared" ref="J188:J194" si="22">ROUND(H188*I188,2)</f>
        <v>191.22</v>
      </c>
      <c r="K188" s="143"/>
    </row>
    <row r="189" spans="1:11" ht="24" customHeight="1">
      <c r="A189" s="56" t="s">
        <v>153</v>
      </c>
      <c r="B189" s="57" t="s">
        <v>193</v>
      </c>
      <c r="C189" s="56" t="s">
        <v>29</v>
      </c>
      <c r="D189" s="56" t="s">
        <v>194</v>
      </c>
      <c r="E189" s="161" t="s">
        <v>152</v>
      </c>
      <c r="F189" s="161"/>
      <c r="G189" s="58" t="s">
        <v>24</v>
      </c>
      <c r="H189" s="59">
        <v>3.14</v>
      </c>
      <c r="I189" s="60">
        <v>25.69</v>
      </c>
      <c r="J189" s="128">
        <f t="shared" si="22"/>
        <v>80.67</v>
      </c>
      <c r="K189" s="143"/>
    </row>
    <row r="190" spans="1:11" ht="24" customHeight="1">
      <c r="A190" s="56" t="s">
        <v>153</v>
      </c>
      <c r="B190" s="57" t="s">
        <v>156</v>
      </c>
      <c r="C190" s="56" t="s">
        <v>29</v>
      </c>
      <c r="D190" s="56" t="s">
        <v>157</v>
      </c>
      <c r="E190" s="161" t="s">
        <v>152</v>
      </c>
      <c r="F190" s="161"/>
      <c r="G190" s="58" t="s">
        <v>24</v>
      </c>
      <c r="H190" s="59">
        <v>2.94</v>
      </c>
      <c r="I190" s="60">
        <v>20.420000000000002</v>
      </c>
      <c r="J190" s="128">
        <f t="shared" si="22"/>
        <v>60.03</v>
      </c>
    </row>
    <row r="191" spans="1:11" ht="25.95" customHeight="1">
      <c r="A191" s="64" t="s">
        <v>164</v>
      </c>
      <c r="B191" s="65" t="s">
        <v>195</v>
      </c>
      <c r="C191" s="64" t="s">
        <v>29</v>
      </c>
      <c r="D191" s="64" t="s">
        <v>196</v>
      </c>
      <c r="E191" s="157" t="s">
        <v>167</v>
      </c>
      <c r="F191" s="157"/>
      <c r="G191" s="66" t="s">
        <v>126</v>
      </c>
      <c r="H191" s="67">
        <v>1.2E-2</v>
      </c>
      <c r="I191" s="68">
        <v>27</v>
      </c>
      <c r="J191" s="128">
        <f t="shared" si="22"/>
        <v>0.32</v>
      </c>
    </row>
    <row r="192" spans="1:11" ht="39" customHeight="1">
      <c r="A192" s="64" t="s">
        <v>164</v>
      </c>
      <c r="B192" s="65" t="s">
        <v>427</v>
      </c>
      <c r="C192" s="64" t="s">
        <v>29</v>
      </c>
      <c r="D192" s="64" t="s">
        <v>428</v>
      </c>
      <c r="E192" s="157" t="s">
        <v>167</v>
      </c>
      <c r="F192" s="157"/>
      <c r="G192" s="66" t="s">
        <v>40</v>
      </c>
      <c r="H192" s="67">
        <v>6.6</v>
      </c>
      <c r="I192" s="68">
        <v>5.52</v>
      </c>
      <c r="J192" s="128">
        <f t="shared" si="22"/>
        <v>36.43</v>
      </c>
    </row>
    <row r="193" spans="1:10" ht="25.95" customHeight="1">
      <c r="A193" s="64" t="s">
        <v>164</v>
      </c>
      <c r="B193" s="65" t="s">
        <v>199</v>
      </c>
      <c r="C193" s="64" t="s">
        <v>29</v>
      </c>
      <c r="D193" s="64" t="s">
        <v>200</v>
      </c>
      <c r="E193" s="157" t="s">
        <v>167</v>
      </c>
      <c r="F193" s="157"/>
      <c r="G193" s="66" t="s">
        <v>59</v>
      </c>
      <c r="H193" s="67">
        <v>0.09</v>
      </c>
      <c r="I193" s="68">
        <v>23.96</v>
      </c>
      <c r="J193" s="128">
        <f t="shared" si="22"/>
        <v>2.16</v>
      </c>
    </row>
    <row r="194" spans="1:10" ht="25.95" customHeight="1">
      <c r="A194" s="64" t="s">
        <v>164</v>
      </c>
      <c r="B194" s="65" t="s">
        <v>429</v>
      </c>
      <c r="C194" s="64" t="s">
        <v>29</v>
      </c>
      <c r="D194" s="64" t="s">
        <v>430</v>
      </c>
      <c r="E194" s="157" t="s">
        <v>167</v>
      </c>
      <c r="F194" s="157"/>
      <c r="G194" s="66" t="s">
        <v>40</v>
      </c>
      <c r="H194" s="67">
        <v>2.7</v>
      </c>
      <c r="I194" s="68">
        <v>4.3</v>
      </c>
      <c r="J194" s="128">
        <f t="shared" si="22"/>
        <v>11.61</v>
      </c>
    </row>
    <row r="195" spans="1:10" ht="30" customHeight="1" thickBot="1">
      <c r="A195" s="61"/>
      <c r="B195" s="61"/>
      <c r="C195" s="61"/>
      <c r="D195" s="61"/>
      <c r="E195" s="61"/>
      <c r="F195" s="61"/>
      <c r="G195" s="61" t="s">
        <v>158</v>
      </c>
      <c r="H195" s="62">
        <f>'VOVÓ PESSOINHA'!F33</f>
        <v>6</v>
      </c>
      <c r="I195" s="61" t="s">
        <v>159</v>
      </c>
      <c r="J195" s="127">
        <f>'VOVÓ PESSOINHA'!I33</f>
        <v>1409.83</v>
      </c>
    </row>
    <row r="196" spans="1:10" ht="1.05" customHeight="1" thickTop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</row>
    <row r="197" spans="1:10" ht="18" customHeight="1">
      <c r="A197" s="48" t="s">
        <v>512</v>
      </c>
      <c r="B197" s="49" t="s">
        <v>9</v>
      </c>
      <c r="C197" s="48" t="s">
        <v>10</v>
      </c>
      <c r="D197" s="48" t="s">
        <v>11</v>
      </c>
      <c r="E197" s="159" t="s">
        <v>150</v>
      </c>
      <c r="F197" s="159"/>
      <c r="G197" s="50" t="s">
        <v>12</v>
      </c>
      <c r="H197" s="49" t="s">
        <v>13</v>
      </c>
      <c r="I197" s="49" t="s">
        <v>14</v>
      </c>
      <c r="J197" s="49" t="s">
        <v>16</v>
      </c>
    </row>
    <row r="198" spans="1:10" ht="25.95" customHeight="1">
      <c r="A198" s="51" t="s">
        <v>151</v>
      </c>
      <c r="B198" s="52" t="s">
        <v>343</v>
      </c>
      <c r="C198" s="51" t="s">
        <v>29</v>
      </c>
      <c r="D198" s="51" t="s">
        <v>344</v>
      </c>
      <c r="E198" s="160" t="s">
        <v>431</v>
      </c>
      <c r="F198" s="160"/>
      <c r="G198" s="53" t="s">
        <v>59</v>
      </c>
      <c r="H198" s="54">
        <v>1</v>
      </c>
      <c r="I198" s="55">
        <f>'VOVÓ PESSOINHA'!G34</f>
        <v>18.559999999999999</v>
      </c>
      <c r="J198" s="128">
        <f t="shared" ref="J198:J202" si="23">ROUND(H198*I198,2)</f>
        <v>18.559999999999999</v>
      </c>
    </row>
    <row r="199" spans="1:10" ht="25.95" customHeight="1">
      <c r="A199" s="56" t="s">
        <v>153</v>
      </c>
      <c r="B199" s="57" t="s">
        <v>432</v>
      </c>
      <c r="C199" s="56" t="s">
        <v>29</v>
      </c>
      <c r="D199" s="56" t="s">
        <v>433</v>
      </c>
      <c r="E199" s="161" t="s">
        <v>152</v>
      </c>
      <c r="F199" s="161"/>
      <c r="G199" s="58" t="s">
        <v>24</v>
      </c>
      <c r="H199" s="59">
        <v>6.9000000000000006E-2</v>
      </c>
      <c r="I199" s="60">
        <v>20</v>
      </c>
      <c r="J199" s="128">
        <f t="shared" si="23"/>
        <v>1.38</v>
      </c>
    </row>
    <row r="200" spans="1:10" ht="24" customHeight="1">
      <c r="A200" s="56" t="s">
        <v>153</v>
      </c>
      <c r="B200" s="57" t="s">
        <v>193</v>
      </c>
      <c r="C200" s="56" t="s">
        <v>29</v>
      </c>
      <c r="D200" s="56" t="s">
        <v>194</v>
      </c>
      <c r="E200" s="161" t="s">
        <v>152</v>
      </c>
      <c r="F200" s="161"/>
      <c r="G200" s="58" t="s">
        <v>24</v>
      </c>
      <c r="H200" s="59">
        <v>0.16550000000000001</v>
      </c>
      <c r="I200" s="60">
        <v>25.69</v>
      </c>
      <c r="J200" s="128">
        <f t="shared" si="23"/>
        <v>4.25</v>
      </c>
    </row>
    <row r="201" spans="1:10" ht="24" customHeight="1">
      <c r="A201" s="64" t="s">
        <v>164</v>
      </c>
      <c r="B201" s="65" t="s">
        <v>434</v>
      </c>
      <c r="C201" s="64" t="s">
        <v>29</v>
      </c>
      <c r="D201" s="64" t="s">
        <v>435</v>
      </c>
      <c r="E201" s="157" t="s">
        <v>167</v>
      </c>
      <c r="F201" s="157"/>
      <c r="G201" s="66" t="s">
        <v>59</v>
      </c>
      <c r="H201" s="67">
        <v>1</v>
      </c>
      <c r="I201" s="68">
        <v>3.03</v>
      </c>
      <c r="J201" s="128">
        <f t="shared" si="23"/>
        <v>3.03</v>
      </c>
    </row>
    <row r="202" spans="1:10" ht="25.95" customHeight="1">
      <c r="A202" s="64" t="s">
        <v>164</v>
      </c>
      <c r="B202" s="65" t="s">
        <v>436</v>
      </c>
      <c r="C202" s="64" t="s">
        <v>29</v>
      </c>
      <c r="D202" s="64" t="s">
        <v>437</v>
      </c>
      <c r="E202" s="157" t="s">
        <v>167</v>
      </c>
      <c r="F202" s="157"/>
      <c r="G202" s="66" t="s">
        <v>59</v>
      </c>
      <c r="H202" s="67">
        <v>1</v>
      </c>
      <c r="I202" s="68">
        <v>9.9</v>
      </c>
      <c r="J202" s="128">
        <f t="shared" si="23"/>
        <v>9.9</v>
      </c>
    </row>
    <row r="203" spans="1:10" ht="30" customHeight="1" thickBot="1">
      <c r="A203" s="61"/>
      <c r="B203" s="61"/>
      <c r="C203" s="61"/>
      <c r="D203" s="61"/>
      <c r="E203" s="61"/>
      <c r="F203" s="61"/>
      <c r="G203" s="61" t="s">
        <v>158</v>
      </c>
      <c r="H203" s="62">
        <f>'VOVÓ PESSOINHA'!F34</f>
        <v>10</v>
      </c>
      <c r="I203" s="61" t="s">
        <v>159</v>
      </c>
      <c r="J203" s="127">
        <f>'VOVÓ PESSOINHA'!I34</f>
        <v>228.07</v>
      </c>
    </row>
    <row r="204" spans="1:10" ht="1.05" customHeight="1" thickTop="1">
      <c r="A204" s="63"/>
      <c r="B204" s="63"/>
      <c r="C204" s="63"/>
      <c r="D204" s="63"/>
      <c r="E204" s="63"/>
      <c r="F204" s="63"/>
      <c r="G204" s="63"/>
      <c r="H204" s="63"/>
      <c r="I204" s="63"/>
      <c r="J204" s="129"/>
    </row>
    <row r="205" spans="1:10" ht="24" customHeight="1">
      <c r="A205" s="45" t="s">
        <v>81</v>
      </c>
      <c r="B205" s="45"/>
      <c r="C205" s="45"/>
      <c r="D205" s="45" t="s">
        <v>513</v>
      </c>
      <c r="E205" s="45"/>
      <c r="F205" s="158"/>
      <c r="G205" s="158"/>
      <c r="H205" s="46"/>
      <c r="I205" s="45"/>
      <c r="J205" s="130">
        <f>SUM(J214,J223,J231,J237,J245,J253,J263)</f>
        <v>5058.1899999999987</v>
      </c>
    </row>
    <row r="206" spans="1:10" ht="18" customHeight="1">
      <c r="A206" s="48" t="s">
        <v>83</v>
      </c>
      <c r="B206" s="49" t="s">
        <v>9</v>
      </c>
      <c r="C206" s="48" t="s">
        <v>10</v>
      </c>
      <c r="D206" s="48" t="s">
        <v>11</v>
      </c>
      <c r="E206" s="159" t="s">
        <v>150</v>
      </c>
      <c r="F206" s="159"/>
      <c r="G206" s="50" t="s">
        <v>12</v>
      </c>
      <c r="H206" s="49" t="s">
        <v>13</v>
      </c>
      <c r="I206" s="49" t="s">
        <v>14</v>
      </c>
      <c r="J206" s="49" t="s">
        <v>16</v>
      </c>
    </row>
    <row r="207" spans="1:10" ht="25.95" customHeight="1">
      <c r="A207" s="51" t="s">
        <v>151</v>
      </c>
      <c r="B207" s="52" t="s">
        <v>514</v>
      </c>
      <c r="C207" s="51" t="s">
        <v>29</v>
      </c>
      <c r="D207" s="51" t="s">
        <v>515</v>
      </c>
      <c r="E207" s="160" t="s">
        <v>216</v>
      </c>
      <c r="F207" s="160"/>
      <c r="G207" s="53" t="s">
        <v>59</v>
      </c>
      <c r="H207" s="54">
        <v>1</v>
      </c>
      <c r="I207" s="55">
        <f>'VOVÓ PESSOINHA'!G36</f>
        <v>507.45</v>
      </c>
      <c r="J207" s="128">
        <f t="shared" ref="J207:J213" si="24">ROUND(H207*I207,2)</f>
        <v>507.45</v>
      </c>
    </row>
    <row r="208" spans="1:10" ht="25.95" customHeight="1">
      <c r="A208" s="56" t="s">
        <v>153</v>
      </c>
      <c r="B208" s="57" t="s">
        <v>217</v>
      </c>
      <c r="C208" s="56" t="s">
        <v>29</v>
      </c>
      <c r="D208" s="56" t="s">
        <v>218</v>
      </c>
      <c r="E208" s="161" t="s">
        <v>152</v>
      </c>
      <c r="F208" s="161"/>
      <c r="G208" s="58" t="s">
        <v>24</v>
      </c>
      <c r="H208" s="59">
        <v>0.49680000000000002</v>
      </c>
      <c r="I208" s="60">
        <v>19.82</v>
      </c>
      <c r="J208" s="128">
        <f t="shared" si="24"/>
        <v>9.85</v>
      </c>
    </row>
    <row r="209" spans="1:11" ht="24" customHeight="1">
      <c r="A209" s="56" t="s">
        <v>153</v>
      </c>
      <c r="B209" s="57" t="s">
        <v>156</v>
      </c>
      <c r="C209" s="56" t="s">
        <v>29</v>
      </c>
      <c r="D209" s="56" t="s">
        <v>157</v>
      </c>
      <c r="E209" s="161" t="s">
        <v>152</v>
      </c>
      <c r="F209" s="161"/>
      <c r="G209" s="58" t="s">
        <v>24</v>
      </c>
      <c r="H209" s="59">
        <v>0.34949999999999998</v>
      </c>
      <c r="I209" s="60">
        <v>20.420000000000002</v>
      </c>
      <c r="J209" s="128">
        <f t="shared" si="24"/>
        <v>7.14</v>
      </c>
    </row>
    <row r="210" spans="1:11" ht="39" customHeight="1">
      <c r="A210" s="64" t="s">
        <v>164</v>
      </c>
      <c r="B210" s="65" t="s">
        <v>629</v>
      </c>
      <c r="C210" s="64" t="s">
        <v>29</v>
      </c>
      <c r="D210" s="64" t="s">
        <v>630</v>
      </c>
      <c r="E210" s="157" t="s">
        <v>167</v>
      </c>
      <c r="F210" s="157"/>
      <c r="G210" s="66" t="s">
        <v>59</v>
      </c>
      <c r="H210" s="67">
        <v>2</v>
      </c>
      <c r="I210" s="68">
        <v>29.51</v>
      </c>
      <c r="J210" s="128">
        <f t="shared" si="24"/>
        <v>59.02</v>
      </c>
    </row>
    <row r="211" spans="1:11" ht="25.95" customHeight="1">
      <c r="A211" s="64" t="s">
        <v>164</v>
      </c>
      <c r="B211" s="65" t="s">
        <v>631</v>
      </c>
      <c r="C211" s="64" t="s">
        <v>29</v>
      </c>
      <c r="D211" s="64" t="s">
        <v>632</v>
      </c>
      <c r="E211" s="157" t="s">
        <v>167</v>
      </c>
      <c r="F211" s="157"/>
      <c r="G211" s="66" t="s">
        <v>59</v>
      </c>
      <c r="H211" s="67">
        <v>1</v>
      </c>
      <c r="I211" s="68">
        <v>10.029999999999999</v>
      </c>
      <c r="J211" s="128">
        <f t="shared" si="24"/>
        <v>10.029999999999999</v>
      </c>
    </row>
    <row r="212" spans="1:11" ht="25.95" customHeight="1">
      <c r="A212" s="64" t="s">
        <v>164</v>
      </c>
      <c r="B212" s="65" t="s">
        <v>633</v>
      </c>
      <c r="C212" s="64" t="s">
        <v>29</v>
      </c>
      <c r="D212" s="64" t="s">
        <v>634</v>
      </c>
      <c r="E212" s="157" t="s">
        <v>167</v>
      </c>
      <c r="F212" s="157"/>
      <c r="G212" s="66" t="s">
        <v>59</v>
      </c>
      <c r="H212" s="67">
        <v>1</v>
      </c>
      <c r="I212" s="68">
        <v>408.69</v>
      </c>
      <c r="J212" s="128">
        <f t="shared" si="24"/>
        <v>408.69</v>
      </c>
    </row>
    <row r="213" spans="1:11" ht="24" customHeight="1">
      <c r="A213" s="64" t="s">
        <v>164</v>
      </c>
      <c r="B213" s="65" t="s">
        <v>635</v>
      </c>
      <c r="C213" s="64" t="s">
        <v>29</v>
      </c>
      <c r="D213" s="64" t="s">
        <v>636</v>
      </c>
      <c r="E213" s="157" t="s">
        <v>167</v>
      </c>
      <c r="F213" s="157"/>
      <c r="G213" s="66" t="s">
        <v>126</v>
      </c>
      <c r="H213" s="67">
        <v>8.8099999999999998E-2</v>
      </c>
      <c r="I213" s="68">
        <v>117.49</v>
      </c>
      <c r="J213" s="128">
        <f t="shared" si="24"/>
        <v>10.35</v>
      </c>
    </row>
    <row r="214" spans="1:11" ht="30" customHeight="1" thickBot="1">
      <c r="A214" s="61"/>
      <c r="B214" s="61"/>
      <c r="C214" s="61"/>
      <c r="D214" s="61"/>
      <c r="E214" s="61"/>
      <c r="F214" s="61"/>
      <c r="G214" s="61" t="s">
        <v>158</v>
      </c>
      <c r="H214" s="62">
        <f>'VOVÓ PESSOINHA'!F36</f>
        <v>4</v>
      </c>
      <c r="I214" s="61" t="s">
        <v>159</v>
      </c>
      <c r="J214" s="127">
        <f>'VOVÓ PESSOINHA'!I36</f>
        <v>2494.2199999999998</v>
      </c>
    </row>
    <row r="215" spans="1:11" ht="1.05" customHeight="1" thickTop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</row>
    <row r="216" spans="1:11" ht="18" customHeight="1">
      <c r="A216" s="48" t="s">
        <v>86</v>
      </c>
      <c r="B216" s="49" t="s">
        <v>9</v>
      </c>
      <c r="C216" s="48" t="s">
        <v>10</v>
      </c>
      <c r="D216" s="48" t="s">
        <v>11</v>
      </c>
      <c r="E216" s="159" t="s">
        <v>150</v>
      </c>
      <c r="F216" s="159"/>
      <c r="G216" s="50" t="s">
        <v>12</v>
      </c>
      <c r="H216" s="49" t="s">
        <v>13</v>
      </c>
      <c r="I216" s="49" t="s">
        <v>14</v>
      </c>
      <c r="J216" s="49" t="s">
        <v>16</v>
      </c>
    </row>
    <row r="217" spans="1:11" ht="25.95" customHeight="1">
      <c r="A217" s="51" t="s">
        <v>151</v>
      </c>
      <c r="B217" s="52" t="s">
        <v>53</v>
      </c>
      <c r="C217" s="51" t="s">
        <v>22</v>
      </c>
      <c r="D217" s="51" t="s">
        <v>54</v>
      </c>
      <c r="E217" s="160" t="s">
        <v>205</v>
      </c>
      <c r="F217" s="160"/>
      <c r="G217" s="53" t="s">
        <v>55</v>
      </c>
      <c r="H217" s="54">
        <v>1</v>
      </c>
      <c r="I217" s="55">
        <f>'VOVÓ PESSOINHA'!G37</f>
        <v>81.709999999999994</v>
      </c>
      <c r="J217" s="128">
        <f t="shared" ref="J217:J222" si="25">ROUND(H217*I217,2)</f>
        <v>81.709999999999994</v>
      </c>
      <c r="K217" s="143"/>
    </row>
    <row r="218" spans="1:11" ht="24" customHeight="1">
      <c r="A218" s="56" t="s">
        <v>153</v>
      </c>
      <c r="B218" s="57" t="s">
        <v>156</v>
      </c>
      <c r="C218" s="56" t="s">
        <v>29</v>
      </c>
      <c r="D218" s="56" t="s">
        <v>157</v>
      </c>
      <c r="E218" s="161" t="s">
        <v>152</v>
      </c>
      <c r="F218" s="161"/>
      <c r="G218" s="58" t="s">
        <v>24</v>
      </c>
      <c r="H218" s="59">
        <v>1</v>
      </c>
      <c r="I218" s="60">
        <v>20.420000000000002</v>
      </c>
      <c r="J218" s="128">
        <f t="shared" si="25"/>
        <v>20.420000000000002</v>
      </c>
      <c r="K218" s="143"/>
    </row>
    <row r="219" spans="1:11" ht="25.95" customHeight="1">
      <c r="A219" s="64" t="s">
        <v>164</v>
      </c>
      <c r="B219" s="65" t="s">
        <v>206</v>
      </c>
      <c r="C219" s="64" t="s">
        <v>29</v>
      </c>
      <c r="D219" s="64" t="s">
        <v>207</v>
      </c>
      <c r="E219" s="157" t="s">
        <v>167</v>
      </c>
      <c r="F219" s="157"/>
      <c r="G219" s="66" t="s">
        <v>59</v>
      </c>
      <c r="H219" s="67">
        <v>1</v>
      </c>
      <c r="I219" s="68">
        <v>5.68</v>
      </c>
      <c r="J219" s="128">
        <f t="shared" si="25"/>
        <v>5.68</v>
      </c>
    </row>
    <row r="220" spans="1:11" ht="25.95" customHeight="1">
      <c r="A220" s="64" t="s">
        <v>164</v>
      </c>
      <c r="B220" s="65" t="s">
        <v>208</v>
      </c>
      <c r="C220" s="64" t="s">
        <v>209</v>
      </c>
      <c r="D220" s="64" t="s">
        <v>210</v>
      </c>
      <c r="E220" s="157" t="s">
        <v>167</v>
      </c>
      <c r="F220" s="157"/>
      <c r="G220" s="66" t="s">
        <v>211</v>
      </c>
      <c r="H220" s="67">
        <v>1</v>
      </c>
      <c r="I220" s="68">
        <v>7.84</v>
      </c>
      <c r="J220" s="128">
        <f t="shared" si="25"/>
        <v>7.84</v>
      </c>
    </row>
    <row r="221" spans="1:11" ht="39" customHeight="1">
      <c r="A221" s="64" t="s">
        <v>164</v>
      </c>
      <c r="B221" s="65" t="s">
        <v>212</v>
      </c>
      <c r="C221" s="64" t="s">
        <v>29</v>
      </c>
      <c r="D221" s="64" t="s">
        <v>213</v>
      </c>
      <c r="E221" s="157" t="s">
        <v>167</v>
      </c>
      <c r="F221" s="157"/>
      <c r="G221" s="66" t="s">
        <v>59</v>
      </c>
      <c r="H221" s="67">
        <v>1</v>
      </c>
      <c r="I221" s="68">
        <v>43.95</v>
      </c>
      <c r="J221" s="128">
        <f t="shared" si="25"/>
        <v>43.95</v>
      </c>
    </row>
    <row r="222" spans="1:11" ht="25.95" customHeight="1">
      <c r="A222" s="64" t="s">
        <v>164</v>
      </c>
      <c r="B222" s="65" t="s">
        <v>214</v>
      </c>
      <c r="C222" s="64" t="s">
        <v>29</v>
      </c>
      <c r="D222" s="64" t="s">
        <v>215</v>
      </c>
      <c r="E222" s="157" t="s">
        <v>167</v>
      </c>
      <c r="F222" s="157"/>
      <c r="G222" s="66" t="s">
        <v>59</v>
      </c>
      <c r="H222" s="67">
        <v>1</v>
      </c>
      <c r="I222" s="68">
        <v>3.82</v>
      </c>
      <c r="J222" s="128">
        <f t="shared" si="25"/>
        <v>3.82</v>
      </c>
    </row>
    <row r="223" spans="1:11" ht="30" customHeight="1" thickBot="1">
      <c r="A223" s="61"/>
      <c r="B223" s="61"/>
      <c r="C223" s="61"/>
      <c r="D223" s="61"/>
      <c r="E223" s="61"/>
      <c r="F223" s="61"/>
      <c r="G223" s="61" t="s">
        <v>158</v>
      </c>
      <c r="H223" s="62">
        <f>'VOVÓ PESSOINHA'!F37</f>
        <v>4</v>
      </c>
      <c r="I223" s="61" t="s">
        <v>159</v>
      </c>
      <c r="J223" s="127">
        <f>'VOVÓ PESSOINHA'!I37</f>
        <v>401.62</v>
      </c>
    </row>
    <row r="224" spans="1:11" ht="1.05" customHeight="1" thickTop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</row>
    <row r="225" spans="1:10" ht="18" customHeight="1">
      <c r="A225" s="48" t="s">
        <v>349</v>
      </c>
      <c r="B225" s="49" t="s">
        <v>9</v>
      </c>
      <c r="C225" s="48" t="s">
        <v>10</v>
      </c>
      <c r="D225" s="48" t="s">
        <v>11</v>
      </c>
      <c r="E225" s="159" t="s">
        <v>150</v>
      </c>
      <c r="F225" s="159"/>
      <c r="G225" s="50" t="s">
        <v>12</v>
      </c>
      <c r="H225" s="49" t="s">
        <v>13</v>
      </c>
      <c r="I225" s="49" t="s">
        <v>14</v>
      </c>
      <c r="J225" s="49" t="s">
        <v>16</v>
      </c>
    </row>
    <row r="226" spans="1:10" ht="25.95" customHeight="1">
      <c r="A226" s="51" t="s">
        <v>151</v>
      </c>
      <c r="B226" s="52" t="s">
        <v>516</v>
      </c>
      <c r="C226" s="51" t="s">
        <v>29</v>
      </c>
      <c r="D226" s="51" t="s">
        <v>517</v>
      </c>
      <c r="E226" s="160" t="s">
        <v>216</v>
      </c>
      <c r="F226" s="160"/>
      <c r="G226" s="53" t="s">
        <v>59</v>
      </c>
      <c r="H226" s="54">
        <v>1</v>
      </c>
      <c r="I226" s="55">
        <f>'VOVÓ PESSOINHA'!G38</f>
        <v>32.46</v>
      </c>
      <c r="J226" s="128">
        <f t="shared" ref="J226:J230" si="26">ROUND(H226*I226,2)</f>
        <v>32.46</v>
      </c>
    </row>
    <row r="227" spans="1:10" ht="25.95" customHeight="1">
      <c r="A227" s="56" t="s">
        <v>153</v>
      </c>
      <c r="B227" s="57" t="s">
        <v>451</v>
      </c>
      <c r="C227" s="56" t="s">
        <v>29</v>
      </c>
      <c r="D227" s="56" t="s">
        <v>452</v>
      </c>
      <c r="E227" s="161" t="s">
        <v>152</v>
      </c>
      <c r="F227" s="161"/>
      <c r="G227" s="58" t="s">
        <v>24</v>
      </c>
      <c r="H227" s="59">
        <v>0.19040000000000001</v>
      </c>
      <c r="I227" s="60">
        <v>19.82</v>
      </c>
      <c r="J227" s="128">
        <f t="shared" si="26"/>
        <v>3.77</v>
      </c>
    </row>
    <row r="228" spans="1:10" ht="25.95" customHeight="1">
      <c r="A228" s="56" t="s">
        <v>153</v>
      </c>
      <c r="B228" s="57" t="s">
        <v>217</v>
      </c>
      <c r="C228" s="56" t="s">
        <v>29</v>
      </c>
      <c r="D228" s="56" t="s">
        <v>218</v>
      </c>
      <c r="E228" s="161" t="s">
        <v>152</v>
      </c>
      <c r="F228" s="161"/>
      <c r="G228" s="58" t="s">
        <v>24</v>
      </c>
      <c r="H228" s="59">
        <v>0.19040000000000001</v>
      </c>
      <c r="I228" s="60">
        <v>24.63</v>
      </c>
      <c r="J228" s="128">
        <f t="shared" si="26"/>
        <v>4.6900000000000004</v>
      </c>
    </row>
    <row r="229" spans="1:10" ht="24" customHeight="1">
      <c r="A229" s="64" t="s">
        <v>164</v>
      </c>
      <c r="B229" s="65" t="s">
        <v>637</v>
      </c>
      <c r="C229" s="64" t="s">
        <v>29</v>
      </c>
      <c r="D229" s="64" t="s">
        <v>638</v>
      </c>
      <c r="E229" s="157" t="s">
        <v>167</v>
      </c>
      <c r="F229" s="157"/>
      <c r="G229" s="66" t="s">
        <v>59</v>
      </c>
      <c r="H229" s="67">
        <v>5.3E-3</v>
      </c>
      <c r="I229" s="68">
        <v>11.43</v>
      </c>
      <c r="J229" s="128">
        <f t="shared" si="26"/>
        <v>0.06</v>
      </c>
    </row>
    <row r="230" spans="1:10" ht="39" customHeight="1">
      <c r="A230" s="64" t="s">
        <v>164</v>
      </c>
      <c r="B230" s="65" t="s">
        <v>639</v>
      </c>
      <c r="C230" s="64" t="s">
        <v>29</v>
      </c>
      <c r="D230" s="64" t="s">
        <v>640</v>
      </c>
      <c r="E230" s="157" t="s">
        <v>167</v>
      </c>
      <c r="F230" s="157"/>
      <c r="G230" s="66" t="s">
        <v>59</v>
      </c>
      <c r="H230" s="67">
        <v>1</v>
      </c>
      <c r="I230" s="68">
        <v>23.95</v>
      </c>
      <c r="J230" s="128">
        <f t="shared" si="26"/>
        <v>23.95</v>
      </c>
    </row>
    <row r="231" spans="1:10" ht="30" customHeight="1" thickBot="1">
      <c r="A231" s="61"/>
      <c r="B231" s="61"/>
      <c r="C231" s="61"/>
      <c r="D231" s="61"/>
      <c r="E231" s="61"/>
      <c r="F231" s="61"/>
      <c r="G231" s="61" t="s">
        <v>158</v>
      </c>
      <c r="H231" s="62">
        <f>'VOVÓ PESSOINHA'!F38</f>
        <v>1</v>
      </c>
      <c r="I231" s="61" t="s">
        <v>159</v>
      </c>
      <c r="J231" s="127">
        <f>'VOVÓ PESSOINHA'!I38</f>
        <v>39.89</v>
      </c>
    </row>
    <row r="232" spans="1:10" ht="1.05" customHeight="1" thickTop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</row>
    <row r="233" spans="1:10" ht="18" customHeight="1">
      <c r="A233" s="48" t="s">
        <v>352</v>
      </c>
      <c r="B233" s="49" t="s">
        <v>9</v>
      </c>
      <c r="C233" s="48" t="s">
        <v>10</v>
      </c>
      <c r="D233" s="48" t="s">
        <v>11</v>
      </c>
      <c r="E233" s="159" t="s">
        <v>150</v>
      </c>
      <c r="F233" s="159"/>
      <c r="G233" s="50" t="s">
        <v>12</v>
      </c>
      <c r="H233" s="49" t="s">
        <v>13</v>
      </c>
      <c r="I233" s="49" t="s">
        <v>14</v>
      </c>
      <c r="J233" s="49" t="s">
        <v>16</v>
      </c>
    </row>
    <row r="234" spans="1:10" ht="52.05" customHeight="1">
      <c r="A234" s="51" t="s">
        <v>151</v>
      </c>
      <c r="B234" s="52" t="s">
        <v>518</v>
      </c>
      <c r="C234" s="51" t="s">
        <v>29</v>
      </c>
      <c r="D234" s="51" t="s">
        <v>519</v>
      </c>
      <c r="E234" s="160" t="s">
        <v>216</v>
      </c>
      <c r="F234" s="160"/>
      <c r="G234" s="53" t="s">
        <v>59</v>
      </c>
      <c r="H234" s="54">
        <v>1</v>
      </c>
      <c r="I234" s="55">
        <f>'VOVÓ PESSOINHA'!G39</f>
        <v>519.82000000000005</v>
      </c>
      <c r="J234" s="128">
        <f t="shared" ref="J234:J236" si="27">ROUND(H234*I234,2)</f>
        <v>519.82000000000005</v>
      </c>
    </row>
    <row r="235" spans="1:10" ht="25.95" customHeight="1">
      <c r="A235" s="56" t="s">
        <v>153</v>
      </c>
      <c r="B235" s="57" t="s">
        <v>641</v>
      </c>
      <c r="C235" s="56" t="s">
        <v>29</v>
      </c>
      <c r="D235" s="56" t="s">
        <v>642</v>
      </c>
      <c r="E235" s="161" t="s">
        <v>216</v>
      </c>
      <c r="F235" s="161"/>
      <c r="G235" s="58" t="s">
        <v>59</v>
      </c>
      <c r="H235" s="59">
        <v>1</v>
      </c>
      <c r="I235" s="60">
        <v>67.52</v>
      </c>
      <c r="J235" s="128">
        <f t="shared" si="27"/>
        <v>67.52</v>
      </c>
    </row>
    <row r="236" spans="1:10" ht="25.95" customHeight="1">
      <c r="A236" s="56" t="s">
        <v>153</v>
      </c>
      <c r="B236" s="57" t="s">
        <v>643</v>
      </c>
      <c r="C236" s="56" t="s">
        <v>29</v>
      </c>
      <c r="D236" s="56" t="s">
        <v>644</v>
      </c>
      <c r="E236" s="161" t="s">
        <v>216</v>
      </c>
      <c r="F236" s="161"/>
      <c r="G236" s="58" t="s">
        <v>59</v>
      </c>
      <c r="H236" s="59">
        <v>1</v>
      </c>
      <c r="I236" s="60">
        <v>452.3</v>
      </c>
      <c r="J236" s="128">
        <f t="shared" si="27"/>
        <v>452.3</v>
      </c>
    </row>
    <row r="237" spans="1:10" ht="30" customHeight="1" thickBot="1">
      <c r="A237" s="61"/>
      <c r="B237" s="61"/>
      <c r="C237" s="61"/>
      <c r="D237" s="61"/>
      <c r="E237" s="61"/>
      <c r="F237" s="61"/>
      <c r="G237" s="61" t="s">
        <v>158</v>
      </c>
      <c r="H237" s="62">
        <f>'VOVÓ PESSOINHA'!F39</f>
        <v>1</v>
      </c>
      <c r="I237" s="61" t="s">
        <v>159</v>
      </c>
      <c r="J237" s="127">
        <f>'VOVÓ PESSOINHA'!I39</f>
        <v>638.75</v>
      </c>
    </row>
    <row r="238" spans="1:10" ht="1.05" customHeight="1" thickTop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</row>
    <row r="239" spans="1:10" ht="18" customHeight="1">
      <c r="A239" s="48" t="s">
        <v>355</v>
      </c>
      <c r="B239" s="49" t="s">
        <v>9</v>
      </c>
      <c r="C239" s="48" t="s">
        <v>10</v>
      </c>
      <c r="D239" s="48" t="s">
        <v>11</v>
      </c>
      <c r="E239" s="159" t="s">
        <v>150</v>
      </c>
      <c r="F239" s="159"/>
      <c r="G239" s="50" t="s">
        <v>12</v>
      </c>
      <c r="H239" s="49" t="s">
        <v>13</v>
      </c>
      <c r="I239" s="49" t="s">
        <v>14</v>
      </c>
      <c r="J239" s="49" t="s">
        <v>16</v>
      </c>
    </row>
    <row r="240" spans="1:10" ht="25.95" customHeight="1">
      <c r="A240" s="51" t="s">
        <v>151</v>
      </c>
      <c r="B240" s="52" t="s">
        <v>520</v>
      </c>
      <c r="C240" s="51" t="s">
        <v>29</v>
      </c>
      <c r="D240" s="51" t="s">
        <v>521</v>
      </c>
      <c r="E240" s="160" t="s">
        <v>216</v>
      </c>
      <c r="F240" s="160"/>
      <c r="G240" s="53" t="s">
        <v>59</v>
      </c>
      <c r="H240" s="54">
        <v>1</v>
      </c>
      <c r="I240" s="55">
        <f>'VOVÓ PESSOINHA'!G40</f>
        <v>102.83</v>
      </c>
      <c r="J240" s="128">
        <f t="shared" ref="J240:J244" si="28">ROUND(H240*I240,2)</f>
        <v>102.83</v>
      </c>
    </row>
    <row r="241" spans="1:10" ht="25.95" customHeight="1">
      <c r="A241" s="56" t="s">
        <v>153</v>
      </c>
      <c r="B241" s="57" t="s">
        <v>217</v>
      </c>
      <c r="C241" s="56" t="s">
        <v>29</v>
      </c>
      <c r="D241" s="56" t="s">
        <v>218</v>
      </c>
      <c r="E241" s="161" t="s">
        <v>152</v>
      </c>
      <c r="F241" s="161"/>
      <c r="G241" s="58" t="s">
        <v>24</v>
      </c>
      <c r="H241" s="59">
        <v>0.44669999999999999</v>
      </c>
      <c r="I241" s="60">
        <v>24.63</v>
      </c>
      <c r="J241" s="128">
        <f t="shared" si="28"/>
        <v>11</v>
      </c>
    </row>
    <row r="242" spans="1:10" ht="24" customHeight="1">
      <c r="A242" s="56" t="s">
        <v>153</v>
      </c>
      <c r="B242" s="57" t="s">
        <v>156</v>
      </c>
      <c r="C242" s="56" t="s">
        <v>29</v>
      </c>
      <c r="D242" s="56" t="s">
        <v>157</v>
      </c>
      <c r="E242" s="161" t="s">
        <v>152</v>
      </c>
      <c r="F242" s="161"/>
      <c r="G242" s="58" t="s">
        <v>24</v>
      </c>
      <c r="H242" s="59">
        <v>0.14069999999999999</v>
      </c>
      <c r="I242" s="60">
        <v>20.420000000000002</v>
      </c>
      <c r="J242" s="128">
        <f t="shared" si="28"/>
        <v>2.87</v>
      </c>
    </row>
    <row r="243" spans="1:10" ht="25.95" customHeight="1">
      <c r="A243" s="64" t="s">
        <v>164</v>
      </c>
      <c r="B243" s="65" t="s">
        <v>645</v>
      </c>
      <c r="C243" s="64" t="s">
        <v>29</v>
      </c>
      <c r="D243" s="64" t="s">
        <v>646</v>
      </c>
      <c r="E243" s="157" t="s">
        <v>167</v>
      </c>
      <c r="F243" s="157"/>
      <c r="G243" s="66" t="s">
        <v>59</v>
      </c>
      <c r="H243" s="67">
        <v>1</v>
      </c>
      <c r="I243" s="68">
        <v>88.9</v>
      </c>
      <c r="J243" s="128">
        <f t="shared" si="28"/>
        <v>88.9</v>
      </c>
    </row>
    <row r="244" spans="1:10" ht="24" customHeight="1">
      <c r="A244" s="64" t="s">
        <v>164</v>
      </c>
      <c r="B244" s="65" t="s">
        <v>219</v>
      </c>
      <c r="C244" s="64" t="s">
        <v>29</v>
      </c>
      <c r="D244" s="64" t="s">
        <v>220</v>
      </c>
      <c r="E244" s="157" t="s">
        <v>167</v>
      </c>
      <c r="F244" s="157"/>
      <c r="G244" s="66" t="s">
        <v>59</v>
      </c>
      <c r="H244" s="67">
        <v>2.1000000000000001E-2</v>
      </c>
      <c r="I244" s="68">
        <v>3.1</v>
      </c>
      <c r="J244" s="128">
        <f t="shared" si="28"/>
        <v>7.0000000000000007E-2</v>
      </c>
    </row>
    <row r="245" spans="1:10" ht="30" customHeight="1" thickBot="1">
      <c r="A245" s="61"/>
      <c r="B245" s="61"/>
      <c r="C245" s="61"/>
      <c r="D245" s="61"/>
      <c r="E245" s="61"/>
      <c r="F245" s="61"/>
      <c r="G245" s="61" t="s">
        <v>158</v>
      </c>
      <c r="H245" s="62">
        <f>'VOVÓ PESSOINHA'!F40</f>
        <v>6</v>
      </c>
      <c r="I245" s="61" t="s">
        <v>159</v>
      </c>
      <c r="J245" s="127">
        <f>'VOVÓ PESSOINHA'!I40</f>
        <v>758.15</v>
      </c>
    </row>
    <row r="246" spans="1:10" ht="1.05" customHeight="1" thickTop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</row>
    <row r="247" spans="1:10" ht="18" customHeight="1">
      <c r="A247" s="48" t="s">
        <v>1077</v>
      </c>
      <c r="B247" s="49" t="s">
        <v>9</v>
      </c>
      <c r="C247" s="48" t="s">
        <v>10</v>
      </c>
      <c r="D247" s="48" t="s">
        <v>11</v>
      </c>
      <c r="E247" s="159" t="s">
        <v>150</v>
      </c>
      <c r="F247" s="159"/>
      <c r="G247" s="50" t="s">
        <v>12</v>
      </c>
      <c r="H247" s="49" t="s">
        <v>13</v>
      </c>
      <c r="I247" s="49" t="s">
        <v>14</v>
      </c>
      <c r="J247" s="49" t="s">
        <v>16</v>
      </c>
    </row>
    <row r="248" spans="1:10" ht="39" customHeight="1">
      <c r="A248" s="51" t="s">
        <v>151</v>
      </c>
      <c r="B248" s="52" t="s">
        <v>64</v>
      </c>
      <c r="C248" s="51" t="s">
        <v>29</v>
      </c>
      <c r="D248" s="51" t="s">
        <v>65</v>
      </c>
      <c r="E248" s="160" t="s">
        <v>216</v>
      </c>
      <c r="F248" s="160"/>
      <c r="G248" s="53" t="s">
        <v>59</v>
      </c>
      <c r="H248" s="54">
        <v>1</v>
      </c>
      <c r="I248" s="55">
        <f>'VOVÓ PESSOINHA'!G41</f>
        <v>78.91</v>
      </c>
      <c r="J248" s="128">
        <f t="shared" ref="J248:J252" si="29">ROUND(H248*I248,2)</f>
        <v>78.91</v>
      </c>
    </row>
    <row r="249" spans="1:10" ht="25.95" customHeight="1">
      <c r="A249" s="56" t="s">
        <v>153</v>
      </c>
      <c r="B249" s="57" t="s">
        <v>217</v>
      </c>
      <c r="C249" s="56" t="s">
        <v>29</v>
      </c>
      <c r="D249" s="56" t="s">
        <v>218</v>
      </c>
      <c r="E249" s="161" t="s">
        <v>152</v>
      </c>
      <c r="F249" s="161"/>
      <c r="G249" s="58" t="s">
        <v>24</v>
      </c>
      <c r="H249" s="59">
        <v>0.1164</v>
      </c>
      <c r="I249" s="60">
        <v>24.63</v>
      </c>
      <c r="J249" s="128">
        <f t="shared" si="29"/>
        <v>2.87</v>
      </c>
    </row>
    <row r="250" spans="1:10" ht="24" customHeight="1">
      <c r="A250" s="56" t="s">
        <v>153</v>
      </c>
      <c r="B250" s="57" t="s">
        <v>156</v>
      </c>
      <c r="C250" s="56" t="s">
        <v>29</v>
      </c>
      <c r="D250" s="56" t="s">
        <v>157</v>
      </c>
      <c r="E250" s="161" t="s">
        <v>152</v>
      </c>
      <c r="F250" s="161"/>
      <c r="G250" s="58" t="s">
        <v>24</v>
      </c>
      <c r="H250" s="59">
        <v>3.6700000000000003E-2</v>
      </c>
      <c r="I250" s="60">
        <v>20.420000000000002</v>
      </c>
      <c r="J250" s="128">
        <f t="shared" si="29"/>
        <v>0.75</v>
      </c>
    </row>
    <row r="251" spans="1:10" ht="24" customHeight="1">
      <c r="A251" s="64" t="s">
        <v>164</v>
      </c>
      <c r="B251" s="65" t="s">
        <v>219</v>
      </c>
      <c r="C251" s="64" t="s">
        <v>29</v>
      </c>
      <c r="D251" s="64" t="s">
        <v>220</v>
      </c>
      <c r="E251" s="157" t="s">
        <v>167</v>
      </c>
      <c r="F251" s="157"/>
      <c r="G251" s="66" t="s">
        <v>59</v>
      </c>
      <c r="H251" s="67">
        <v>2.1000000000000001E-2</v>
      </c>
      <c r="I251" s="68">
        <v>3.1</v>
      </c>
      <c r="J251" s="128">
        <f t="shared" si="29"/>
        <v>7.0000000000000007E-2</v>
      </c>
    </row>
    <row r="252" spans="1:10" ht="39" customHeight="1">
      <c r="A252" s="64" t="s">
        <v>164</v>
      </c>
      <c r="B252" s="65" t="s">
        <v>223</v>
      </c>
      <c r="C252" s="64" t="s">
        <v>29</v>
      </c>
      <c r="D252" s="64" t="s">
        <v>224</v>
      </c>
      <c r="E252" s="157" t="s">
        <v>167</v>
      </c>
      <c r="F252" s="157"/>
      <c r="G252" s="66" t="s">
        <v>59</v>
      </c>
      <c r="H252" s="67">
        <v>1</v>
      </c>
      <c r="I252" s="68">
        <v>75.25</v>
      </c>
      <c r="J252" s="128">
        <f t="shared" si="29"/>
        <v>75.25</v>
      </c>
    </row>
    <row r="253" spans="1:10" ht="30" customHeight="1" thickBot="1">
      <c r="A253" s="61"/>
      <c r="B253" s="61"/>
      <c r="C253" s="61"/>
      <c r="D253" s="61"/>
      <c r="E253" s="61"/>
      <c r="F253" s="61"/>
      <c r="G253" s="61" t="s">
        <v>158</v>
      </c>
      <c r="H253" s="62">
        <f>'VOVÓ PESSOINHA'!F41</f>
        <v>4</v>
      </c>
      <c r="I253" s="61" t="s">
        <v>159</v>
      </c>
      <c r="J253" s="127">
        <f>'VOVÓ PESSOINHA'!I41</f>
        <v>387.86</v>
      </c>
    </row>
    <row r="254" spans="1:10" ht="1.05" customHeight="1" thickTop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</row>
    <row r="255" spans="1:10" ht="18" customHeight="1">
      <c r="A255" s="48" t="s">
        <v>1078</v>
      </c>
      <c r="B255" s="49" t="s">
        <v>9</v>
      </c>
      <c r="C255" s="48" t="s">
        <v>10</v>
      </c>
      <c r="D255" s="48" t="s">
        <v>11</v>
      </c>
      <c r="E255" s="159" t="s">
        <v>150</v>
      </c>
      <c r="F255" s="159"/>
      <c r="G255" s="50" t="s">
        <v>12</v>
      </c>
      <c r="H255" s="49" t="s">
        <v>13</v>
      </c>
      <c r="I255" s="49" t="s">
        <v>14</v>
      </c>
      <c r="J255" s="49" t="s">
        <v>16</v>
      </c>
    </row>
    <row r="256" spans="1:10" ht="52.05" customHeight="1">
      <c r="A256" s="51" t="s">
        <v>151</v>
      </c>
      <c r="B256" s="52" t="s">
        <v>524</v>
      </c>
      <c r="C256" s="51" t="s">
        <v>29</v>
      </c>
      <c r="D256" s="51" t="s">
        <v>525</v>
      </c>
      <c r="E256" s="160" t="s">
        <v>216</v>
      </c>
      <c r="F256" s="160"/>
      <c r="G256" s="53" t="s">
        <v>59</v>
      </c>
      <c r="H256" s="54">
        <v>1</v>
      </c>
      <c r="I256" s="55">
        <f>'VOVÓ PESSOINHA'!G42</f>
        <v>137.41</v>
      </c>
      <c r="J256" s="128">
        <f t="shared" ref="J256:J262" si="30">ROUND(H256*I256,2)</f>
        <v>137.41</v>
      </c>
    </row>
    <row r="257" spans="1:10" ht="39" customHeight="1">
      <c r="A257" s="56" t="s">
        <v>153</v>
      </c>
      <c r="B257" s="57" t="s">
        <v>647</v>
      </c>
      <c r="C257" s="56" t="s">
        <v>29</v>
      </c>
      <c r="D257" s="56" t="s">
        <v>648</v>
      </c>
      <c r="E257" s="161" t="s">
        <v>216</v>
      </c>
      <c r="F257" s="161"/>
      <c r="G257" s="58" t="s">
        <v>40</v>
      </c>
      <c r="H257" s="59">
        <v>2.14</v>
      </c>
      <c r="I257" s="60">
        <v>21.96</v>
      </c>
      <c r="J257" s="128">
        <f t="shared" si="30"/>
        <v>46.99</v>
      </c>
    </row>
    <row r="258" spans="1:10" ht="39" customHeight="1">
      <c r="A258" s="56" t="s">
        <v>153</v>
      </c>
      <c r="B258" s="57" t="s">
        <v>649</v>
      </c>
      <c r="C258" s="56" t="s">
        <v>29</v>
      </c>
      <c r="D258" s="56" t="s">
        <v>650</v>
      </c>
      <c r="E258" s="161" t="s">
        <v>216</v>
      </c>
      <c r="F258" s="161"/>
      <c r="G258" s="58" t="s">
        <v>59</v>
      </c>
      <c r="H258" s="59">
        <v>1.18</v>
      </c>
      <c r="I258" s="60">
        <v>8.5299999999999994</v>
      </c>
      <c r="J258" s="128">
        <f t="shared" si="30"/>
        <v>10.07</v>
      </c>
    </row>
    <row r="259" spans="1:10" ht="39" customHeight="1">
      <c r="A259" s="56" t="s">
        <v>153</v>
      </c>
      <c r="B259" s="57" t="s">
        <v>651</v>
      </c>
      <c r="C259" s="56" t="s">
        <v>29</v>
      </c>
      <c r="D259" s="56" t="s">
        <v>652</v>
      </c>
      <c r="E259" s="161" t="s">
        <v>216</v>
      </c>
      <c r="F259" s="161"/>
      <c r="G259" s="58" t="s">
        <v>59</v>
      </c>
      <c r="H259" s="59">
        <v>1</v>
      </c>
      <c r="I259" s="60">
        <v>16.14</v>
      </c>
      <c r="J259" s="128">
        <f t="shared" si="30"/>
        <v>16.14</v>
      </c>
    </row>
    <row r="260" spans="1:10" ht="39" customHeight="1">
      <c r="A260" s="56" t="s">
        <v>153</v>
      </c>
      <c r="B260" s="57" t="s">
        <v>653</v>
      </c>
      <c r="C260" s="56" t="s">
        <v>29</v>
      </c>
      <c r="D260" s="56" t="s">
        <v>654</v>
      </c>
      <c r="E260" s="161" t="s">
        <v>216</v>
      </c>
      <c r="F260" s="161"/>
      <c r="G260" s="58" t="s">
        <v>59</v>
      </c>
      <c r="H260" s="59">
        <v>0.89</v>
      </c>
      <c r="I260" s="60">
        <v>11.81</v>
      </c>
      <c r="J260" s="128">
        <f t="shared" si="30"/>
        <v>10.51</v>
      </c>
    </row>
    <row r="261" spans="1:10" ht="25.95" customHeight="1">
      <c r="A261" s="56" t="s">
        <v>153</v>
      </c>
      <c r="B261" s="57" t="s">
        <v>655</v>
      </c>
      <c r="C261" s="56" t="s">
        <v>29</v>
      </c>
      <c r="D261" s="56" t="s">
        <v>656</v>
      </c>
      <c r="E261" s="161" t="s">
        <v>216</v>
      </c>
      <c r="F261" s="161"/>
      <c r="G261" s="58" t="s">
        <v>40</v>
      </c>
      <c r="H261" s="59">
        <v>2.14</v>
      </c>
      <c r="I261" s="60">
        <v>12.43</v>
      </c>
      <c r="J261" s="128">
        <f t="shared" si="30"/>
        <v>26.6</v>
      </c>
    </row>
    <row r="262" spans="1:10" ht="39" customHeight="1">
      <c r="A262" s="56" t="s">
        <v>153</v>
      </c>
      <c r="B262" s="57" t="s">
        <v>613</v>
      </c>
      <c r="C262" s="56" t="s">
        <v>29</v>
      </c>
      <c r="D262" s="56" t="s">
        <v>614</v>
      </c>
      <c r="E262" s="161" t="s">
        <v>216</v>
      </c>
      <c r="F262" s="161"/>
      <c r="G262" s="58" t="s">
        <v>40</v>
      </c>
      <c r="H262" s="59">
        <v>2.14</v>
      </c>
      <c r="I262" s="60">
        <v>12.67</v>
      </c>
      <c r="J262" s="128">
        <f t="shared" si="30"/>
        <v>27.11</v>
      </c>
    </row>
    <row r="263" spans="1:10" ht="30" customHeight="1" thickBot="1">
      <c r="A263" s="61"/>
      <c r="B263" s="61"/>
      <c r="C263" s="61"/>
      <c r="D263" s="61"/>
      <c r="E263" s="61"/>
      <c r="F263" s="61"/>
      <c r="G263" s="61" t="s">
        <v>158</v>
      </c>
      <c r="H263" s="62">
        <f>'VOVÓ PESSOINHA'!F42</f>
        <v>2</v>
      </c>
      <c r="I263" s="61" t="s">
        <v>159</v>
      </c>
      <c r="J263" s="127">
        <f>'VOVÓ PESSOINHA'!I42</f>
        <v>337.7</v>
      </c>
    </row>
    <row r="264" spans="1:10" ht="1.05" customHeight="1" thickTop="1">
      <c r="A264" s="63"/>
      <c r="B264" s="63"/>
      <c r="C264" s="63"/>
      <c r="D264" s="63"/>
      <c r="E264" s="63"/>
      <c r="F264" s="63"/>
      <c r="G264" s="63"/>
      <c r="H264" s="63"/>
      <c r="I264" s="63"/>
      <c r="J264" s="129"/>
    </row>
    <row r="265" spans="1:10" ht="24" customHeight="1">
      <c r="A265" s="45" t="s">
        <v>89</v>
      </c>
      <c r="B265" s="45"/>
      <c r="C265" s="45"/>
      <c r="D265" s="45" t="s">
        <v>82</v>
      </c>
      <c r="E265" s="45"/>
      <c r="F265" s="158"/>
      <c r="G265" s="158"/>
      <c r="H265" s="46"/>
      <c r="I265" s="45"/>
      <c r="J265" s="130">
        <f>SUM(J278,J287,J294,J302,J311,J321,J331,J341)</f>
        <v>44586.1</v>
      </c>
    </row>
    <row r="266" spans="1:10" ht="18" customHeight="1">
      <c r="A266" s="48" t="s">
        <v>90</v>
      </c>
      <c r="B266" s="49" t="s">
        <v>9</v>
      </c>
      <c r="C266" s="48" t="s">
        <v>10</v>
      </c>
      <c r="D266" s="48" t="s">
        <v>11</v>
      </c>
      <c r="E266" s="159" t="s">
        <v>150</v>
      </c>
      <c r="F266" s="159"/>
      <c r="G266" s="50" t="s">
        <v>12</v>
      </c>
      <c r="H266" s="49" t="s">
        <v>13</v>
      </c>
      <c r="I266" s="49" t="s">
        <v>14</v>
      </c>
      <c r="J266" s="49" t="s">
        <v>16</v>
      </c>
    </row>
    <row r="267" spans="1:10" ht="52.05" customHeight="1">
      <c r="A267" s="51" t="s">
        <v>151</v>
      </c>
      <c r="B267" s="52" t="s">
        <v>345</v>
      </c>
      <c r="C267" s="51" t="s">
        <v>29</v>
      </c>
      <c r="D267" s="51" t="s">
        <v>346</v>
      </c>
      <c r="E267" s="160" t="s">
        <v>273</v>
      </c>
      <c r="F267" s="160"/>
      <c r="G267" s="53" t="s">
        <v>31</v>
      </c>
      <c r="H267" s="54">
        <v>1</v>
      </c>
      <c r="I267" s="55">
        <f>'VOVÓ PESSOINHA'!G44</f>
        <v>92.53</v>
      </c>
      <c r="J267" s="128">
        <f t="shared" ref="J267:J277" si="31">ROUND(H267*I267,2)</f>
        <v>92.53</v>
      </c>
    </row>
    <row r="268" spans="1:10" ht="25.95" customHeight="1">
      <c r="A268" s="56" t="s">
        <v>153</v>
      </c>
      <c r="B268" s="57" t="s">
        <v>370</v>
      </c>
      <c r="C268" s="56" t="s">
        <v>29</v>
      </c>
      <c r="D268" s="56" t="s">
        <v>371</v>
      </c>
      <c r="E268" s="161" t="s">
        <v>152</v>
      </c>
      <c r="F268" s="161"/>
      <c r="G268" s="58" t="s">
        <v>24</v>
      </c>
      <c r="H268" s="59">
        <v>0.40200000000000002</v>
      </c>
      <c r="I268" s="60">
        <v>20.27</v>
      </c>
      <c r="J268" s="128">
        <f t="shared" si="31"/>
        <v>8.15</v>
      </c>
    </row>
    <row r="269" spans="1:10" ht="24" customHeight="1">
      <c r="A269" s="56" t="s">
        <v>153</v>
      </c>
      <c r="B269" s="57" t="s">
        <v>168</v>
      </c>
      <c r="C269" s="56" t="s">
        <v>29</v>
      </c>
      <c r="D269" s="56" t="s">
        <v>169</v>
      </c>
      <c r="E269" s="161" t="s">
        <v>152</v>
      </c>
      <c r="F269" s="161"/>
      <c r="G269" s="58" t="s">
        <v>24</v>
      </c>
      <c r="H269" s="59">
        <v>0.4</v>
      </c>
      <c r="I269" s="60">
        <v>25</v>
      </c>
      <c r="J269" s="128">
        <f t="shared" si="31"/>
        <v>10</v>
      </c>
    </row>
    <row r="270" spans="1:10" ht="39" customHeight="1">
      <c r="A270" s="56" t="s">
        <v>153</v>
      </c>
      <c r="B270" s="57" t="s">
        <v>276</v>
      </c>
      <c r="C270" s="56" t="s">
        <v>29</v>
      </c>
      <c r="D270" s="56" t="s">
        <v>277</v>
      </c>
      <c r="E270" s="161" t="s">
        <v>278</v>
      </c>
      <c r="F270" s="161"/>
      <c r="G270" s="58" t="s">
        <v>279</v>
      </c>
      <c r="H270" s="59">
        <v>4.1200000000000001E-2</v>
      </c>
      <c r="I270" s="60">
        <v>31.23</v>
      </c>
      <c r="J270" s="128">
        <f t="shared" si="31"/>
        <v>1.29</v>
      </c>
    </row>
    <row r="271" spans="1:10" ht="39" customHeight="1">
      <c r="A271" s="56" t="s">
        <v>153</v>
      </c>
      <c r="B271" s="57" t="s">
        <v>280</v>
      </c>
      <c r="C271" s="56" t="s">
        <v>29</v>
      </c>
      <c r="D271" s="56" t="s">
        <v>281</v>
      </c>
      <c r="E271" s="161" t="s">
        <v>278</v>
      </c>
      <c r="F271" s="161"/>
      <c r="G271" s="58" t="s">
        <v>282</v>
      </c>
      <c r="H271" s="59">
        <v>5.7099999999999998E-2</v>
      </c>
      <c r="I271" s="60">
        <v>30.17</v>
      </c>
      <c r="J271" s="128">
        <f t="shared" si="31"/>
        <v>1.72</v>
      </c>
    </row>
    <row r="272" spans="1:10" ht="25.95" customHeight="1">
      <c r="A272" s="64" t="s">
        <v>164</v>
      </c>
      <c r="B272" s="65" t="s">
        <v>438</v>
      </c>
      <c r="C272" s="64" t="s">
        <v>29</v>
      </c>
      <c r="D272" s="64" t="s">
        <v>439</v>
      </c>
      <c r="E272" s="157" t="s">
        <v>167</v>
      </c>
      <c r="F272" s="157"/>
      <c r="G272" s="66" t="s">
        <v>40</v>
      </c>
      <c r="H272" s="67">
        <v>2.573</v>
      </c>
      <c r="I272" s="68">
        <v>2.95</v>
      </c>
      <c r="J272" s="128">
        <f t="shared" si="31"/>
        <v>7.59</v>
      </c>
    </row>
    <row r="273" spans="1:10" ht="25.95" customHeight="1">
      <c r="A273" s="64" t="s">
        <v>164</v>
      </c>
      <c r="B273" s="65" t="s">
        <v>440</v>
      </c>
      <c r="C273" s="64" t="s">
        <v>29</v>
      </c>
      <c r="D273" s="64" t="s">
        <v>441</v>
      </c>
      <c r="E273" s="157" t="s">
        <v>167</v>
      </c>
      <c r="F273" s="157"/>
      <c r="G273" s="66" t="s">
        <v>40</v>
      </c>
      <c r="H273" s="67">
        <v>0.73499999999999999</v>
      </c>
      <c r="I273" s="68">
        <v>32.78</v>
      </c>
      <c r="J273" s="128">
        <f t="shared" si="31"/>
        <v>24.09</v>
      </c>
    </row>
    <row r="274" spans="1:10" ht="25.95" customHeight="1">
      <c r="A274" s="64" t="s">
        <v>164</v>
      </c>
      <c r="B274" s="65" t="s">
        <v>442</v>
      </c>
      <c r="C274" s="64" t="s">
        <v>29</v>
      </c>
      <c r="D274" s="64" t="s">
        <v>443</v>
      </c>
      <c r="E274" s="157" t="s">
        <v>167</v>
      </c>
      <c r="F274" s="157"/>
      <c r="G274" s="66" t="s">
        <v>40</v>
      </c>
      <c r="H274" s="67">
        <v>2.3359999999999999</v>
      </c>
      <c r="I274" s="68">
        <v>15.5</v>
      </c>
      <c r="J274" s="128">
        <f t="shared" si="31"/>
        <v>36.21</v>
      </c>
    </row>
    <row r="275" spans="1:10" ht="25.95" customHeight="1">
      <c r="A275" s="64" t="s">
        <v>164</v>
      </c>
      <c r="B275" s="65" t="s">
        <v>384</v>
      </c>
      <c r="C275" s="64" t="s">
        <v>29</v>
      </c>
      <c r="D275" s="64" t="s">
        <v>385</v>
      </c>
      <c r="E275" s="157" t="s">
        <v>167</v>
      </c>
      <c r="F275" s="157"/>
      <c r="G275" s="66" t="s">
        <v>126</v>
      </c>
      <c r="H275" s="67">
        <v>7.0000000000000007E-2</v>
      </c>
      <c r="I275" s="68">
        <v>24.78</v>
      </c>
      <c r="J275" s="128">
        <f t="shared" si="31"/>
        <v>1.73</v>
      </c>
    </row>
    <row r="276" spans="1:10" ht="25.95" customHeight="1">
      <c r="A276" s="64" t="s">
        <v>164</v>
      </c>
      <c r="B276" s="65" t="s">
        <v>444</v>
      </c>
      <c r="C276" s="64" t="s">
        <v>29</v>
      </c>
      <c r="D276" s="64" t="s">
        <v>445</v>
      </c>
      <c r="E276" s="157" t="s">
        <v>167</v>
      </c>
      <c r="F276" s="157"/>
      <c r="G276" s="66" t="s">
        <v>126</v>
      </c>
      <c r="H276" s="67">
        <v>0.05</v>
      </c>
      <c r="I276" s="68">
        <v>22.36</v>
      </c>
      <c r="J276" s="128">
        <f t="shared" si="31"/>
        <v>1.1200000000000001</v>
      </c>
    </row>
    <row r="277" spans="1:10" ht="25.95" customHeight="1">
      <c r="A277" s="64" t="s">
        <v>164</v>
      </c>
      <c r="B277" s="65" t="s">
        <v>446</v>
      </c>
      <c r="C277" s="64" t="s">
        <v>29</v>
      </c>
      <c r="D277" s="64" t="s">
        <v>447</v>
      </c>
      <c r="E277" s="157" t="s">
        <v>167</v>
      </c>
      <c r="F277" s="157"/>
      <c r="G277" s="66" t="s">
        <v>126</v>
      </c>
      <c r="H277" s="67">
        <v>0.03</v>
      </c>
      <c r="I277" s="68">
        <v>22.55</v>
      </c>
      <c r="J277" s="128">
        <f t="shared" si="31"/>
        <v>0.68</v>
      </c>
    </row>
    <row r="278" spans="1:10" ht="30" customHeight="1" thickBot="1">
      <c r="A278" s="61"/>
      <c r="B278" s="61"/>
      <c r="C278" s="61"/>
      <c r="D278" s="61"/>
      <c r="E278" s="61"/>
      <c r="F278" s="61"/>
      <c r="G278" s="61" t="s">
        <v>158</v>
      </c>
      <c r="H278" s="62">
        <f>'VOVÓ PESSOINHA'!F44</f>
        <v>167.4</v>
      </c>
      <c r="I278" s="61" t="s">
        <v>159</v>
      </c>
      <c r="J278" s="127">
        <f>'VOVÓ PESSOINHA'!I44</f>
        <v>19033.52</v>
      </c>
    </row>
    <row r="279" spans="1:10" ht="1.05" customHeight="1" thickTop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</row>
    <row r="280" spans="1:10" ht="18" customHeight="1">
      <c r="A280" s="48" t="s">
        <v>357</v>
      </c>
      <c r="B280" s="49" t="s">
        <v>9</v>
      </c>
      <c r="C280" s="48" t="s">
        <v>10</v>
      </c>
      <c r="D280" s="48" t="s">
        <v>11</v>
      </c>
      <c r="E280" s="159" t="s">
        <v>150</v>
      </c>
      <c r="F280" s="159"/>
      <c r="G280" s="50" t="s">
        <v>12</v>
      </c>
      <c r="H280" s="49" t="s">
        <v>13</v>
      </c>
      <c r="I280" s="49" t="s">
        <v>14</v>
      </c>
      <c r="J280" s="49" t="s">
        <v>16</v>
      </c>
    </row>
    <row r="281" spans="1:10" ht="39" customHeight="1">
      <c r="A281" s="51" t="s">
        <v>151</v>
      </c>
      <c r="B281" s="52" t="s">
        <v>347</v>
      </c>
      <c r="C281" s="51" t="s">
        <v>29</v>
      </c>
      <c r="D281" s="51" t="s">
        <v>348</v>
      </c>
      <c r="E281" s="160" t="s">
        <v>273</v>
      </c>
      <c r="F281" s="160"/>
      <c r="G281" s="53" t="s">
        <v>31</v>
      </c>
      <c r="H281" s="54">
        <v>1</v>
      </c>
      <c r="I281" s="55">
        <f>'VOVÓ PESSOINHA'!G45</f>
        <v>51.4</v>
      </c>
      <c r="J281" s="128">
        <f t="shared" ref="J281:J286" si="32">ROUND(H281*I281,2)</f>
        <v>51.4</v>
      </c>
    </row>
    <row r="282" spans="1:10" ht="24" customHeight="1">
      <c r="A282" s="56" t="s">
        <v>153</v>
      </c>
      <c r="B282" s="57" t="s">
        <v>156</v>
      </c>
      <c r="C282" s="56" t="s">
        <v>29</v>
      </c>
      <c r="D282" s="56" t="s">
        <v>157</v>
      </c>
      <c r="E282" s="161" t="s">
        <v>152</v>
      </c>
      <c r="F282" s="161"/>
      <c r="G282" s="58" t="s">
        <v>24</v>
      </c>
      <c r="H282" s="59">
        <v>0.39900000000000002</v>
      </c>
      <c r="I282" s="60">
        <v>20.420000000000002</v>
      </c>
      <c r="J282" s="128">
        <f t="shared" si="32"/>
        <v>8.15</v>
      </c>
    </row>
    <row r="283" spans="1:10" ht="24" customHeight="1">
      <c r="A283" s="56" t="s">
        <v>153</v>
      </c>
      <c r="B283" s="57" t="s">
        <v>274</v>
      </c>
      <c r="C283" s="56" t="s">
        <v>29</v>
      </c>
      <c r="D283" s="56" t="s">
        <v>275</v>
      </c>
      <c r="E283" s="161" t="s">
        <v>152</v>
      </c>
      <c r="F283" s="161"/>
      <c r="G283" s="58" t="s">
        <v>24</v>
      </c>
      <c r="H283" s="59">
        <v>0.13300000000000001</v>
      </c>
      <c r="I283" s="60">
        <v>24.76</v>
      </c>
      <c r="J283" s="128">
        <f t="shared" si="32"/>
        <v>3.29</v>
      </c>
    </row>
    <row r="284" spans="1:10" ht="39" customHeight="1">
      <c r="A284" s="56" t="s">
        <v>153</v>
      </c>
      <c r="B284" s="57" t="s">
        <v>276</v>
      </c>
      <c r="C284" s="56" t="s">
        <v>29</v>
      </c>
      <c r="D284" s="56" t="s">
        <v>277</v>
      </c>
      <c r="E284" s="161" t="s">
        <v>278</v>
      </c>
      <c r="F284" s="161"/>
      <c r="G284" s="58" t="s">
        <v>279</v>
      </c>
      <c r="H284" s="59">
        <v>3.7199999999999997E-2</v>
      </c>
      <c r="I284" s="60">
        <v>31.23</v>
      </c>
      <c r="J284" s="128">
        <f t="shared" si="32"/>
        <v>1.1599999999999999</v>
      </c>
    </row>
    <row r="285" spans="1:10" ht="39" customHeight="1">
      <c r="A285" s="56" t="s">
        <v>153</v>
      </c>
      <c r="B285" s="57" t="s">
        <v>280</v>
      </c>
      <c r="C285" s="56" t="s">
        <v>29</v>
      </c>
      <c r="D285" s="56" t="s">
        <v>281</v>
      </c>
      <c r="E285" s="161" t="s">
        <v>278</v>
      </c>
      <c r="F285" s="161"/>
      <c r="G285" s="58" t="s">
        <v>282</v>
      </c>
      <c r="H285" s="59">
        <v>5.16E-2</v>
      </c>
      <c r="I285" s="60">
        <v>30.17</v>
      </c>
      <c r="J285" s="128">
        <f t="shared" si="32"/>
        <v>1.56</v>
      </c>
    </row>
    <row r="286" spans="1:10" ht="52.05" customHeight="1">
      <c r="A286" s="64" t="s">
        <v>164</v>
      </c>
      <c r="B286" s="65" t="s">
        <v>283</v>
      </c>
      <c r="C286" s="64" t="s">
        <v>29</v>
      </c>
      <c r="D286" s="64" t="s">
        <v>284</v>
      </c>
      <c r="E286" s="157" t="s">
        <v>167</v>
      </c>
      <c r="F286" s="157"/>
      <c r="G286" s="66" t="s">
        <v>285</v>
      </c>
      <c r="H286" s="67">
        <v>2.75E-2</v>
      </c>
      <c r="I286" s="68">
        <v>1355</v>
      </c>
      <c r="J286" s="128">
        <f t="shared" si="32"/>
        <v>37.26</v>
      </c>
    </row>
    <row r="287" spans="1:10" ht="30" customHeight="1" thickBot="1">
      <c r="A287" s="61"/>
      <c r="B287" s="61"/>
      <c r="C287" s="61"/>
      <c r="D287" s="61"/>
      <c r="E287" s="61"/>
      <c r="F287" s="61"/>
      <c r="G287" s="61" t="s">
        <v>158</v>
      </c>
      <c r="H287" s="62">
        <f>'VOVÓ PESSOINHA'!F45</f>
        <v>167.4</v>
      </c>
      <c r="I287" s="61" t="s">
        <v>159</v>
      </c>
      <c r="J287" s="127">
        <f>'VOVÓ PESSOINHA'!I45</f>
        <v>10573.04</v>
      </c>
    </row>
    <row r="288" spans="1:10" ht="1.05" customHeight="1" thickTop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</row>
    <row r="289" spans="1:11" ht="18" customHeight="1">
      <c r="A289" s="48" t="s">
        <v>526</v>
      </c>
      <c r="B289" s="49" t="s">
        <v>9</v>
      </c>
      <c r="C289" s="48" t="s">
        <v>10</v>
      </c>
      <c r="D289" s="48" t="s">
        <v>11</v>
      </c>
      <c r="E289" s="159" t="s">
        <v>150</v>
      </c>
      <c r="F289" s="159"/>
      <c r="G289" s="50" t="s">
        <v>12</v>
      </c>
      <c r="H289" s="49" t="s">
        <v>13</v>
      </c>
      <c r="I289" s="49" t="s">
        <v>14</v>
      </c>
      <c r="J289" s="49" t="s">
        <v>16</v>
      </c>
    </row>
    <row r="290" spans="1:11" ht="25.95" customHeight="1">
      <c r="A290" s="51" t="s">
        <v>151</v>
      </c>
      <c r="B290" s="52" t="s">
        <v>350</v>
      </c>
      <c r="C290" s="51" t="s">
        <v>22</v>
      </c>
      <c r="D290" s="51" t="s">
        <v>351</v>
      </c>
      <c r="E290" s="160" t="s">
        <v>205</v>
      </c>
      <c r="F290" s="160"/>
      <c r="G290" s="53" t="s">
        <v>40</v>
      </c>
      <c r="H290" s="54">
        <v>1</v>
      </c>
      <c r="I290" s="55">
        <f>'VOVÓ PESSOINHA'!G46</f>
        <v>234.61</v>
      </c>
      <c r="J290" s="128">
        <f t="shared" ref="J290:J293" si="33">ROUND(H290*I290,2)</f>
        <v>234.61</v>
      </c>
      <c r="K290" s="143"/>
    </row>
    <row r="291" spans="1:11" ht="24" customHeight="1">
      <c r="A291" s="56" t="s">
        <v>153</v>
      </c>
      <c r="B291" s="57" t="s">
        <v>168</v>
      </c>
      <c r="C291" s="56" t="s">
        <v>29</v>
      </c>
      <c r="D291" s="56" t="s">
        <v>169</v>
      </c>
      <c r="E291" s="161" t="s">
        <v>152</v>
      </c>
      <c r="F291" s="161"/>
      <c r="G291" s="58" t="s">
        <v>24</v>
      </c>
      <c r="H291" s="59">
        <v>2.4</v>
      </c>
      <c r="I291" s="60">
        <v>25</v>
      </c>
      <c r="J291" s="128">
        <f t="shared" si="33"/>
        <v>60</v>
      </c>
      <c r="K291" s="143"/>
    </row>
    <row r="292" spans="1:11" ht="24" customHeight="1">
      <c r="A292" s="56" t="s">
        <v>153</v>
      </c>
      <c r="B292" s="57" t="s">
        <v>156</v>
      </c>
      <c r="C292" s="56" t="s">
        <v>29</v>
      </c>
      <c r="D292" s="56" t="s">
        <v>157</v>
      </c>
      <c r="E292" s="161" t="s">
        <v>152</v>
      </c>
      <c r="F292" s="161"/>
      <c r="G292" s="58" t="s">
        <v>24</v>
      </c>
      <c r="H292" s="59">
        <v>2.4</v>
      </c>
      <c r="I292" s="60">
        <v>20.420000000000002</v>
      </c>
      <c r="J292" s="128">
        <f t="shared" si="33"/>
        <v>49.01</v>
      </c>
    </row>
    <row r="293" spans="1:11" ht="25.95" customHeight="1">
      <c r="A293" s="64" t="s">
        <v>164</v>
      </c>
      <c r="B293" s="65" t="s">
        <v>448</v>
      </c>
      <c r="C293" s="64" t="s">
        <v>209</v>
      </c>
      <c r="D293" s="64" t="s">
        <v>449</v>
      </c>
      <c r="E293" s="157" t="s">
        <v>167</v>
      </c>
      <c r="F293" s="157"/>
      <c r="G293" s="66" t="s">
        <v>450</v>
      </c>
      <c r="H293" s="67">
        <v>1</v>
      </c>
      <c r="I293" s="68">
        <v>125.6</v>
      </c>
      <c r="J293" s="128">
        <f t="shared" si="33"/>
        <v>125.6</v>
      </c>
    </row>
    <row r="294" spans="1:11" ht="30" customHeight="1" thickBot="1">
      <c r="A294" s="61"/>
      <c r="B294" s="61"/>
      <c r="C294" s="61"/>
      <c r="D294" s="61"/>
      <c r="E294" s="61"/>
      <c r="F294" s="61"/>
      <c r="G294" s="61" t="s">
        <v>158</v>
      </c>
      <c r="H294" s="62">
        <f>'VOVÓ PESSOINHA'!F46</f>
        <v>17</v>
      </c>
      <c r="I294" s="61" t="s">
        <v>159</v>
      </c>
      <c r="J294" s="127">
        <f>'VOVÓ PESSOINHA'!I46</f>
        <v>4900.91</v>
      </c>
    </row>
    <row r="295" spans="1:11" ht="1.05" customHeight="1" thickTop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</row>
    <row r="296" spans="1:11" ht="18" customHeight="1">
      <c r="A296" s="48" t="s">
        <v>527</v>
      </c>
      <c r="B296" s="49" t="s">
        <v>9</v>
      </c>
      <c r="C296" s="48" t="s">
        <v>10</v>
      </c>
      <c r="D296" s="48" t="s">
        <v>11</v>
      </c>
      <c r="E296" s="159" t="s">
        <v>150</v>
      </c>
      <c r="F296" s="159"/>
      <c r="G296" s="50" t="s">
        <v>12</v>
      </c>
      <c r="H296" s="49" t="s">
        <v>13</v>
      </c>
      <c r="I296" s="49" t="s">
        <v>14</v>
      </c>
      <c r="J296" s="49" t="s">
        <v>16</v>
      </c>
    </row>
    <row r="297" spans="1:11" ht="39" customHeight="1">
      <c r="A297" s="51" t="s">
        <v>151</v>
      </c>
      <c r="B297" s="52" t="s">
        <v>353</v>
      </c>
      <c r="C297" s="51" t="s">
        <v>29</v>
      </c>
      <c r="D297" s="51" t="s">
        <v>354</v>
      </c>
      <c r="E297" s="160" t="s">
        <v>216</v>
      </c>
      <c r="F297" s="160"/>
      <c r="G297" s="53" t="s">
        <v>40</v>
      </c>
      <c r="H297" s="54">
        <v>1</v>
      </c>
      <c r="I297" s="55">
        <f>'VOVÓ PESSOINHA'!G47</f>
        <v>46.85</v>
      </c>
      <c r="J297" s="128">
        <f t="shared" ref="J297:J301" si="34">ROUND(H297*I297,2)</f>
        <v>46.85</v>
      </c>
    </row>
    <row r="298" spans="1:11" ht="25.95" customHeight="1">
      <c r="A298" s="56" t="s">
        <v>153</v>
      </c>
      <c r="B298" s="57" t="s">
        <v>451</v>
      </c>
      <c r="C298" s="56" t="s">
        <v>29</v>
      </c>
      <c r="D298" s="56" t="s">
        <v>452</v>
      </c>
      <c r="E298" s="161" t="s">
        <v>152</v>
      </c>
      <c r="F298" s="161"/>
      <c r="G298" s="58" t="s">
        <v>24</v>
      </c>
      <c r="H298" s="59">
        <v>0.40239999999999998</v>
      </c>
      <c r="I298" s="60">
        <v>19.82</v>
      </c>
      <c r="J298" s="128">
        <f t="shared" si="34"/>
        <v>7.98</v>
      </c>
    </row>
    <row r="299" spans="1:11" ht="25.95" customHeight="1">
      <c r="A299" s="56" t="s">
        <v>153</v>
      </c>
      <c r="B299" s="57" t="s">
        <v>217</v>
      </c>
      <c r="C299" s="56" t="s">
        <v>29</v>
      </c>
      <c r="D299" s="56" t="s">
        <v>218</v>
      </c>
      <c r="E299" s="161" t="s">
        <v>152</v>
      </c>
      <c r="F299" s="161"/>
      <c r="G299" s="58" t="s">
        <v>24</v>
      </c>
      <c r="H299" s="59">
        <v>0.40239999999999998</v>
      </c>
      <c r="I299" s="60">
        <v>24.63</v>
      </c>
      <c r="J299" s="128">
        <f t="shared" si="34"/>
        <v>9.91</v>
      </c>
    </row>
    <row r="300" spans="1:11" ht="25.95" customHeight="1">
      <c r="A300" s="64" t="s">
        <v>164</v>
      </c>
      <c r="B300" s="65" t="s">
        <v>453</v>
      </c>
      <c r="C300" s="64" t="s">
        <v>29</v>
      </c>
      <c r="D300" s="64" t="s">
        <v>454</v>
      </c>
      <c r="E300" s="157" t="s">
        <v>167</v>
      </c>
      <c r="F300" s="157"/>
      <c r="G300" s="66" t="s">
        <v>40</v>
      </c>
      <c r="H300" s="67">
        <v>1.0353000000000001</v>
      </c>
      <c r="I300" s="68">
        <v>27.94</v>
      </c>
      <c r="J300" s="128">
        <f t="shared" si="34"/>
        <v>28.93</v>
      </c>
    </row>
    <row r="301" spans="1:11" ht="24" customHeight="1">
      <c r="A301" s="64" t="s">
        <v>164</v>
      </c>
      <c r="B301" s="65" t="s">
        <v>455</v>
      </c>
      <c r="C301" s="64" t="s">
        <v>29</v>
      </c>
      <c r="D301" s="64" t="s">
        <v>456</v>
      </c>
      <c r="E301" s="157" t="s">
        <v>167</v>
      </c>
      <c r="F301" s="157"/>
      <c r="G301" s="66" t="s">
        <v>59</v>
      </c>
      <c r="H301" s="67">
        <v>2.24E-2</v>
      </c>
      <c r="I301" s="68">
        <v>2.46</v>
      </c>
      <c r="J301" s="128">
        <f t="shared" si="34"/>
        <v>0.06</v>
      </c>
    </row>
    <row r="302" spans="1:11" ht="30" customHeight="1" thickBot="1">
      <c r="A302" s="61"/>
      <c r="B302" s="61"/>
      <c r="C302" s="61"/>
      <c r="D302" s="61"/>
      <c r="E302" s="61"/>
      <c r="F302" s="61"/>
      <c r="G302" s="61" t="s">
        <v>158</v>
      </c>
      <c r="H302" s="62">
        <f>'VOVÓ PESSOINHA'!F47</f>
        <v>15</v>
      </c>
      <c r="I302" s="61" t="s">
        <v>159</v>
      </c>
      <c r="J302" s="127">
        <f>'VOVÓ PESSOINHA'!I47</f>
        <v>863.54</v>
      </c>
    </row>
    <row r="303" spans="1:11" ht="1.05" customHeight="1" thickTop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</row>
    <row r="304" spans="1:11" ht="18" customHeight="1">
      <c r="A304" s="48" t="s">
        <v>528</v>
      </c>
      <c r="B304" s="49" t="s">
        <v>9</v>
      </c>
      <c r="C304" s="48" t="s">
        <v>10</v>
      </c>
      <c r="D304" s="48" t="s">
        <v>11</v>
      </c>
      <c r="E304" s="159" t="s">
        <v>150</v>
      </c>
      <c r="F304" s="159"/>
      <c r="G304" s="50" t="s">
        <v>12</v>
      </c>
      <c r="H304" s="49" t="s">
        <v>13</v>
      </c>
      <c r="I304" s="49" t="s">
        <v>14</v>
      </c>
      <c r="J304" s="49" t="s">
        <v>16</v>
      </c>
    </row>
    <row r="305" spans="1:10" ht="39" customHeight="1">
      <c r="A305" s="51" t="s">
        <v>151</v>
      </c>
      <c r="B305" s="52" t="s">
        <v>84</v>
      </c>
      <c r="C305" s="51" t="s">
        <v>29</v>
      </c>
      <c r="D305" s="51" t="s">
        <v>85</v>
      </c>
      <c r="E305" s="160" t="s">
        <v>273</v>
      </c>
      <c r="F305" s="160"/>
      <c r="G305" s="53" t="s">
        <v>31</v>
      </c>
      <c r="H305" s="54">
        <v>1</v>
      </c>
      <c r="I305" s="55">
        <f>'VOVÓ PESSOINHA'!G48</f>
        <v>18.329999999999998</v>
      </c>
      <c r="J305" s="128">
        <f t="shared" ref="J305:J310" si="35">ROUND(H305*I305,2)</f>
        <v>18.329999999999998</v>
      </c>
    </row>
    <row r="306" spans="1:10" ht="24" customHeight="1">
      <c r="A306" s="56" t="s">
        <v>153</v>
      </c>
      <c r="B306" s="57" t="s">
        <v>156</v>
      </c>
      <c r="C306" s="56" t="s">
        <v>29</v>
      </c>
      <c r="D306" s="56" t="s">
        <v>157</v>
      </c>
      <c r="E306" s="161" t="s">
        <v>152</v>
      </c>
      <c r="F306" s="161"/>
      <c r="G306" s="58" t="s">
        <v>24</v>
      </c>
      <c r="H306" s="59">
        <v>0.28499999999999998</v>
      </c>
      <c r="I306" s="60">
        <v>20.420000000000002</v>
      </c>
      <c r="J306" s="128">
        <f t="shared" si="35"/>
        <v>5.82</v>
      </c>
    </row>
    <row r="307" spans="1:10" ht="24" customHeight="1">
      <c r="A307" s="56" t="s">
        <v>153</v>
      </c>
      <c r="B307" s="57" t="s">
        <v>274</v>
      </c>
      <c r="C307" s="56" t="s">
        <v>29</v>
      </c>
      <c r="D307" s="56" t="s">
        <v>275</v>
      </c>
      <c r="E307" s="161" t="s">
        <v>152</v>
      </c>
      <c r="F307" s="161"/>
      <c r="G307" s="58" t="s">
        <v>24</v>
      </c>
      <c r="H307" s="59">
        <v>0.183</v>
      </c>
      <c r="I307" s="60">
        <v>24.76</v>
      </c>
      <c r="J307" s="128">
        <f t="shared" si="35"/>
        <v>4.53</v>
      </c>
    </row>
    <row r="308" spans="1:10" ht="39" customHeight="1">
      <c r="A308" s="56" t="s">
        <v>153</v>
      </c>
      <c r="B308" s="57" t="s">
        <v>276</v>
      </c>
      <c r="C308" s="56" t="s">
        <v>29</v>
      </c>
      <c r="D308" s="56" t="s">
        <v>277</v>
      </c>
      <c r="E308" s="161" t="s">
        <v>278</v>
      </c>
      <c r="F308" s="161"/>
      <c r="G308" s="58" t="s">
        <v>279</v>
      </c>
      <c r="H308" s="59">
        <v>7.4000000000000003E-3</v>
      </c>
      <c r="I308" s="60">
        <v>31.23</v>
      </c>
      <c r="J308" s="128">
        <f t="shared" si="35"/>
        <v>0.23</v>
      </c>
    </row>
    <row r="309" spans="1:10" ht="39" customHeight="1">
      <c r="A309" s="56" t="s">
        <v>153</v>
      </c>
      <c r="B309" s="57" t="s">
        <v>280</v>
      </c>
      <c r="C309" s="56" t="s">
        <v>29</v>
      </c>
      <c r="D309" s="56" t="s">
        <v>281</v>
      </c>
      <c r="E309" s="161" t="s">
        <v>278</v>
      </c>
      <c r="F309" s="161"/>
      <c r="G309" s="58" t="s">
        <v>282</v>
      </c>
      <c r="H309" s="59">
        <v>1.03E-2</v>
      </c>
      <c r="I309" s="60">
        <v>30.17</v>
      </c>
      <c r="J309" s="128">
        <f t="shared" si="35"/>
        <v>0.31</v>
      </c>
    </row>
    <row r="310" spans="1:10" ht="52.05" customHeight="1">
      <c r="A310" s="64" t="s">
        <v>164</v>
      </c>
      <c r="B310" s="65" t="s">
        <v>283</v>
      </c>
      <c r="C310" s="64" t="s">
        <v>29</v>
      </c>
      <c r="D310" s="64" t="s">
        <v>284</v>
      </c>
      <c r="E310" s="157" t="s">
        <v>167</v>
      </c>
      <c r="F310" s="157"/>
      <c r="G310" s="66" t="s">
        <v>285</v>
      </c>
      <c r="H310" s="67">
        <v>5.4999999999999997E-3</v>
      </c>
      <c r="I310" s="68">
        <v>1355</v>
      </c>
      <c r="J310" s="128">
        <f t="shared" si="35"/>
        <v>7.45</v>
      </c>
    </row>
    <row r="311" spans="1:10" ht="30" customHeight="1" thickBot="1">
      <c r="A311" s="61"/>
      <c r="B311" s="61"/>
      <c r="C311" s="61"/>
      <c r="D311" s="61"/>
      <c r="E311" s="61"/>
      <c r="F311" s="61"/>
      <c r="G311" s="61" t="s">
        <v>158</v>
      </c>
      <c r="H311" s="62">
        <f>'VOVÓ PESSOINHA'!F48</f>
        <v>251</v>
      </c>
      <c r="I311" s="61" t="s">
        <v>159</v>
      </c>
      <c r="J311" s="127">
        <f>'VOVÓ PESSOINHA'!I48</f>
        <v>5653.5</v>
      </c>
    </row>
    <row r="312" spans="1:10" ht="1.05" customHeight="1" thickTop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</row>
    <row r="313" spans="1:10" ht="18" customHeight="1">
      <c r="A313" s="48" t="s">
        <v>529</v>
      </c>
      <c r="B313" s="49" t="s">
        <v>9</v>
      </c>
      <c r="C313" s="48" t="s">
        <v>10</v>
      </c>
      <c r="D313" s="48" t="s">
        <v>11</v>
      </c>
      <c r="E313" s="159" t="s">
        <v>150</v>
      </c>
      <c r="F313" s="159"/>
      <c r="G313" s="50" t="s">
        <v>12</v>
      </c>
      <c r="H313" s="49" t="s">
        <v>13</v>
      </c>
      <c r="I313" s="49" t="s">
        <v>14</v>
      </c>
      <c r="J313" s="49" t="s">
        <v>16</v>
      </c>
    </row>
    <row r="314" spans="1:10" ht="52.05" customHeight="1">
      <c r="A314" s="51" t="s">
        <v>151</v>
      </c>
      <c r="B314" s="52" t="s">
        <v>87</v>
      </c>
      <c r="C314" s="51" t="s">
        <v>29</v>
      </c>
      <c r="D314" s="51" t="s">
        <v>88</v>
      </c>
      <c r="E314" s="160" t="s">
        <v>273</v>
      </c>
      <c r="F314" s="160"/>
      <c r="G314" s="53" t="s">
        <v>40</v>
      </c>
      <c r="H314" s="54">
        <v>1</v>
      </c>
      <c r="I314" s="55">
        <f>'VOVÓ PESSOINHA'!G49</f>
        <v>33.090000000000003</v>
      </c>
      <c r="J314" s="128">
        <f t="shared" ref="J314:J320" si="36">ROUND(H314*I314,2)</f>
        <v>33.090000000000003</v>
      </c>
    </row>
    <row r="315" spans="1:10" ht="64.95" customHeight="1">
      <c r="A315" s="56" t="s">
        <v>153</v>
      </c>
      <c r="B315" s="57" t="s">
        <v>286</v>
      </c>
      <c r="C315" s="56" t="s">
        <v>29</v>
      </c>
      <c r="D315" s="56" t="s">
        <v>287</v>
      </c>
      <c r="E315" s="161" t="s">
        <v>152</v>
      </c>
      <c r="F315" s="161"/>
      <c r="G315" s="58" t="s">
        <v>163</v>
      </c>
      <c r="H315" s="59">
        <v>1.17E-2</v>
      </c>
      <c r="I315" s="60">
        <v>634.25</v>
      </c>
      <c r="J315" s="128">
        <f t="shared" si="36"/>
        <v>7.42</v>
      </c>
    </row>
    <row r="316" spans="1:10" ht="24" customHeight="1">
      <c r="A316" s="56" t="s">
        <v>153</v>
      </c>
      <c r="B316" s="57" t="s">
        <v>156</v>
      </c>
      <c r="C316" s="56" t="s">
        <v>29</v>
      </c>
      <c r="D316" s="56" t="s">
        <v>157</v>
      </c>
      <c r="E316" s="161" t="s">
        <v>152</v>
      </c>
      <c r="F316" s="161"/>
      <c r="G316" s="58" t="s">
        <v>24</v>
      </c>
      <c r="H316" s="59">
        <v>0.35</v>
      </c>
      <c r="I316" s="60">
        <v>20.420000000000002</v>
      </c>
      <c r="J316" s="128">
        <f t="shared" si="36"/>
        <v>7.15</v>
      </c>
    </row>
    <row r="317" spans="1:10" ht="24" customHeight="1">
      <c r="A317" s="56" t="s">
        <v>153</v>
      </c>
      <c r="B317" s="57" t="s">
        <v>274</v>
      </c>
      <c r="C317" s="56" t="s">
        <v>29</v>
      </c>
      <c r="D317" s="56" t="s">
        <v>275</v>
      </c>
      <c r="E317" s="161" t="s">
        <v>152</v>
      </c>
      <c r="F317" s="161"/>
      <c r="G317" s="58" t="s">
        <v>24</v>
      </c>
      <c r="H317" s="59">
        <v>0.30499999999999999</v>
      </c>
      <c r="I317" s="60">
        <v>24.76</v>
      </c>
      <c r="J317" s="128">
        <f t="shared" si="36"/>
        <v>7.55</v>
      </c>
    </row>
    <row r="318" spans="1:10" ht="39" customHeight="1">
      <c r="A318" s="56" t="s">
        <v>153</v>
      </c>
      <c r="B318" s="57" t="s">
        <v>276</v>
      </c>
      <c r="C318" s="56" t="s">
        <v>29</v>
      </c>
      <c r="D318" s="56" t="s">
        <v>277</v>
      </c>
      <c r="E318" s="161" t="s">
        <v>278</v>
      </c>
      <c r="F318" s="161"/>
      <c r="G318" s="58" t="s">
        <v>279</v>
      </c>
      <c r="H318" s="59">
        <v>6.3E-3</v>
      </c>
      <c r="I318" s="60">
        <v>31.23</v>
      </c>
      <c r="J318" s="128">
        <f t="shared" si="36"/>
        <v>0.2</v>
      </c>
    </row>
    <row r="319" spans="1:10" ht="39" customHeight="1">
      <c r="A319" s="56" t="s">
        <v>153</v>
      </c>
      <c r="B319" s="57" t="s">
        <v>280</v>
      </c>
      <c r="C319" s="56" t="s">
        <v>29</v>
      </c>
      <c r="D319" s="56" t="s">
        <v>281</v>
      </c>
      <c r="E319" s="161" t="s">
        <v>278</v>
      </c>
      <c r="F319" s="161"/>
      <c r="G319" s="58" t="s">
        <v>282</v>
      </c>
      <c r="H319" s="59">
        <v>8.6999999999999994E-3</v>
      </c>
      <c r="I319" s="60">
        <v>30.17</v>
      </c>
      <c r="J319" s="128">
        <f t="shared" si="36"/>
        <v>0.26</v>
      </c>
    </row>
    <row r="320" spans="1:10" ht="25.95" customHeight="1">
      <c r="A320" s="64" t="s">
        <v>164</v>
      </c>
      <c r="B320" s="65" t="s">
        <v>288</v>
      </c>
      <c r="C320" s="64" t="s">
        <v>29</v>
      </c>
      <c r="D320" s="64" t="s">
        <v>289</v>
      </c>
      <c r="E320" s="157" t="s">
        <v>167</v>
      </c>
      <c r="F320" s="157"/>
      <c r="G320" s="66" t="s">
        <v>59</v>
      </c>
      <c r="H320" s="67">
        <v>3</v>
      </c>
      <c r="I320" s="68">
        <v>3.51</v>
      </c>
      <c r="J320" s="128">
        <f t="shared" si="36"/>
        <v>10.53</v>
      </c>
    </row>
    <row r="321" spans="1:10" ht="30" customHeight="1" thickBot="1">
      <c r="A321" s="61"/>
      <c r="B321" s="61"/>
      <c r="C321" s="61"/>
      <c r="D321" s="61"/>
      <c r="E321" s="61"/>
      <c r="F321" s="61"/>
      <c r="G321" s="61" t="s">
        <v>158</v>
      </c>
      <c r="H321" s="62">
        <f>'VOVÓ PESSOINHA'!F49</f>
        <v>27</v>
      </c>
      <c r="I321" s="61" t="s">
        <v>159</v>
      </c>
      <c r="J321" s="127">
        <f>'VOVÓ PESSOINHA'!I49</f>
        <v>1097.8499999999999</v>
      </c>
    </row>
    <row r="322" spans="1:10" ht="1.05" customHeight="1" thickTop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</row>
    <row r="323" spans="1:10" ht="18" customHeight="1">
      <c r="A323" s="48" t="s">
        <v>530</v>
      </c>
      <c r="B323" s="49" t="s">
        <v>9</v>
      </c>
      <c r="C323" s="48" t="s">
        <v>10</v>
      </c>
      <c r="D323" s="48" t="s">
        <v>11</v>
      </c>
      <c r="E323" s="159" t="s">
        <v>150</v>
      </c>
      <c r="F323" s="159"/>
      <c r="G323" s="50" t="s">
        <v>12</v>
      </c>
      <c r="H323" s="49" t="s">
        <v>13</v>
      </c>
      <c r="I323" s="49" t="s">
        <v>14</v>
      </c>
      <c r="J323" s="49" t="s">
        <v>16</v>
      </c>
    </row>
    <row r="324" spans="1:10" ht="39" customHeight="1">
      <c r="A324" s="51" t="s">
        <v>151</v>
      </c>
      <c r="B324" s="52" t="s">
        <v>531</v>
      </c>
      <c r="C324" s="51" t="s">
        <v>29</v>
      </c>
      <c r="D324" s="51" t="s">
        <v>532</v>
      </c>
      <c r="E324" s="160" t="s">
        <v>273</v>
      </c>
      <c r="F324" s="160"/>
      <c r="G324" s="53" t="s">
        <v>31</v>
      </c>
      <c r="H324" s="54">
        <v>1</v>
      </c>
      <c r="I324" s="55">
        <f>'VOVÓ PESSOINHA'!G50</f>
        <v>20.16</v>
      </c>
      <c r="J324" s="128">
        <f t="shared" ref="J324:J330" si="37">ROUND(H324*I324,2)</f>
        <v>20.16</v>
      </c>
    </row>
    <row r="325" spans="1:10" ht="25.95" customHeight="1">
      <c r="A325" s="56" t="s">
        <v>153</v>
      </c>
      <c r="B325" s="57" t="s">
        <v>370</v>
      </c>
      <c r="C325" s="56" t="s">
        <v>29</v>
      </c>
      <c r="D325" s="56" t="s">
        <v>371</v>
      </c>
      <c r="E325" s="161" t="s">
        <v>152</v>
      </c>
      <c r="F325" s="161"/>
      <c r="G325" s="58" t="s">
        <v>24</v>
      </c>
      <c r="H325" s="59">
        <v>0.23</v>
      </c>
      <c r="I325" s="60">
        <v>20.27</v>
      </c>
      <c r="J325" s="128">
        <f t="shared" si="37"/>
        <v>4.66</v>
      </c>
    </row>
    <row r="326" spans="1:10" ht="24" customHeight="1">
      <c r="A326" s="56" t="s">
        <v>153</v>
      </c>
      <c r="B326" s="57" t="s">
        <v>168</v>
      </c>
      <c r="C326" s="56" t="s">
        <v>29</v>
      </c>
      <c r="D326" s="56" t="s">
        <v>169</v>
      </c>
      <c r="E326" s="161" t="s">
        <v>152</v>
      </c>
      <c r="F326" s="161"/>
      <c r="G326" s="58" t="s">
        <v>24</v>
      </c>
      <c r="H326" s="59">
        <v>0.27700000000000002</v>
      </c>
      <c r="I326" s="60">
        <v>25</v>
      </c>
      <c r="J326" s="128">
        <f t="shared" si="37"/>
        <v>6.93</v>
      </c>
    </row>
    <row r="327" spans="1:10" ht="39" customHeight="1">
      <c r="A327" s="56" t="s">
        <v>153</v>
      </c>
      <c r="B327" s="57" t="s">
        <v>276</v>
      </c>
      <c r="C327" s="56" t="s">
        <v>29</v>
      </c>
      <c r="D327" s="56" t="s">
        <v>277</v>
      </c>
      <c r="E327" s="161" t="s">
        <v>278</v>
      </c>
      <c r="F327" s="161"/>
      <c r="G327" s="58" t="s">
        <v>279</v>
      </c>
      <c r="H327" s="59">
        <v>3.3999999999999998E-3</v>
      </c>
      <c r="I327" s="60">
        <v>31.23</v>
      </c>
      <c r="J327" s="128">
        <f t="shared" si="37"/>
        <v>0.11</v>
      </c>
    </row>
    <row r="328" spans="1:10" ht="39" customHeight="1">
      <c r="A328" s="56" t="s">
        <v>153</v>
      </c>
      <c r="B328" s="57" t="s">
        <v>280</v>
      </c>
      <c r="C328" s="56" t="s">
        <v>29</v>
      </c>
      <c r="D328" s="56" t="s">
        <v>281</v>
      </c>
      <c r="E328" s="161" t="s">
        <v>278</v>
      </c>
      <c r="F328" s="161"/>
      <c r="G328" s="58" t="s">
        <v>282</v>
      </c>
      <c r="H328" s="59">
        <v>4.7000000000000002E-3</v>
      </c>
      <c r="I328" s="60">
        <v>30.17</v>
      </c>
      <c r="J328" s="128">
        <f t="shared" si="37"/>
        <v>0.14000000000000001</v>
      </c>
    </row>
    <row r="329" spans="1:10" ht="25.95" customHeight="1">
      <c r="A329" s="64" t="s">
        <v>164</v>
      </c>
      <c r="B329" s="65" t="s">
        <v>442</v>
      </c>
      <c r="C329" s="64" t="s">
        <v>29</v>
      </c>
      <c r="D329" s="64" t="s">
        <v>443</v>
      </c>
      <c r="E329" s="157" t="s">
        <v>167</v>
      </c>
      <c r="F329" s="157"/>
      <c r="G329" s="66" t="s">
        <v>40</v>
      </c>
      <c r="H329" s="67">
        <v>0.46700000000000003</v>
      </c>
      <c r="I329" s="68">
        <v>15.5</v>
      </c>
      <c r="J329" s="128">
        <f t="shared" si="37"/>
        <v>7.24</v>
      </c>
    </row>
    <row r="330" spans="1:10" ht="25.95" customHeight="1">
      <c r="A330" s="64" t="s">
        <v>164</v>
      </c>
      <c r="B330" s="65" t="s">
        <v>444</v>
      </c>
      <c r="C330" s="64" t="s">
        <v>29</v>
      </c>
      <c r="D330" s="64" t="s">
        <v>445</v>
      </c>
      <c r="E330" s="157" t="s">
        <v>167</v>
      </c>
      <c r="F330" s="157"/>
      <c r="G330" s="66" t="s">
        <v>126</v>
      </c>
      <c r="H330" s="67">
        <v>0.05</v>
      </c>
      <c r="I330" s="68">
        <v>22.36</v>
      </c>
      <c r="J330" s="128">
        <f t="shared" si="37"/>
        <v>1.1200000000000001</v>
      </c>
    </row>
    <row r="331" spans="1:10" ht="30" customHeight="1" thickBot="1">
      <c r="A331" s="61"/>
      <c r="B331" s="61"/>
      <c r="C331" s="61"/>
      <c r="D331" s="61"/>
      <c r="E331" s="61"/>
      <c r="F331" s="61"/>
      <c r="G331" s="61" t="s">
        <v>158</v>
      </c>
      <c r="H331" s="62">
        <f>'VOVÓ PESSOINHA'!F50</f>
        <v>50</v>
      </c>
      <c r="I331" s="61" t="s">
        <v>159</v>
      </c>
      <c r="J331" s="127">
        <f>'VOVÓ PESSOINHA'!I50</f>
        <v>1238.6300000000001</v>
      </c>
    </row>
    <row r="332" spans="1:10" ht="1.05" customHeight="1" thickTop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</row>
    <row r="333" spans="1:10" ht="18" customHeight="1">
      <c r="A333" s="48" t="s">
        <v>533</v>
      </c>
      <c r="B333" s="49" t="s">
        <v>9</v>
      </c>
      <c r="C333" s="48" t="s">
        <v>10</v>
      </c>
      <c r="D333" s="48" t="s">
        <v>11</v>
      </c>
      <c r="E333" s="159" t="s">
        <v>150</v>
      </c>
      <c r="F333" s="159"/>
      <c r="G333" s="50" t="s">
        <v>12</v>
      </c>
      <c r="H333" s="49" t="s">
        <v>13</v>
      </c>
      <c r="I333" s="49" t="s">
        <v>14</v>
      </c>
      <c r="J333" s="49" t="s">
        <v>16</v>
      </c>
    </row>
    <row r="334" spans="1:10" ht="39" customHeight="1">
      <c r="A334" s="51" t="s">
        <v>151</v>
      </c>
      <c r="B334" s="52" t="s">
        <v>534</v>
      </c>
      <c r="C334" s="51" t="s">
        <v>29</v>
      </c>
      <c r="D334" s="51" t="s">
        <v>535</v>
      </c>
      <c r="E334" s="160" t="s">
        <v>273</v>
      </c>
      <c r="F334" s="160"/>
      <c r="G334" s="53" t="s">
        <v>31</v>
      </c>
      <c r="H334" s="54">
        <v>1</v>
      </c>
      <c r="I334" s="55">
        <f>'VOVÓ PESSOINHA'!G51</f>
        <v>19.940000000000001</v>
      </c>
      <c r="J334" s="128">
        <f t="shared" ref="J334:J340" si="38">ROUND(H334*I334,2)</f>
        <v>19.940000000000001</v>
      </c>
    </row>
    <row r="335" spans="1:10" ht="25.95" customHeight="1">
      <c r="A335" s="56" t="s">
        <v>153</v>
      </c>
      <c r="B335" s="57" t="s">
        <v>370</v>
      </c>
      <c r="C335" s="56" t="s">
        <v>29</v>
      </c>
      <c r="D335" s="56" t="s">
        <v>371</v>
      </c>
      <c r="E335" s="161" t="s">
        <v>152</v>
      </c>
      <c r="F335" s="161"/>
      <c r="G335" s="58" t="s">
        <v>24</v>
      </c>
      <c r="H335" s="59">
        <v>0.23200000000000001</v>
      </c>
      <c r="I335" s="60">
        <v>20.27</v>
      </c>
      <c r="J335" s="128">
        <f t="shared" si="38"/>
        <v>4.7</v>
      </c>
    </row>
    <row r="336" spans="1:10" ht="24" customHeight="1">
      <c r="A336" s="56" t="s">
        <v>153</v>
      </c>
      <c r="B336" s="57" t="s">
        <v>168</v>
      </c>
      <c r="C336" s="56" t="s">
        <v>29</v>
      </c>
      <c r="D336" s="56" t="s">
        <v>169</v>
      </c>
      <c r="E336" s="161" t="s">
        <v>152</v>
      </c>
      <c r="F336" s="161"/>
      <c r="G336" s="58" t="s">
        <v>24</v>
      </c>
      <c r="H336" s="59">
        <v>0.18</v>
      </c>
      <c r="I336" s="60">
        <v>25</v>
      </c>
      <c r="J336" s="128">
        <f t="shared" si="38"/>
        <v>4.5</v>
      </c>
    </row>
    <row r="337" spans="1:11" ht="39" customHeight="1">
      <c r="A337" s="56" t="s">
        <v>153</v>
      </c>
      <c r="B337" s="57" t="s">
        <v>276</v>
      </c>
      <c r="C337" s="56" t="s">
        <v>29</v>
      </c>
      <c r="D337" s="56" t="s">
        <v>277</v>
      </c>
      <c r="E337" s="161" t="s">
        <v>278</v>
      </c>
      <c r="F337" s="161"/>
      <c r="G337" s="58" t="s">
        <v>279</v>
      </c>
      <c r="H337" s="59">
        <v>1.89E-2</v>
      </c>
      <c r="I337" s="60">
        <v>31.23</v>
      </c>
      <c r="J337" s="128">
        <f t="shared" si="38"/>
        <v>0.59</v>
      </c>
    </row>
    <row r="338" spans="1:11" ht="39" customHeight="1">
      <c r="A338" s="56" t="s">
        <v>153</v>
      </c>
      <c r="B338" s="57" t="s">
        <v>280</v>
      </c>
      <c r="C338" s="56" t="s">
        <v>29</v>
      </c>
      <c r="D338" s="56" t="s">
        <v>281</v>
      </c>
      <c r="E338" s="161" t="s">
        <v>278</v>
      </c>
      <c r="F338" s="161"/>
      <c r="G338" s="58" t="s">
        <v>282</v>
      </c>
      <c r="H338" s="59">
        <v>2.6100000000000002E-2</v>
      </c>
      <c r="I338" s="60">
        <v>30.17</v>
      </c>
      <c r="J338" s="128">
        <f t="shared" si="38"/>
        <v>0.79</v>
      </c>
    </row>
    <row r="339" spans="1:11" ht="25.95" customHeight="1">
      <c r="A339" s="64" t="s">
        <v>164</v>
      </c>
      <c r="B339" s="65" t="s">
        <v>438</v>
      </c>
      <c r="C339" s="64" t="s">
        <v>29</v>
      </c>
      <c r="D339" s="64" t="s">
        <v>439</v>
      </c>
      <c r="E339" s="157" t="s">
        <v>167</v>
      </c>
      <c r="F339" s="157"/>
      <c r="G339" s="66" t="s">
        <v>40</v>
      </c>
      <c r="H339" s="67">
        <v>2.5880000000000001</v>
      </c>
      <c r="I339" s="68">
        <v>2.95</v>
      </c>
      <c r="J339" s="128">
        <f t="shared" si="38"/>
        <v>7.63</v>
      </c>
    </row>
    <row r="340" spans="1:11" ht="25.95" customHeight="1">
      <c r="A340" s="64" t="s">
        <v>164</v>
      </c>
      <c r="B340" s="65" t="s">
        <v>384</v>
      </c>
      <c r="C340" s="64" t="s">
        <v>29</v>
      </c>
      <c r="D340" s="64" t="s">
        <v>385</v>
      </c>
      <c r="E340" s="157" t="s">
        <v>167</v>
      </c>
      <c r="F340" s="157"/>
      <c r="G340" s="66" t="s">
        <v>126</v>
      </c>
      <c r="H340" s="67">
        <v>0.03</v>
      </c>
      <c r="I340" s="68">
        <v>24.78</v>
      </c>
      <c r="J340" s="128">
        <f t="shared" si="38"/>
        <v>0.74</v>
      </c>
    </row>
    <row r="341" spans="1:11" ht="30" customHeight="1" thickBot="1">
      <c r="A341" s="61"/>
      <c r="B341" s="61"/>
      <c r="C341" s="61"/>
      <c r="D341" s="61"/>
      <c r="E341" s="61"/>
      <c r="F341" s="61"/>
      <c r="G341" s="61" t="s">
        <v>158</v>
      </c>
      <c r="H341" s="62">
        <f>'VOVÓ PESSOINHA'!F51</f>
        <v>50</v>
      </c>
      <c r="I341" s="61" t="s">
        <v>159</v>
      </c>
      <c r="J341" s="127">
        <f>'VOVÓ PESSOINHA'!I51</f>
        <v>1225.1099999999999</v>
      </c>
    </row>
    <row r="342" spans="1:11" ht="1.05" customHeight="1" thickTop="1">
      <c r="A342" s="63"/>
      <c r="B342" s="63"/>
      <c r="C342" s="63"/>
      <c r="D342" s="63"/>
      <c r="E342" s="63"/>
      <c r="F342" s="63"/>
      <c r="G342" s="63"/>
      <c r="H342" s="63"/>
      <c r="I342" s="63"/>
      <c r="J342" s="129"/>
    </row>
    <row r="343" spans="1:11" ht="24" customHeight="1">
      <c r="A343" s="45" t="s">
        <v>536</v>
      </c>
      <c r="B343" s="45"/>
      <c r="C343" s="45"/>
      <c r="D343" s="45" t="s">
        <v>537</v>
      </c>
      <c r="E343" s="45"/>
      <c r="F343" s="158"/>
      <c r="G343" s="158"/>
      <c r="H343" s="46"/>
      <c r="I343" s="45"/>
      <c r="J343" s="130">
        <f>SUM(J350,J358,J365,J375)</f>
        <v>9915.52</v>
      </c>
    </row>
    <row r="344" spans="1:11" ht="18" customHeight="1">
      <c r="A344" s="48" t="s">
        <v>538</v>
      </c>
      <c r="B344" s="49" t="s">
        <v>9</v>
      </c>
      <c r="C344" s="48" t="s">
        <v>10</v>
      </c>
      <c r="D344" s="48" t="s">
        <v>11</v>
      </c>
      <c r="E344" s="159" t="s">
        <v>150</v>
      </c>
      <c r="F344" s="159"/>
      <c r="G344" s="50" t="s">
        <v>12</v>
      </c>
      <c r="H344" s="49" t="s">
        <v>13</v>
      </c>
      <c r="I344" s="49" t="s">
        <v>14</v>
      </c>
      <c r="J344" s="49" t="s">
        <v>16</v>
      </c>
    </row>
    <row r="345" spans="1:11" ht="64.95" customHeight="1">
      <c r="A345" s="51" t="s">
        <v>151</v>
      </c>
      <c r="B345" s="52" t="s">
        <v>539</v>
      </c>
      <c r="C345" s="51" t="s">
        <v>29</v>
      </c>
      <c r="D345" s="51" t="s">
        <v>540</v>
      </c>
      <c r="E345" s="160" t="s">
        <v>657</v>
      </c>
      <c r="F345" s="160"/>
      <c r="G345" s="53" t="s">
        <v>59</v>
      </c>
      <c r="H345" s="54">
        <v>1</v>
      </c>
      <c r="I345" s="55">
        <f>'VOVÓ PESSOINHA'!G53</f>
        <v>995.95</v>
      </c>
      <c r="J345" s="128">
        <f t="shared" ref="J345:J349" si="39">ROUND(H345*I345,2)</f>
        <v>995.95</v>
      </c>
    </row>
    <row r="346" spans="1:11" ht="39" customHeight="1">
      <c r="A346" s="56" t="s">
        <v>153</v>
      </c>
      <c r="B346" s="57" t="s">
        <v>658</v>
      </c>
      <c r="C346" s="56" t="s">
        <v>29</v>
      </c>
      <c r="D346" s="56" t="s">
        <v>659</v>
      </c>
      <c r="E346" s="161" t="s">
        <v>657</v>
      </c>
      <c r="F346" s="161"/>
      <c r="G346" s="58" t="s">
        <v>40</v>
      </c>
      <c r="H346" s="59">
        <v>10</v>
      </c>
      <c r="I346" s="60">
        <v>11.14</v>
      </c>
      <c r="J346" s="128">
        <f t="shared" si="39"/>
        <v>111.4</v>
      </c>
      <c r="K346" s="143"/>
    </row>
    <row r="347" spans="1:11" ht="39" customHeight="1">
      <c r="A347" s="56" t="s">
        <v>153</v>
      </c>
      <c r="B347" s="57" t="s">
        <v>660</v>
      </c>
      <c r="C347" s="56" t="s">
        <v>29</v>
      </c>
      <c r="D347" s="56" t="s">
        <v>661</v>
      </c>
      <c r="E347" s="161" t="s">
        <v>657</v>
      </c>
      <c r="F347" s="161"/>
      <c r="G347" s="58" t="s">
        <v>59</v>
      </c>
      <c r="H347" s="59">
        <v>1</v>
      </c>
      <c r="I347" s="60">
        <v>388.26</v>
      </c>
      <c r="J347" s="128">
        <f t="shared" si="39"/>
        <v>388.26</v>
      </c>
    </row>
    <row r="348" spans="1:11" ht="39" customHeight="1">
      <c r="A348" s="56" t="s">
        <v>153</v>
      </c>
      <c r="B348" s="57" t="s">
        <v>662</v>
      </c>
      <c r="C348" s="56" t="s">
        <v>29</v>
      </c>
      <c r="D348" s="56" t="s">
        <v>663</v>
      </c>
      <c r="E348" s="161" t="s">
        <v>657</v>
      </c>
      <c r="F348" s="161"/>
      <c r="G348" s="58" t="s">
        <v>59</v>
      </c>
      <c r="H348" s="59">
        <v>1</v>
      </c>
      <c r="I348" s="60">
        <v>312.99</v>
      </c>
      <c r="J348" s="128">
        <f t="shared" si="39"/>
        <v>312.99</v>
      </c>
    </row>
    <row r="349" spans="1:11" ht="39" customHeight="1">
      <c r="A349" s="56" t="s">
        <v>153</v>
      </c>
      <c r="B349" s="57" t="s">
        <v>545</v>
      </c>
      <c r="C349" s="56" t="s">
        <v>29</v>
      </c>
      <c r="D349" s="56" t="s">
        <v>546</v>
      </c>
      <c r="E349" s="161" t="s">
        <v>657</v>
      </c>
      <c r="F349" s="161"/>
      <c r="G349" s="58" t="s">
        <v>59</v>
      </c>
      <c r="H349" s="59">
        <v>1</v>
      </c>
      <c r="I349" s="60">
        <v>183.3</v>
      </c>
      <c r="J349" s="128">
        <f t="shared" si="39"/>
        <v>183.3</v>
      </c>
    </row>
    <row r="350" spans="1:11" ht="30" customHeight="1" thickBot="1">
      <c r="A350" s="61"/>
      <c r="B350" s="61"/>
      <c r="C350" s="61"/>
      <c r="D350" s="61"/>
      <c r="E350" s="61"/>
      <c r="F350" s="61"/>
      <c r="G350" s="61" t="s">
        <v>158</v>
      </c>
      <c r="H350" s="62">
        <f>'VOVÓ PESSOINHA'!F53</f>
        <v>4</v>
      </c>
      <c r="I350" s="61" t="s">
        <v>159</v>
      </c>
      <c r="J350" s="127">
        <f>'VOVÓ PESSOINHA'!I53</f>
        <v>4895.29</v>
      </c>
    </row>
    <row r="351" spans="1:11" ht="1.05" customHeight="1" thickTop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</row>
    <row r="352" spans="1:11" ht="18" customHeight="1">
      <c r="A352" s="48" t="s">
        <v>541</v>
      </c>
      <c r="B352" s="49" t="s">
        <v>9</v>
      </c>
      <c r="C352" s="48" t="s">
        <v>10</v>
      </c>
      <c r="D352" s="48" t="s">
        <v>11</v>
      </c>
      <c r="E352" s="159" t="s">
        <v>150</v>
      </c>
      <c r="F352" s="159"/>
      <c r="G352" s="50" t="s">
        <v>12</v>
      </c>
      <c r="H352" s="49" t="s">
        <v>13</v>
      </c>
      <c r="I352" s="49" t="s">
        <v>14</v>
      </c>
      <c r="J352" s="49" t="s">
        <v>16</v>
      </c>
    </row>
    <row r="353" spans="1:11" ht="64.95" customHeight="1">
      <c r="A353" s="51" t="s">
        <v>151</v>
      </c>
      <c r="B353" s="52" t="s">
        <v>542</v>
      </c>
      <c r="C353" s="51" t="s">
        <v>29</v>
      </c>
      <c r="D353" s="51" t="s">
        <v>543</v>
      </c>
      <c r="E353" s="160" t="s">
        <v>657</v>
      </c>
      <c r="F353" s="160"/>
      <c r="G353" s="53" t="s">
        <v>59</v>
      </c>
      <c r="H353" s="54">
        <v>1</v>
      </c>
      <c r="I353" s="55">
        <f>'VOVÓ PESSOINHA'!G54</f>
        <v>954.13</v>
      </c>
      <c r="J353" s="128">
        <f t="shared" ref="J353:J357" si="40">ROUND(H353*I353,2)</f>
        <v>954.13</v>
      </c>
    </row>
    <row r="354" spans="1:11" ht="39" customHeight="1">
      <c r="A354" s="56" t="s">
        <v>153</v>
      </c>
      <c r="B354" s="57" t="s">
        <v>658</v>
      </c>
      <c r="C354" s="56" t="s">
        <v>29</v>
      </c>
      <c r="D354" s="56" t="s">
        <v>659</v>
      </c>
      <c r="E354" s="161" t="s">
        <v>657</v>
      </c>
      <c r="F354" s="161"/>
      <c r="G354" s="58" t="s">
        <v>40</v>
      </c>
      <c r="H354" s="59">
        <v>9.8000000000000007</v>
      </c>
      <c r="I354" s="60">
        <v>11.14</v>
      </c>
      <c r="J354" s="128">
        <f t="shared" si="40"/>
        <v>109.17</v>
      </c>
    </row>
    <row r="355" spans="1:11" ht="39" customHeight="1">
      <c r="A355" s="56" t="s">
        <v>153</v>
      </c>
      <c r="B355" s="57" t="s">
        <v>660</v>
      </c>
      <c r="C355" s="56" t="s">
        <v>29</v>
      </c>
      <c r="D355" s="56" t="s">
        <v>661</v>
      </c>
      <c r="E355" s="161" t="s">
        <v>657</v>
      </c>
      <c r="F355" s="161"/>
      <c r="G355" s="58" t="s">
        <v>59</v>
      </c>
      <c r="H355" s="59">
        <v>1</v>
      </c>
      <c r="I355" s="60">
        <v>388.26</v>
      </c>
      <c r="J355" s="128">
        <f t="shared" si="40"/>
        <v>388.26</v>
      </c>
    </row>
    <row r="356" spans="1:11" ht="39" customHeight="1">
      <c r="A356" s="56" t="s">
        <v>153</v>
      </c>
      <c r="B356" s="57" t="s">
        <v>664</v>
      </c>
      <c r="C356" s="56" t="s">
        <v>29</v>
      </c>
      <c r="D356" s="56" t="s">
        <v>665</v>
      </c>
      <c r="E356" s="161" t="s">
        <v>657</v>
      </c>
      <c r="F356" s="161"/>
      <c r="G356" s="58" t="s">
        <v>59</v>
      </c>
      <c r="H356" s="59">
        <v>1</v>
      </c>
      <c r="I356" s="60">
        <v>295.43</v>
      </c>
      <c r="J356" s="128">
        <f t="shared" si="40"/>
        <v>295.43</v>
      </c>
    </row>
    <row r="357" spans="1:11" ht="39" customHeight="1">
      <c r="A357" s="56" t="s">
        <v>153</v>
      </c>
      <c r="B357" s="57" t="s">
        <v>666</v>
      </c>
      <c r="C357" s="56" t="s">
        <v>29</v>
      </c>
      <c r="D357" s="56" t="s">
        <v>667</v>
      </c>
      <c r="E357" s="161" t="s">
        <v>657</v>
      </c>
      <c r="F357" s="161"/>
      <c r="G357" s="58" t="s">
        <v>59</v>
      </c>
      <c r="H357" s="59">
        <v>1</v>
      </c>
      <c r="I357" s="60">
        <v>161.27000000000001</v>
      </c>
      <c r="J357" s="128">
        <f t="shared" si="40"/>
        <v>161.27000000000001</v>
      </c>
    </row>
    <row r="358" spans="1:11" ht="30" customHeight="1" thickBot="1">
      <c r="A358" s="61"/>
      <c r="B358" s="61"/>
      <c r="C358" s="61"/>
      <c r="D358" s="61"/>
      <c r="E358" s="61"/>
      <c r="F358" s="61"/>
      <c r="G358" s="61" t="s">
        <v>158</v>
      </c>
      <c r="H358" s="62">
        <f>'VOVÓ PESSOINHA'!F54</f>
        <v>1</v>
      </c>
      <c r="I358" s="61" t="s">
        <v>159</v>
      </c>
      <c r="J358" s="127">
        <f>'VOVÓ PESSOINHA'!I54</f>
        <v>1172.43</v>
      </c>
    </row>
    <row r="359" spans="1:11" ht="1.05" customHeight="1" thickTop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</row>
    <row r="360" spans="1:11" ht="18" customHeight="1">
      <c r="A360" s="48" t="s">
        <v>544</v>
      </c>
      <c r="B360" s="49" t="s">
        <v>9</v>
      </c>
      <c r="C360" s="48" t="s">
        <v>10</v>
      </c>
      <c r="D360" s="48" t="s">
        <v>11</v>
      </c>
      <c r="E360" s="159" t="s">
        <v>150</v>
      </c>
      <c r="F360" s="159"/>
      <c r="G360" s="50" t="s">
        <v>12</v>
      </c>
      <c r="H360" s="49" t="s">
        <v>13</v>
      </c>
      <c r="I360" s="49" t="s">
        <v>14</v>
      </c>
      <c r="J360" s="49" t="s">
        <v>16</v>
      </c>
    </row>
    <row r="361" spans="1:11" ht="39" customHeight="1">
      <c r="A361" s="51" t="s">
        <v>151</v>
      </c>
      <c r="B361" s="52" t="s">
        <v>545</v>
      </c>
      <c r="C361" s="51" t="s">
        <v>29</v>
      </c>
      <c r="D361" s="51" t="s">
        <v>546</v>
      </c>
      <c r="E361" s="160" t="s">
        <v>657</v>
      </c>
      <c r="F361" s="160"/>
      <c r="G361" s="53" t="s">
        <v>59</v>
      </c>
      <c r="H361" s="54">
        <v>1</v>
      </c>
      <c r="I361" s="55">
        <f>'VOVÓ PESSOINHA'!G55</f>
        <v>183.3</v>
      </c>
      <c r="J361" s="128">
        <f t="shared" ref="J361:J364" si="41">ROUND(H361*I361,2)</f>
        <v>183.3</v>
      </c>
    </row>
    <row r="362" spans="1:11" ht="25.95" customHeight="1">
      <c r="A362" s="56" t="s">
        <v>153</v>
      </c>
      <c r="B362" s="57" t="s">
        <v>668</v>
      </c>
      <c r="C362" s="56" t="s">
        <v>29</v>
      </c>
      <c r="D362" s="56" t="s">
        <v>669</v>
      </c>
      <c r="E362" s="161" t="s">
        <v>152</v>
      </c>
      <c r="F362" s="161"/>
      <c r="G362" s="58" t="s">
        <v>24</v>
      </c>
      <c r="H362" s="59">
        <v>1.002</v>
      </c>
      <c r="I362" s="60">
        <v>24.15</v>
      </c>
      <c r="J362" s="128">
        <f t="shared" si="41"/>
        <v>24.2</v>
      </c>
    </row>
    <row r="363" spans="1:11" ht="24" customHeight="1">
      <c r="A363" s="56" t="s">
        <v>153</v>
      </c>
      <c r="B363" s="57" t="s">
        <v>156</v>
      </c>
      <c r="C363" s="56" t="s">
        <v>29</v>
      </c>
      <c r="D363" s="56" t="s">
        <v>157</v>
      </c>
      <c r="E363" s="161" t="s">
        <v>152</v>
      </c>
      <c r="F363" s="161"/>
      <c r="G363" s="58" t="s">
        <v>24</v>
      </c>
      <c r="H363" s="59">
        <v>0.501</v>
      </c>
      <c r="I363" s="60">
        <v>20.420000000000002</v>
      </c>
      <c r="J363" s="128">
        <f t="shared" si="41"/>
        <v>10.23</v>
      </c>
    </row>
    <row r="364" spans="1:11" ht="52.05" customHeight="1">
      <c r="A364" s="64" t="s">
        <v>164</v>
      </c>
      <c r="B364" s="65" t="s">
        <v>670</v>
      </c>
      <c r="C364" s="64" t="s">
        <v>29</v>
      </c>
      <c r="D364" s="64" t="s">
        <v>671</v>
      </c>
      <c r="E364" s="157" t="s">
        <v>167</v>
      </c>
      <c r="F364" s="157"/>
      <c r="G364" s="66" t="s">
        <v>672</v>
      </c>
      <c r="H364" s="67">
        <v>1</v>
      </c>
      <c r="I364" s="68">
        <v>148.88</v>
      </c>
      <c r="J364" s="128">
        <f t="shared" si="41"/>
        <v>148.88</v>
      </c>
    </row>
    <row r="365" spans="1:11" ht="30" customHeight="1" thickBot="1">
      <c r="A365" s="61"/>
      <c r="B365" s="61"/>
      <c r="C365" s="61"/>
      <c r="D365" s="61"/>
      <c r="E365" s="61"/>
      <c r="F365" s="61"/>
      <c r="G365" s="61" t="s">
        <v>158</v>
      </c>
      <c r="H365" s="62">
        <f>'VOVÓ PESSOINHA'!F55</f>
        <v>8</v>
      </c>
      <c r="I365" s="61" t="s">
        <v>159</v>
      </c>
      <c r="J365" s="127">
        <f>'VOVÓ PESSOINHA'!I55</f>
        <v>1801.91</v>
      </c>
    </row>
    <row r="366" spans="1:11" ht="1.05" customHeight="1" thickTop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</row>
    <row r="367" spans="1:11" ht="18" customHeight="1">
      <c r="A367" s="48" t="s">
        <v>547</v>
      </c>
      <c r="B367" s="49" t="s">
        <v>9</v>
      </c>
      <c r="C367" s="48" t="s">
        <v>10</v>
      </c>
      <c r="D367" s="48" t="s">
        <v>11</v>
      </c>
      <c r="E367" s="159" t="s">
        <v>150</v>
      </c>
      <c r="F367" s="159"/>
      <c r="G367" s="50" t="s">
        <v>12</v>
      </c>
      <c r="H367" s="49" t="s">
        <v>13</v>
      </c>
      <c r="I367" s="49" t="s">
        <v>14</v>
      </c>
      <c r="J367" s="49" t="s">
        <v>16</v>
      </c>
    </row>
    <row r="368" spans="1:11" ht="24" customHeight="1">
      <c r="A368" s="51" t="s">
        <v>151</v>
      </c>
      <c r="B368" s="52" t="s">
        <v>548</v>
      </c>
      <c r="C368" s="51" t="s">
        <v>22</v>
      </c>
      <c r="D368" s="51" t="s">
        <v>549</v>
      </c>
      <c r="E368" s="160" t="s">
        <v>205</v>
      </c>
      <c r="F368" s="160"/>
      <c r="G368" s="53" t="s">
        <v>71</v>
      </c>
      <c r="H368" s="54">
        <v>1</v>
      </c>
      <c r="I368" s="55">
        <f>'VOVÓ PESSOINHA'!G56</f>
        <v>77.62</v>
      </c>
      <c r="J368" s="128">
        <f t="shared" ref="J368:J374" si="42">ROUND(H368*I368,2)</f>
        <v>77.62</v>
      </c>
      <c r="K368" s="143"/>
    </row>
    <row r="369" spans="1:11" ht="24" customHeight="1">
      <c r="A369" s="56" t="s">
        <v>153</v>
      </c>
      <c r="B369" s="57" t="s">
        <v>156</v>
      </c>
      <c r="C369" s="56" t="s">
        <v>29</v>
      </c>
      <c r="D369" s="56" t="s">
        <v>157</v>
      </c>
      <c r="E369" s="161" t="s">
        <v>152</v>
      </c>
      <c r="F369" s="161"/>
      <c r="G369" s="58" t="s">
        <v>24</v>
      </c>
      <c r="H369" s="59">
        <v>0.18</v>
      </c>
      <c r="I369" s="60">
        <v>20.420000000000002</v>
      </c>
      <c r="J369" s="128">
        <f t="shared" si="42"/>
        <v>3.68</v>
      </c>
      <c r="K369" s="143"/>
    </row>
    <row r="370" spans="1:11" ht="25.95" customHeight="1">
      <c r="A370" s="64" t="s">
        <v>164</v>
      </c>
      <c r="B370" s="65" t="s">
        <v>673</v>
      </c>
      <c r="C370" s="64" t="s">
        <v>209</v>
      </c>
      <c r="D370" s="64" t="s">
        <v>674</v>
      </c>
      <c r="E370" s="157" t="s">
        <v>167</v>
      </c>
      <c r="F370" s="157"/>
      <c r="G370" s="66" t="s">
        <v>450</v>
      </c>
      <c r="H370" s="67">
        <v>0.9</v>
      </c>
      <c r="I370" s="68">
        <v>45.35</v>
      </c>
      <c r="J370" s="128">
        <f t="shared" si="42"/>
        <v>40.82</v>
      </c>
    </row>
    <row r="371" spans="1:11" ht="25.95" customHeight="1">
      <c r="A371" s="64" t="s">
        <v>164</v>
      </c>
      <c r="B371" s="65" t="s">
        <v>675</v>
      </c>
      <c r="C371" s="64" t="s">
        <v>209</v>
      </c>
      <c r="D371" s="64" t="s">
        <v>676</v>
      </c>
      <c r="E371" s="157" t="s">
        <v>167</v>
      </c>
      <c r="F371" s="157"/>
      <c r="G371" s="66" t="s">
        <v>211</v>
      </c>
      <c r="H371" s="67">
        <v>0.54</v>
      </c>
      <c r="I371" s="68">
        <v>13.06</v>
      </c>
      <c r="J371" s="128">
        <f t="shared" si="42"/>
        <v>7.05</v>
      </c>
    </row>
    <row r="372" spans="1:11" ht="25.95" customHeight="1">
      <c r="A372" s="64" t="s">
        <v>164</v>
      </c>
      <c r="B372" s="65" t="s">
        <v>677</v>
      </c>
      <c r="C372" s="64" t="s">
        <v>209</v>
      </c>
      <c r="D372" s="64" t="s">
        <v>678</v>
      </c>
      <c r="E372" s="157" t="s">
        <v>167</v>
      </c>
      <c r="F372" s="157"/>
      <c r="G372" s="66" t="s">
        <v>450</v>
      </c>
      <c r="H372" s="67">
        <v>0.18</v>
      </c>
      <c r="I372" s="68">
        <v>21.66</v>
      </c>
      <c r="J372" s="128">
        <f t="shared" si="42"/>
        <v>3.9</v>
      </c>
    </row>
    <row r="373" spans="1:11" ht="25.95" customHeight="1">
      <c r="A373" s="64" t="s">
        <v>164</v>
      </c>
      <c r="B373" s="65" t="s">
        <v>679</v>
      </c>
      <c r="C373" s="64" t="s">
        <v>209</v>
      </c>
      <c r="D373" s="64" t="s">
        <v>680</v>
      </c>
      <c r="E373" s="157" t="s">
        <v>167</v>
      </c>
      <c r="F373" s="157"/>
      <c r="G373" s="66" t="s">
        <v>211</v>
      </c>
      <c r="H373" s="67">
        <v>1.08</v>
      </c>
      <c r="I373" s="68">
        <v>4.4000000000000004</v>
      </c>
      <c r="J373" s="128">
        <f t="shared" si="42"/>
        <v>4.75</v>
      </c>
    </row>
    <row r="374" spans="1:11" ht="78" customHeight="1">
      <c r="A374" s="64" t="s">
        <v>164</v>
      </c>
      <c r="B374" s="65" t="s">
        <v>681</v>
      </c>
      <c r="C374" s="64" t="s">
        <v>209</v>
      </c>
      <c r="D374" s="64" t="s">
        <v>682</v>
      </c>
      <c r="E374" s="157" t="s">
        <v>167</v>
      </c>
      <c r="F374" s="157"/>
      <c r="G374" s="66" t="s">
        <v>211</v>
      </c>
      <c r="H374" s="67">
        <v>0.18</v>
      </c>
      <c r="I374" s="68">
        <v>96.75</v>
      </c>
      <c r="J374" s="128">
        <f t="shared" si="42"/>
        <v>17.420000000000002</v>
      </c>
    </row>
    <row r="375" spans="1:11" ht="30" customHeight="1" thickBot="1">
      <c r="A375" s="61"/>
      <c r="B375" s="61"/>
      <c r="C375" s="61"/>
      <c r="D375" s="61"/>
      <c r="E375" s="61"/>
      <c r="F375" s="61"/>
      <c r="G375" s="61" t="s">
        <v>158</v>
      </c>
      <c r="H375" s="62">
        <f>'VOVÓ PESSOINHA'!F56</f>
        <v>21.45</v>
      </c>
      <c r="I375" s="61" t="s">
        <v>159</v>
      </c>
      <c r="J375" s="127">
        <f>'VOVÓ PESSOINHA'!I56</f>
        <v>2045.89</v>
      </c>
    </row>
    <row r="376" spans="1:11" ht="1.05" customHeight="1" thickTop="1">
      <c r="A376" s="63"/>
      <c r="B376" s="63"/>
      <c r="C376" s="63"/>
      <c r="D376" s="63"/>
      <c r="E376" s="63"/>
      <c r="F376" s="63"/>
      <c r="G376" s="63"/>
      <c r="H376" s="63"/>
      <c r="I376" s="63"/>
      <c r="J376" s="129"/>
    </row>
    <row r="377" spans="1:11" ht="24" customHeight="1">
      <c r="A377" s="45" t="s">
        <v>550</v>
      </c>
      <c r="B377" s="45"/>
      <c r="C377" s="45"/>
      <c r="D377" s="45" t="s">
        <v>67</v>
      </c>
      <c r="E377" s="45"/>
      <c r="F377" s="158"/>
      <c r="G377" s="158"/>
      <c r="H377" s="46"/>
      <c r="I377" s="45"/>
      <c r="J377" s="130">
        <f>SUM(J383,J395,J405,J416,J424)</f>
        <v>38761.589999999997</v>
      </c>
    </row>
    <row r="378" spans="1:11" ht="18" customHeight="1">
      <c r="A378" s="48" t="s">
        <v>551</v>
      </c>
      <c r="B378" s="49" t="s">
        <v>9</v>
      </c>
      <c r="C378" s="48" t="s">
        <v>10</v>
      </c>
      <c r="D378" s="48" t="s">
        <v>11</v>
      </c>
      <c r="E378" s="159" t="s">
        <v>150</v>
      </c>
      <c r="F378" s="159"/>
      <c r="G378" s="50" t="s">
        <v>12</v>
      </c>
      <c r="H378" s="49" t="s">
        <v>13</v>
      </c>
      <c r="I378" s="49" t="s">
        <v>14</v>
      </c>
      <c r="J378" s="49" t="s">
        <v>16</v>
      </c>
    </row>
    <row r="379" spans="1:11" ht="25.95" customHeight="1">
      <c r="A379" s="51" t="s">
        <v>151</v>
      </c>
      <c r="B379" s="52" t="s">
        <v>552</v>
      </c>
      <c r="C379" s="51" t="s">
        <v>29</v>
      </c>
      <c r="D379" s="51" t="s">
        <v>553</v>
      </c>
      <c r="E379" s="160" t="s">
        <v>683</v>
      </c>
      <c r="F379" s="160"/>
      <c r="G379" s="53" t="s">
        <v>31</v>
      </c>
      <c r="H379" s="54">
        <v>1</v>
      </c>
      <c r="I379" s="55">
        <f>'VOVÓ PESSOINHA'!G58</f>
        <v>42.4</v>
      </c>
      <c r="J379" s="128">
        <f t="shared" ref="J379:J382" si="43">ROUND(H379*I379,2)</f>
        <v>42.4</v>
      </c>
    </row>
    <row r="380" spans="1:11" ht="25.95" customHeight="1">
      <c r="A380" s="56" t="s">
        <v>153</v>
      </c>
      <c r="B380" s="57" t="s">
        <v>684</v>
      </c>
      <c r="C380" s="56" t="s">
        <v>29</v>
      </c>
      <c r="D380" s="56" t="s">
        <v>685</v>
      </c>
      <c r="E380" s="161" t="s">
        <v>152</v>
      </c>
      <c r="F380" s="161"/>
      <c r="G380" s="58" t="s">
        <v>24</v>
      </c>
      <c r="H380" s="59">
        <v>8.5000000000000006E-2</v>
      </c>
      <c r="I380" s="60">
        <v>22.65</v>
      </c>
      <c r="J380" s="128">
        <f t="shared" si="43"/>
        <v>1.93</v>
      </c>
    </row>
    <row r="381" spans="1:11" ht="24" customHeight="1">
      <c r="A381" s="56" t="s">
        <v>153</v>
      </c>
      <c r="B381" s="57" t="s">
        <v>686</v>
      </c>
      <c r="C381" s="56" t="s">
        <v>29</v>
      </c>
      <c r="D381" s="56" t="s">
        <v>687</v>
      </c>
      <c r="E381" s="161" t="s">
        <v>152</v>
      </c>
      <c r="F381" s="161"/>
      <c r="G381" s="58" t="s">
        <v>24</v>
      </c>
      <c r="H381" s="59">
        <v>0.42199999999999999</v>
      </c>
      <c r="I381" s="60">
        <v>25.38</v>
      </c>
      <c r="J381" s="128">
        <f t="shared" si="43"/>
        <v>10.71</v>
      </c>
    </row>
    <row r="382" spans="1:11" ht="52.05" customHeight="1">
      <c r="A382" s="64" t="s">
        <v>164</v>
      </c>
      <c r="B382" s="65" t="s">
        <v>688</v>
      </c>
      <c r="C382" s="64" t="s">
        <v>29</v>
      </c>
      <c r="D382" s="64" t="s">
        <v>689</v>
      </c>
      <c r="E382" s="157" t="s">
        <v>167</v>
      </c>
      <c r="F382" s="157"/>
      <c r="G382" s="66" t="s">
        <v>126</v>
      </c>
      <c r="H382" s="67">
        <v>1.5</v>
      </c>
      <c r="I382" s="68">
        <v>19.850000000000001</v>
      </c>
      <c r="J382" s="128">
        <f t="shared" si="43"/>
        <v>29.78</v>
      </c>
    </row>
    <row r="383" spans="1:11" ht="30" customHeight="1" thickBot="1">
      <c r="A383" s="61"/>
      <c r="B383" s="61"/>
      <c r="C383" s="61"/>
      <c r="D383" s="61"/>
      <c r="E383" s="61"/>
      <c r="F383" s="61"/>
      <c r="G383" s="61" t="s">
        <v>158</v>
      </c>
      <c r="H383" s="62">
        <f>'VOVÓ PESSOINHA'!F58</f>
        <v>34</v>
      </c>
      <c r="I383" s="61" t="s">
        <v>159</v>
      </c>
      <c r="J383" s="127">
        <f>'VOVÓ PESSOINHA'!I58</f>
        <v>1771.44</v>
      </c>
    </row>
    <row r="384" spans="1:11" ht="1.05" customHeight="1" thickTop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</row>
    <row r="385" spans="1:10" ht="18" customHeight="1">
      <c r="A385" s="48" t="s">
        <v>554</v>
      </c>
      <c r="B385" s="49" t="s">
        <v>9</v>
      </c>
      <c r="C385" s="48" t="s">
        <v>10</v>
      </c>
      <c r="D385" s="48" t="s">
        <v>11</v>
      </c>
      <c r="E385" s="159" t="s">
        <v>150</v>
      </c>
      <c r="F385" s="159"/>
      <c r="G385" s="50" t="s">
        <v>12</v>
      </c>
      <c r="H385" s="49" t="s">
        <v>13</v>
      </c>
      <c r="I385" s="49" t="s">
        <v>14</v>
      </c>
      <c r="J385" s="49" t="s">
        <v>16</v>
      </c>
    </row>
    <row r="386" spans="1:10" ht="39" customHeight="1">
      <c r="A386" s="51" t="s">
        <v>151</v>
      </c>
      <c r="B386" s="52" t="s">
        <v>76</v>
      </c>
      <c r="C386" s="51" t="s">
        <v>29</v>
      </c>
      <c r="D386" s="51" t="s">
        <v>77</v>
      </c>
      <c r="E386" s="160" t="s">
        <v>244</v>
      </c>
      <c r="F386" s="160"/>
      <c r="G386" s="53" t="s">
        <v>31</v>
      </c>
      <c r="H386" s="54">
        <v>1</v>
      </c>
      <c r="I386" s="55">
        <f>'VOVÓ PESSOINHA'!G59</f>
        <v>73.739999999999995</v>
      </c>
      <c r="J386" s="128">
        <f t="shared" ref="J386:J394" si="44">ROUND(H386*I386,2)</f>
        <v>73.739999999999995</v>
      </c>
    </row>
    <row r="387" spans="1:10" ht="25.95" customHeight="1">
      <c r="A387" s="56" t="s">
        <v>153</v>
      </c>
      <c r="B387" s="57" t="s">
        <v>245</v>
      </c>
      <c r="C387" s="56" t="s">
        <v>29</v>
      </c>
      <c r="D387" s="56" t="s">
        <v>246</v>
      </c>
      <c r="E387" s="161" t="s">
        <v>152</v>
      </c>
      <c r="F387" s="161"/>
      <c r="G387" s="58" t="s">
        <v>24</v>
      </c>
      <c r="H387" s="59">
        <v>0.49940000000000001</v>
      </c>
      <c r="I387" s="60">
        <v>29.6</v>
      </c>
      <c r="J387" s="128">
        <f t="shared" si="44"/>
        <v>14.78</v>
      </c>
    </row>
    <row r="388" spans="1:10" ht="39" customHeight="1">
      <c r="A388" s="64" t="s">
        <v>164</v>
      </c>
      <c r="B388" s="65" t="s">
        <v>247</v>
      </c>
      <c r="C388" s="64" t="s">
        <v>29</v>
      </c>
      <c r="D388" s="64" t="s">
        <v>248</v>
      </c>
      <c r="E388" s="157" t="s">
        <v>167</v>
      </c>
      <c r="F388" s="157"/>
      <c r="G388" s="66" t="s">
        <v>31</v>
      </c>
      <c r="H388" s="67">
        <v>1.0955999999999999</v>
      </c>
      <c r="I388" s="68">
        <v>26.61</v>
      </c>
      <c r="J388" s="128">
        <f t="shared" si="44"/>
        <v>29.15</v>
      </c>
    </row>
    <row r="389" spans="1:10" ht="39" customHeight="1">
      <c r="A389" s="64" t="s">
        <v>164</v>
      </c>
      <c r="B389" s="65" t="s">
        <v>249</v>
      </c>
      <c r="C389" s="64" t="s">
        <v>29</v>
      </c>
      <c r="D389" s="64" t="s">
        <v>250</v>
      </c>
      <c r="E389" s="157" t="s">
        <v>167</v>
      </c>
      <c r="F389" s="157"/>
      <c r="G389" s="66" t="s">
        <v>40</v>
      </c>
      <c r="H389" s="67">
        <v>3.8498999999999999</v>
      </c>
      <c r="I389" s="68">
        <v>5.82</v>
      </c>
      <c r="J389" s="128">
        <f t="shared" si="44"/>
        <v>22.41</v>
      </c>
    </row>
    <row r="390" spans="1:10" ht="39" customHeight="1">
      <c r="A390" s="64" t="s">
        <v>164</v>
      </c>
      <c r="B390" s="65" t="s">
        <v>251</v>
      </c>
      <c r="C390" s="64" t="s">
        <v>29</v>
      </c>
      <c r="D390" s="64" t="s">
        <v>252</v>
      </c>
      <c r="E390" s="157" t="s">
        <v>253</v>
      </c>
      <c r="F390" s="157"/>
      <c r="G390" s="66" t="s">
        <v>59</v>
      </c>
      <c r="H390" s="67">
        <v>1.3265</v>
      </c>
      <c r="I390" s="68">
        <v>2.19</v>
      </c>
      <c r="J390" s="128">
        <f t="shared" si="44"/>
        <v>2.91</v>
      </c>
    </row>
    <row r="391" spans="1:10" ht="39" customHeight="1">
      <c r="A391" s="64" t="s">
        <v>164</v>
      </c>
      <c r="B391" s="65" t="s">
        <v>254</v>
      </c>
      <c r="C391" s="64" t="s">
        <v>29</v>
      </c>
      <c r="D391" s="64" t="s">
        <v>255</v>
      </c>
      <c r="E391" s="157" t="s">
        <v>167</v>
      </c>
      <c r="F391" s="157"/>
      <c r="G391" s="66" t="s">
        <v>59</v>
      </c>
      <c r="H391" s="67">
        <v>2.1911999999999998</v>
      </c>
      <c r="I391" s="68">
        <v>0.31</v>
      </c>
      <c r="J391" s="128">
        <f t="shared" si="44"/>
        <v>0.68</v>
      </c>
    </row>
    <row r="392" spans="1:10" ht="25.95" customHeight="1">
      <c r="A392" s="64" t="s">
        <v>164</v>
      </c>
      <c r="B392" s="65" t="s">
        <v>256</v>
      </c>
      <c r="C392" s="64" t="s">
        <v>29</v>
      </c>
      <c r="D392" s="64" t="s">
        <v>257</v>
      </c>
      <c r="E392" s="157" t="s">
        <v>167</v>
      </c>
      <c r="F392" s="157"/>
      <c r="G392" s="66" t="s">
        <v>258</v>
      </c>
      <c r="H392" s="67">
        <v>1.32E-2</v>
      </c>
      <c r="I392" s="68">
        <v>35.85</v>
      </c>
      <c r="J392" s="128">
        <f t="shared" si="44"/>
        <v>0.47</v>
      </c>
    </row>
    <row r="393" spans="1:10" ht="25.95" customHeight="1">
      <c r="A393" s="64" t="s">
        <v>164</v>
      </c>
      <c r="B393" s="65" t="s">
        <v>259</v>
      </c>
      <c r="C393" s="64" t="s">
        <v>29</v>
      </c>
      <c r="D393" s="64" t="s">
        <v>260</v>
      </c>
      <c r="E393" s="157" t="s">
        <v>167</v>
      </c>
      <c r="F393" s="157"/>
      <c r="G393" s="66" t="s">
        <v>258</v>
      </c>
      <c r="H393" s="67">
        <v>3.3300000000000003E-2</v>
      </c>
      <c r="I393" s="68">
        <v>61.47</v>
      </c>
      <c r="J393" s="128">
        <f t="shared" si="44"/>
        <v>2.0499999999999998</v>
      </c>
    </row>
    <row r="394" spans="1:10" ht="39" customHeight="1">
      <c r="A394" s="64" t="s">
        <v>164</v>
      </c>
      <c r="B394" s="65" t="s">
        <v>261</v>
      </c>
      <c r="C394" s="64" t="s">
        <v>29</v>
      </c>
      <c r="D394" s="64" t="s">
        <v>262</v>
      </c>
      <c r="E394" s="157" t="s">
        <v>167</v>
      </c>
      <c r="F394" s="157"/>
      <c r="G394" s="66" t="s">
        <v>126</v>
      </c>
      <c r="H394" s="67">
        <v>4.2599999999999999E-2</v>
      </c>
      <c r="I394" s="68">
        <v>31.36</v>
      </c>
      <c r="J394" s="128">
        <f t="shared" si="44"/>
        <v>1.34</v>
      </c>
    </row>
    <row r="395" spans="1:10" ht="30" customHeight="1" thickBot="1">
      <c r="A395" s="61"/>
      <c r="B395" s="61"/>
      <c r="C395" s="61"/>
      <c r="D395" s="61"/>
      <c r="E395" s="61"/>
      <c r="F395" s="61"/>
      <c r="G395" s="61" t="s">
        <v>158</v>
      </c>
      <c r="H395" s="62">
        <f>'VOVÓ PESSOINHA'!F59</f>
        <v>256</v>
      </c>
      <c r="I395" s="61" t="s">
        <v>159</v>
      </c>
      <c r="J395" s="127">
        <f>'VOVÓ PESSOINHA'!I59</f>
        <v>23196.6</v>
      </c>
    </row>
    <row r="396" spans="1:10" ht="1.05" customHeight="1" thickTop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</row>
    <row r="397" spans="1:10" ht="18" customHeight="1">
      <c r="A397" s="48" t="s">
        <v>555</v>
      </c>
      <c r="B397" s="49" t="s">
        <v>9</v>
      </c>
      <c r="C397" s="48" t="s">
        <v>10</v>
      </c>
      <c r="D397" s="48" t="s">
        <v>11</v>
      </c>
      <c r="E397" s="159" t="s">
        <v>150</v>
      </c>
      <c r="F397" s="159"/>
      <c r="G397" s="50" t="s">
        <v>12</v>
      </c>
      <c r="H397" s="49" t="s">
        <v>13</v>
      </c>
      <c r="I397" s="49" t="s">
        <v>14</v>
      </c>
      <c r="J397" s="49" t="s">
        <v>16</v>
      </c>
    </row>
    <row r="398" spans="1:10" ht="25.95" customHeight="1">
      <c r="A398" s="51" t="s">
        <v>151</v>
      </c>
      <c r="B398" s="52" t="s">
        <v>556</v>
      </c>
      <c r="C398" s="51" t="s">
        <v>29</v>
      </c>
      <c r="D398" s="51" t="s">
        <v>557</v>
      </c>
      <c r="E398" s="160" t="s">
        <v>657</v>
      </c>
      <c r="F398" s="160"/>
      <c r="G398" s="53" t="s">
        <v>31</v>
      </c>
      <c r="H398" s="54">
        <v>1</v>
      </c>
      <c r="I398" s="55">
        <f>'VOVÓ PESSOINHA'!G60</f>
        <v>616.21</v>
      </c>
      <c r="J398" s="128">
        <f t="shared" ref="J398:J404" si="45">ROUND(H398*I398,2)</f>
        <v>616.21</v>
      </c>
    </row>
    <row r="399" spans="1:10" ht="25.95" customHeight="1">
      <c r="A399" s="56" t="s">
        <v>153</v>
      </c>
      <c r="B399" s="57" t="s">
        <v>690</v>
      </c>
      <c r="C399" s="56" t="s">
        <v>29</v>
      </c>
      <c r="D399" s="56" t="s">
        <v>691</v>
      </c>
      <c r="E399" s="161" t="s">
        <v>152</v>
      </c>
      <c r="F399" s="161"/>
      <c r="G399" s="58" t="s">
        <v>24</v>
      </c>
      <c r="H399" s="59">
        <v>6.9649999999999999</v>
      </c>
      <c r="I399" s="60">
        <v>22.86</v>
      </c>
      <c r="J399" s="128">
        <f t="shared" si="45"/>
        <v>159.22</v>
      </c>
    </row>
    <row r="400" spans="1:10" ht="24" customHeight="1">
      <c r="A400" s="56" t="s">
        <v>153</v>
      </c>
      <c r="B400" s="57" t="s">
        <v>225</v>
      </c>
      <c r="C400" s="56" t="s">
        <v>29</v>
      </c>
      <c r="D400" s="56" t="s">
        <v>226</v>
      </c>
      <c r="E400" s="161" t="s">
        <v>152</v>
      </c>
      <c r="F400" s="161"/>
      <c r="G400" s="58" t="s">
        <v>24</v>
      </c>
      <c r="H400" s="59">
        <v>8.4789999999999992</v>
      </c>
      <c r="I400" s="60">
        <v>25.18</v>
      </c>
      <c r="J400" s="128">
        <f t="shared" si="45"/>
        <v>213.5</v>
      </c>
    </row>
    <row r="401" spans="1:11" ht="25.95" customHeight="1">
      <c r="A401" s="56" t="s">
        <v>153</v>
      </c>
      <c r="B401" s="57" t="s">
        <v>692</v>
      </c>
      <c r="C401" s="56" t="s">
        <v>29</v>
      </c>
      <c r="D401" s="56" t="s">
        <v>693</v>
      </c>
      <c r="E401" s="161" t="s">
        <v>152</v>
      </c>
      <c r="F401" s="161"/>
      <c r="G401" s="58" t="s">
        <v>163</v>
      </c>
      <c r="H401" s="59">
        <v>8.0000000000000002E-3</v>
      </c>
      <c r="I401" s="60">
        <v>651.09</v>
      </c>
      <c r="J401" s="128">
        <f t="shared" si="45"/>
        <v>5.21</v>
      </c>
    </row>
    <row r="402" spans="1:11" ht="25.95" customHeight="1">
      <c r="A402" s="64" t="s">
        <v>164</v>
      </c>
      <c r="B402" s="65" t="s">
        <v>694</v>
      </c>
      <c r="C402" s="64" t="s">
        <v>29</v>
      </c>
      <c r="D402" s="64" t="s">
        <v>695</v>
      </c>
      <c r="E402" s="157" t="s">
        <v>167</v>
      </c>
      <c r="F402" s="157"/>
      <c r="G402" s="66" t="s">
        <v>40</v>
      </c>
      <c r="H402" s="67">
        <v>9.17</v>
      </c>
      <c r="I402" s="68">
        <v>16.93</v>
      </c>
      <c r="J402" s="128">
        <f t="shared" si="45"/>
        <v>155.25</v>
      </c>
    </row>
    <row r="403" spans="1:11" ht="25.95" customHeight="1">
      <c r="A403" s="64" t="s">
        <v>164</v>
      </c>
      <c r="B403" s="65" t="s">
        <v>696</v>
      </c>
      <c r="C403" s="64" t="s">
        <v>29</v>
      </c>
      <c r="D403" s="64" t="s">
        <v>697</v>
      </c>
      <c r="E403" s="157" t="s">
        <v>167</v>
      </c>
      <c r="F403" s="157"/>
      <c r="G403" s="66" t="s">
        <v>126</v>
      </c>
      <c r="H403" s="67">
        <v>7.5439999999999996</v>
      </c>
      <c r="I403" s="68">
        <v>10.61</v>
      </c>
      <c r="J403" s="128">
        <f t="shared" si="45"/>
        <v>80.040000000000006</v>
      </c>
    </row>
    <row r="404" spans="1:11" ht="25.95" customHeight="1">
      <c r="A404" s="64" t="s">
        <v>164</v>
      </c>
      <c r="B404" s="65" t="s">
        <v>698</v>
      </c>
      <c r="C404" s="64" t="s">
        <v>29</v>
      </c>
      <c r="D404" s="64" t="s">
        <v>699</v>
      </c>
      <c r="E404" s="157" t="s">
        <v>167</v>
      </c>
      <c r="F404" s="157"/>
      <c r="G404" s="66" t="s">
        <v>126</v>
      </c>
      <c r="H404" s="67">
        <v>0.115</v>
      </c>
      <c r="I404" s="68">
        <v>26.29</v>
      </c>
      <c r="J404" s="128">
        <f t="shared" si="45"/>
        <v>3.02</v>
      </c>
    </row>
    <row r="405" spans="1:11" ht="30" customHeight="1" thickBot="1">
      <c r="A405" s="61"/>
      <c r="B405" s="61"/>
      <c r="C405" s="61"/>
      <c r="D405" s="61"/>
      <c r="E405" s="61"/>
      <c r="F405" s="61"/>
      <c r="G405" s="61" t="s">
        <v>158</v>
      </c>
      <c r="H405" s="62">
        <f>'VOVÓ PESSOINHA'!F60</f>
        <v>9.6</v>
      </c>
      <c r="I405" s="61" t="s">
        <v>159</v>
      </c>
      <c r="J405" s="127">
        <f>'VOVÓ PESSOINHA'!I60</f>
        <v>7269.11</v>
      </c>
    </row>
    <row r="406" spans="1:11" ht="1.05" customHeight="1" thickTop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</row>
    <row r="407" spans="1:11" ht="18" customHeight="1">
      <c r="A407" s="48" t="s">
        <v>558</v>
      </c>
      <c r="B407" s="49" t="s">
        <v>9</v>
      </c>
      <c r="C407" s="48" t="s">
        <v>10</v>
      </c>
      <c r="D407" s="48" t="s">
        <v>11</v>
      </c>
      <c r="E407" s="159" t="s">
        <v>150</v>
      </c>
      <c r="F407" s="159"/>
      <c r="G407" s="50" t="s">
        <v>12</v>
      </c>
      <c r="H407" s="49" t="s">
        <v>13</v>
      </c>
      <c r="I407" s="49" t="s">
        <v>14</v>
      </c>
      <c r="J407" s="49" t="s">
        <v>16</v>
      </c>
    </row>
    <row r="408" spans="1:11" ht="25.95" customHeight="1">
      <c r="A408" s="51" t="s">
        <v>151</v>
      </c>
      <c r="B408" s="52" t="s">
        <v>559</v>
      </c>
      <c r="C408" s="51" t="s">
        <v>22</v>
      </c>
      <c r="D408" s="51" t="s">
        <v>560</v>
      </c>
      <c r="E408" s="160" t="s">
        <v>205</v>
      </c>
      <c r="F408" s="160"/>
      <c r="G408" s="53" t="s">
        <v>71</v>
      </c>
      <c r="H408" s="54">
        <v>1</v>
      </c>
      <c r="I408" s="55">
        <f>'VOVÓ PESSOINHA'!G61</f>
        <v>305.89</v>
      </c>
      <c r="J408" s="128">
        <f t="shared" ref="J408:J415" si="46">ROUND(H408*I408,2)</f>
        <v>305.89</v>
      </c>
      <c r="K408" s="143"/>
    </row>
    <row r="409" spans="1:11" ht="24" customHeight="1">
      <c r="A409" s="56" t="s">
        <v>153</v>
      </c>
      <c r="B409" s="57" t="s">
        <v>237</v>
      </c>
      <c r="C409" s="56" t="s">
        <v>29</v>
      </c>
      <c r="D409" s="56" t="s">
        <v>238</v>
      </c>
      <c r="E409" s="161" t="s">
        <v>152</v>
      </c>
      <c r="F409" s="161"/>
      <c r="G409" s="58" t="s">
        <v>24</v>
      </c>
      <c r="H409" s="59">
        <v>2</v>
      </c>
      <c r="I409" s="60">
        <v>26.02</v>
      </c>
      <c r="J409" s="128">
        <f t="shared" si="46"/>
        <v>52.04</v>
      </c>
    </row>
    <row r="410" spans="1:11" ht="24" customHeight="1">
      <c r="A410" s="56" t="s">
        <v>153</v>
      </c>
      <c r="B410" s="57" t="s">
        <v>225</v>
      </c>
      <c r="C410" s="56" t="s">
        <v>29</v>
      </c>
      <c r="D410" s="56" t="s">
        <v>226</v>
      </c>
      <c r="E410" s="161" t="s">
        <v>152</v>
      </c>
      <c r="F410" s="161"/>
      <c r="G410" s="58" t="s">
        <v>24</v>
      </c>
      <c r="H410" s="59">
        <v>2</v>
      </c>
      <c r="I410" s="60">
        <v>25.18</v>
      </c>
      <c r="J410" s="128">
        <f t="shared" si="46"/>
        <v>50.36</v>
      </c>
    </row>
    <row r="411" spans="1:11" ht="24" customHeight="1">
      <c r="A411" s="56" t="s">
        <v>153</v>
      </c>
      <c r="B411" s="57" t="s">
        <v>154</v>
      </c>
      <c r="C411" s="56" t="s">
        <v>29</v>
      </c>
      <c r="D411" s="56" t="s">
        <v>155</v>
      </c>
      <c r="E411" s="161" t="s">
        <v>152</v>
      </c>
      <c r="F411" s="161"/>
      <c r="G411" s="58" t="s">
        <v>24</v>
      </c>
      <c r="H411" s="59">
        <v>0.5</v>
      </c>
      <c r="I411" s="60">
        <v>25.38</v>
      </c>
      <c r="J411" s="128">
        <f t="shared" si="46"/>
        <v>12.69</v>
      </c>
    </row>
    <row r="412" spans="1:11" ht="24" customHeight="1">
      <c r="A412" s="56" t="s">
        <v>153</v>
      </c>
      <c r="B412" s="57" t="s">
        <v>156</v>
      </c>
      <c r="C412" s="56" t="s">
        <v>29</v>
      </c>
      <c r="D412" s="56" t="s">
        <v>157</v>
      </c>
      <c r="E412" s="161" t="s">
        <v>152</v>
      </c>
      <c r="F412" s="161"/>
      <c r="G412" s="58" t="s">
        <v>24</v>
      </c>
      <c r="H412" s="59">
        <v>1</v>
      </c>
      <c r="I412" s="60">
        <v>20.420000000000002</v>
      </c>
      <c r="J412" s="128">
        <f t="shared" si="46"/>
        <v>20.420000000000002</v>
      </c>
    </row>
    <row r="413" spans="1:11" ht="25.95" customHeight="1">
      <c r="A413" s="64" t="s">
        <v>164</v>
      </c>
      <c r="B413" s="65" t="s">
        <v>229</v>
      </c>
      <c r="C413" s="64" t="s">
        <v>29</v>
      </c>
      <c r="D413" s="64" t="s">
        <v>230</v>
      </c>
      <c r="E413" s="157" t="s">
        <v>167</v>
      </c>
      <c r="F413" s="157"/>
      <c r="G413" s="66" t="s">
        <v>126</v>
      </c>
      <c r="H413" s="67">
        <v>0.42</v>
      </c>
      <c r="I413" s="68">
        <v>27.38</v>
      </c>
      <c r="J413" s="128">
        <f t="shared" si="46"/>
        <v>11.5</v>
      </c>
    </row>
    <row r="414" spans="1:11" ht="39" customHeight="1">
      <c r="A414" s="64" t="s">
        <v>164</v>
      </c>
      <c r="B414" s="65" t="s">
        <v>700</v>
      </c>
      <c r="C414" s="64" t="s">
        <v>209</v>
      </c>
      <c r="D414" s="64" t="s">
        <v>701</v>
      </c>
      <c r="E414" s="157" t="s">
        <v>167</v>
      </c>
      <c r="F414" s="157"/>
      <c r="G414" s="66" t="s">
        <v>702</v>
      </c>
      <c r="H414" s="67">
        <v>2.8</v>
      </c>
      <c r="I414" s="68">
        <v>20.46</v>
      </c>
      <c r="J414" s="128">
        <f t="shared" si="46"/>
        <v>57.29</v>
      </c>
    </row>
    <row r="415" spans="1:11" ht="39" customHeight="1">
      <c r="A415" s="64" t="s">
        <v>164</v>
      </c>
      <c r="B415" s="65" t="s">
        <v>703</v>
      </c>
      <c r="C415" s="64" t="s">
        <v>209</v>
      </c>
      <c r="D415" s="64" t="s">
        <v>704</v>
      </c>
      <c r="E415" s="157" t="s">
        <v>167</v>
      </c>
      <c r="F415" s="157"/>
      <c r="G415" s="66" t="s">
        <v>702</v>
      </c>
      <c r="H415" s="67">
        <v>2.84</v>
      </c>
      <c r="I415" s="68">
        <v>35.770000000000003</v>
      </c>
      <c r="J415" s="128">
        <f t="shared" si="46"/>
        <v>101.59</v>
      </c>
    </row>
    <row r="416" spans="1:11" ht="30" customHeight="1" thickBot="1">
      <c r="A416" s="61"/>
      <c r="B416" s="61"/>
      <c r="C416" s="61"/>
      <c r="D416" s="61"/>
      <c r="E416" s="61"/>
      <c r="F416" s="61"/>
      <c r="G416" s="61" t="s">
        <v>158</v>
      </c>
      <c r="H416" s="62">
        <f>'VOVÓ PESSOINHA'!F61</f>
        <v>9.24</v>
      </c>
      <c r="I416" s="61" t="s">
        <v>159</v>
      </c>
      <c r="J416" s="127">
        <f>'VOVÓ PESSOINHA'!I61</f>
        <v>3473.11</v>
      </c>
    </row>
    <row r="417" spans="1:11" ht="1.05" customHeight="1" thickTop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</row>
    <row r="418" spans="1:11" ht="18" customHeight="1">
      <c r="A418" s="48" t="s">
        <v>561</v>
      </c>
      <c r="B418" s="49" t="s">
        <v>9</v>
      </c>
      <c r="C418" s="48" t="s">
        <v>10</v>
      </c>
      <c r="D418" s="48" t="s">
        <v>11</v>
      </c>
      <c r="E418" s="159" t="s">
        <v>150</v>
      </c>
      <c r="F418" s="159"/>
      <c r="G418" s="50" t="s">
        <v>12</v>
      </c>
      <c r="H418" s="49" t="s">
        <v>13</v>
      </c>
      <c r="I418" s="49" t="s">
        <v>14</v>
      </c>
      <c r="J418" s="49" t="s">
        <v>16</v>
      </c>
    </row>
    <row r="419" spans="1:11" ht="24" customHeight="1">
      <c r="A419" s="51" t="s">
        <v>151</v>
      </c>
      <c r="B419" s="52" t="s">
        <v>562</v>
      </c>
      <c r="C419" s="51" t="s">
        <v>22</v>
      </c>
      <c r="D419" s="51" t="s">
        <v>563</v>
      </c>
      <c r="E419" s="160" t="s">
        <v>205</v>
      </c>
      <c r="F419" s="160"/>
      <c r="G419" s="53" t="s">
        <v>71</v>
      </c>
      <c r="H419" s="54">
        <v>1</v>
      </c>
      <c r="I419" s="55">
        <f>'VOVÓ PESSOINHA'!G62</f>
        <v>440.28</v>
      </c>
      <c r="J419" s="128">
        <f t="shared" ref="J419:J423" si="47">ROUND(H419*I419,2)</f>
        <v>440.28</v>
      </c>
      <c r="K419" s="143"/>
    </row>
    <row r="420" spans="1:11" ht="24" customHeight="1">
      <c r="A420" s="56" t="s">
        <v>153</v>
      </c>
      <c r="B420" s="57" t="s">
        <v>168</v>
      </c>
      <c r="C420" s="56" t="s">
        <v>29</v>
      </c>
      <c r="D420" s="56" t="s">
        <v>169</v>
      </c>
      <c r="E420" s="161" t="s">
        <v>152</v>
      </c>
      <c r="F420" s="161"/>
      <c r="G420" s="58" t="s">
        <v>24</v>
      </c>
      <c r="H420" s="59">
        <v>0.9</v>
      </c>
      <c r="I420" s="60">
        <v>25</v>
      </c>
      <c r="J420" s="128">
        <f t="shared" si="47"/>
        <v>22.5</v>
      </c>
    </row>
    <row r="421" spans="1:11" ht="24" customHeight="1">
      <c r="A421" s="56" t="s">
        <v>153</v>
      </c>
      <c r="B421" s="57" t="s">
        <v>156</v>
      </c>
      <c r="C421" s="56" t="s">
        <v>29</v>
      </c>
      <c r="D421" s="56" t="s">
        <v>157</v>
      </c>
      <c r="E421" s="161" t="s">
        <v>152</v>
      </c>
      <c r="F421" s="161"/>
      <c r="G421" s="58" t="s">
        <v>24</v>
      </c>
      <c r="H421" s="59">
        <v>1</v>
      </c>
      <c r="I421" s="60">
        <v>20.420000000000002</v>
      </c>
      <c r="J421" s="128">
        <f t="shared" si="47"/>
        <v>20.420000000000002</v>
      </c>
    </row>
    <row r="422" spans="1:11" ht="24" customHeight="1">
      <c r="A422" s="64" t="s">
        <v>164</v>
      </c>
      <c r="B422" s="65" t="s">
        <v>705</v>
      </c>
      <c r="C422" s="64" t="s">
        <v>209</v>
      </c>
      <c r="D422" s="64" t="s">
        <v>706</v>
      </c>
      <c r="E422" s="157" t="s">
        <v>167</v>
      </c>
      <c r="F422" s="157"/>
      <c r="G422" s="66" t="s">
        <v>31</v>
      </c>
      <c r="H422" s="67">
        <v>1</v>
      </c>
      <c r="I422" s="68">
        <v>393.52</v>
      </c>
      <c r="J422" s="128">
        <f t="shared" si="47"/>
        <v>393.52</v>
      </c>
    </row>
    <row r="423" spans="1:11" ht="24" customHeight="1">
      <c r="A423" s="64" t="s">
        <v>164</v>
      </c>
      <c r="B423" s="65" t="s">
        <v>707</v>
      </c>
      <c r="C423" s="64" t="s">
        <v>209</v>
      </c>
      <c r="D423" s="64" t="s">
        <v>708</v>
      </c>
      <c r="E423" s="157" t="s">
        <v>167</v>
      </c>
      <c r="F423" s="157"/>
      <c r="G423" s="66" t="s">
        <v>709</v>
      </c>
      <c r="H423" s="67">
        <v>4</v>
      </c>
      <c r="I423" s="68">
        <v>0.96</v>
      </c>
      <c r="J423" s="128">
        <f t="shared" si="47"/>
        <v>3.84</v>
      </c>
    </row>
    <row r="424" spans="1:11" ht="30" customHeight="1" thickBot="1">
      <c r="A424" s="61"/>
      <c r="B424" s="61"/>
      <c r="C424" s="61"/>
      <c r="D424" s="61"/>
      <c r="E424" s="61"/>
      <c r="F424" s="61"/>
      <c r="G424" s="61" t="s">
        <v>158</v>
      </c>
      <c r="H424" s="62">
        <f>'VOVÓ PESSOINHA'!F62</f>
        <v>5.64</v>
      </c>
      <c r="I424" s="61" t="s">
        <v>159</v>
      </c>
      <c r="J424" s="127">
        <f>'VOVÓ PESSOINHA'!I62</f>
        <v>3051.33</v>
      </c>
    </row>
    <row r="425" spans="1:11" ht="1.05" customHeight="1" thickTop="1">
      <c r="A425" s="63"/>
      <c r="B425" s="63"/>
      <c r="C425" s="63"/>
      <c r="D425" s="63"/>
      <c r="E425" s="63"/>
      <c r="F425" s="63"/>
      <c r="G425" s="63"/>
      <c r="H425" s="63"/>
      <c r="I425" s="63"/>
      <c r="J425" s="129"/>
    </row>
    <row r="426" spans="1:11" ht="24" customHeight="1">
      <c r="A426" s="45" t="s">
        <v>564</v>
      </c>
      <c r="B426" s="45"/>
      <c r="C426" s="45"/>
      <c r="D426" s="45" t="s">
        <v>67</v>
      </c>
      <c r="E426" s="45"/>
      <c r="F426" s="158"/>
      <c r="G426" s="158"/>
      <c r="H426" s="46"/>
      <c r="I426" s="45"/>
      <c r="J426" s="130">
        <f>SUM(J432)</f>
        <v>1847.48</v>
      </c>
    </row>
    <row r="427" spans="1:11" ht="18" customHeight="1">
      <c r="A427" s="48" t="s">
        <v>565</v>
      </c>
      <c r="B427" s="49" t="s">
        <v>9</v>
      </c>
      <c r="C427" s="48" t="s">
        <v>10</v>
      </c>
      <c r="D427" s="48" t="s">
        <v>11</v>
      </c>
      <c r="E427" s="159" t="s">
        <v>150</v>
      </c>
      <c r="F427" s="159"/>
      <c r="G427" s="50" t="s">
        <v>12</v>
      </c>
      <c r="H427" s="49" t="s">
        <v>13</v>
      </c>
      <c r="I427" s="49" t="s">
        <v>14</v>
      </c>
      <c r="J427" s="49" t="s">
        <v>16</v>
      </c>
    </row>
    <row r="428" spans="1:11" ht="24" customHeight="1">
      <c r="A428" s="51" t="s">
        <v>151</v>
      </c>
      <c r="B428" s="52" t="s">
        <v>91</v>
      </c>
      <c r="C428" s="51" t="s">
        <v>22</v>
      </c>
      <c r="D428" s="51" t="s">
        <v>92</v>
      </c>
      <c r="E428" s="160" t="s">
        <v>205</v>
      </c>
      <c r="F428" s="160"/>
      <c r="G428" s="53" t="s">
        <v>71</v>
      </c>
      <c r="H428" s="54">
        <v>1</v>
      </c>
      <c r="I428" s="55">
        <f>'VOVÓ PESSOINHA'!G64</f>
        <v>2.68</v>
      </c>
      <c r="J428" s="128">
        <f t="shared" ref="J428:J431" si="48">ROUND(H428*I428,2)</f>
        <v>2.68</v>
      </c>
      <c r="K428" s="143"/>
    </row>
    <row r="429" spans="1:11" ht="24" customHeight="1">
      <c r="A429" s="56" t="s">
        <v>153</v>
      </c>
      <c r="B429" s="57" t="s">
        <v>156</v>
      </c>
      <c r="C429" s="56" t="s">
        <v>29</v>
      </c>
      <c r="D429" s="56" t="s">
        <v>157</v>
      </c>
      <c r="E429" s="161" t="s">
        <v>152</v>
      </c>
      <c r="F429" s="161"/>
      <c r="G429" s="58" t="s">
        <v>24</v>
      </c>
      <c r="H429" s="59">
        <v>0.1</v>
      </c>
      <c r="I429" s="60">
        <v>20.420000000000002</v>
      </c>
      <c r="J429" s="128">
        <f t="shared" si="48"/>
        <v>2.04</v>
      </c>
      <c r="K429" s="143"/>
    </row>
    <row r="430" spans="1:11" ht="24" customHeight="1">
      <c r="A430" s="64" t="s">
        <v>164</v>
      </c>
      <c r="B430" s="65" t="s">
        <v>290</v>
      </c>
      <c r="C430" s="64" t="s">
        <v>209</v>
      </c>
      <c r="D430" s="64" t="s">
        <v>291</v>
      </c>
      <c r="E430" s="157" t="s">
        <v>167</v>
      </c>
      <c r="F430" s="157"/>
      <c r="G430" s="66" t="s">
        <v>211</v>
      </c>
      <c r="H430" s="67">
        <v>0.05</v>
      </c>
      <c r="I430" s="68">
        <v>11.8</v>
      </c>
      <c r="J430" s="128">
        <f t="shared" si="48"/>
        <v>0.59</v>
      </c>
    </row>
    <row r="431" spans="1:11" ht="24" customHeight="1">
      <c r="A431" s="64" t="s">
        <v>164</v>
      </c>
      <c r="B431" s="65" t="s">
        <v>292</v>
      </c>
      <c r="C431" s="64" t="s">
        <v>209</v>
      </c>
      <c r="D431" s="64" t="s">
        <v>293</v>
      </c>
      <c r="E431" s="157" t="s">
        <v>167</v>
      </c>
      <c r="F431" s="157"/>
      <c r="G431" s="66" t="s">
        <v>241</v>
      </c>
      <c r="H431" s="67">
        <v>5.0000000000000001E-3</v>
      </c>
      <c r="I431" s="68">
        <v>9.68</v>
      </c>
      <c r="J431" s="128">
        <f t="shared" si="48"/>
        <v>0.05</v>
      </c>
    </row>
    <row r="432" spans="1:11" ht="30" customHeight="1" thickBot="1">
      <c r="A432" s="61"/>
      <c r="B432" s="61"/>
      <c r="C432" s="61"/>
      <c r="D432" s="61"/>
      <c r="E432" s="61"/>
      <c r="F432" s="61"/>
      <c r="G432" s="61" t="s">
        <v>158</v>
      </c>
      <c r="H432" s="62">
        <f>'VOVÓ PESSOINHA'!F64</f>
        <v>561</v>
      </c>
      <c r="I432" s="61" t="s">
        <v>159</v>
      </c>
      <c r="J432" s="127">
        <f>'VOVÓ PESSOINHA'!I64</f>
        <v>1847.48</v>
      </c>
    </row>
    <row r="433" spans="1:10" ht="1.05" customHeight="1" thickTop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</row>
    <row r="434" spans="1:10">
      <c r="A434" s="69"/>
      <c r="B434" s="69"/>
      <c r="C434" s="69"/>
      <c r="D434" s="69"/>
      <c r="E434" s="69"/>
      <c r="F434" s="69"/>
      <c r="G434" s="69"/>
      <c r="H434" s="69"/>
      <c r="I434" s="69"/>
      <c r="J434" s="69"/>
    </row>
    <row r="435" spans="1:10">
      <c r="A435" s="153"/>
      <c r="B435" s="153"/>
      <c r="C435" s="153"/>
      <c r="D435" s="70"/>
      <c r="E435" s="61"/>
      <c r="F435" s="154" t="s">
        <v>93</v>
      </c>
      <c r="G435" s="153"/>
      <c r="H435" s="155">
        <f>SUM('VOVÓ PESSOINHA'!H66:J66)</f>
        <v>176188.88</v>
      </c>
      <c r="I435" s="155"/>
      <c r="J435" s="155"/>
    </row>
    <row r="436" spans="1:10">
      <c r="A436" s="153"/>
      <c r="B436" s="153"/>
      <c r="C436" s="153"/>
      <c r="D436" s="70"/>
      <c r="E436" s="61"/>
      <c r="F436" s="154" t="s">
        <v>94</v>
      </c>
      <c r="G436" s="153"/>
      <c r="H436" s="155">
        <f>SUM('VOVÓ PESSOINHA'!H67:J67)</f>
        <v>52271.8</v>
      </c>
      <c r="I436" s="155"/>
      <c r="J436" s="155"/>
    </row>
    <row r="437" spans="1:10">
      <c r="A437" s="153"/>
      <c r="B437" s="153"/>
      <c r="C437" s="153"/>
      <c r="D437" s="70"/>
      <c r="E437" s="61"/>
      <c r="F437" s="154" t="s">
        <v>95</v>
      </c>
      <c r="G437" s="153"/>
      <c r="H437" s="155">
        <f>SUM(J426,J377,J343,J265,J205,J145,J102,J67,J52,J33,J4)</f>
        <v>228460.68000000002</v>
      </c>
      <c r="I437" s="155"/>
      <c r="J437" s="155"/>
    </row>
    <row r="438" spans="1:10" ht="60" customHeight="1">
      <c r="A438" s="71"/>
      <c r="B438" s="71"/>
      <c r="C438" s="71"/>
      <c r="D438" s="71"/>
      <c r="E438" s="71"/>
      <c r="F438" s="71"/>
      <c r="G438" s="71"/>
      <c r="H438" s="71"/>
      <c r="I438" s="71"/>
      <c r="J438" s="71"/>
    </row>
    <row r="439" spans="1:10" ht="70.05" customHeight="1">
      <c r="A439" s="156"/>
      <c r="B439" s="150"/>
      <c r="C439" s="150"/>
      <c r="D439" s="150"/>
      <c r="E439" s="150"/>
      <c r="F439" s="150"/>
      <c r="G439" s="150"/>
      <c r="H439" s="150"/>
      <c r="I439" s="150"/>
      <c r="J439" s="150"/>
    </row>
  </sheetData>
  <mergeCells count="351">
    <mergeCell ref="C1:D1"/>
    <mergeCell ref="E1:F1"/>
    <mergeCell ref="G1:H1"/>
    <mergeCell ref="I1:J1"/>
    <mergeCell ref="C2:D2"/>
    <mergeCell ref="E2:F2"/>
    <mergeCell ref="G2:H2"/>
    <mergeCell ref="I2:J2"/>
    <mergeCell ref="E11:F11"/>
    <mergeCell ref="E17:F17"/>
    <mergeCell ref="E18:F18"/>
    <mergeCell ref="E19:F19"/>
    <mergeCell ref="E20:F20"/>
    <mergeCell ref="E23:F23"/>
    <mergeCell ref="E12:F12"/>
    <mergeCell ref="E13:F13"/>
    <mergeCell ref="E16:F16"/>
    <mergeCell ref="A3:J3"/>
    <mergeCell ref="F4:G4"/>
    <mergeCell ref="E5:F5"/>
    <mergeCell ref="E6:F6"/>
    <mergeCell ref="E7:F7"/>
    <mergeCell ref="E8:F8"/>
    <mergeCell ref="E30:F30"/>
    <mergeCell ref="F33:G33"/>
    <mergeCell ref="E34:F34"/>
    <mergeCell ref="E35:F35"/>
    <mergeCell ref="E36:F36"/>
    <mergeCell ref="E44:F44"/>
    <mergeCell ref="E45:F45"/>
    <mergeCell ref="E24:F24"/>
    <mergeCell ref="E25:F25"/>
    <mergeCell ref="E26:F26"/>
    <mergeCell ref="E27:F27"/>
    <mergeCell ref="E28:F28"/>
    <mergeCell ref="E29:F29"/>
    <mergeCell ref="E46:F46"/>
    <mergeCell ref="E47:F47"/>
    <mergeCell ref="E48:F48"/>
    <mergeCell ref="E49:F49"/>
    <mergeCell ref="E37:F37"/>
    <mergeCell ref="E38:F38"/>
    <mergeCell ref="E39:F39"/>
    <mergeCell ref="E57:F57"/>
    <mergeCell ref="E60:F60"/>
    <mergeCell ref="E42:F42"/>
    <mergeCell ref="E43:F43"/>
    <mergeCell ref="E61:F61"/>
    <mergeCell ref="E62:F62"/>
    <mergeCell ref="E63:F63"/>
    <mergeCell ref="F52:G52"/>
    <mergeCell ref="E53:F53"/>
    <mergeCell ref="E54:F54"/>
    <mergeCell ref="E55:F55"/>
    <mergeCell ref="E56:F56"/>
    <mergeCell ref="E71:F71"/>
    <mergeCell ref="E72:F72"/>
    <mergeCell ref="E73:F73"/>
    <mergeCell ref="E76:F76"/>
    <mergeCell ref="E77:F77"/>
    <mergeCell ref="E64:F64"/>
    <mergeCell ref="F67:G67"/>
    <mergeCell ref="E68:F68"/>
    <mergeCell ref="E69:F69"/>
    <mergeCell ref="E70:F70"/>
    <mergeCell ref="E85:F85"/>
    <mergeCell ref="E86:F86"/>
    <mergeCell ref="E87:F87"/>
    <mergeCell ref="E88:F88"/>
    <mergeCell ref="E89:F89"/>
    <mergeCell ref="E90:F90"/>
    <mergeCell ref="E78:F78"/>
    <mergeCell ref="E79:F79"/>
    <mergeCell ref="E80:F80"/>
    <mergeCell ref="E81:F81"/>
    <mergeCell ref="E82:F82"/>
    <mergeCell ref="E98:F98"/>
    <mergeCell ref="E99:F99"/>
    <mergeCell ref="F102:G102"/>
    <mergeCell ref="E103:F103"/>
    <mergeCell ref="E104:F104"/>
    <mergeCell ref="E93:F93"/>
    <mergeCell ref="E94:F94"/>
    <mergeCell ref="E95:F95"/>
    <mergeCell ref="E96:F96"/>
    <mergeCell ref="E97:F97"/>
    <mergeCell ref="E112:F112"/>
    <mergeCell ref="E113:F113"/>
    <mergeCell ref="E114:F114"/>
    <mergeCell ref="E117:F117"/>
    <mergeCell ref="E118:F118"/>
    <mergeCell ref="E105:F105"/>
    <mergeCell ref="E106:F106"/>
    <mergeCell ref="E109:F109"/>
    <mergeCell ref="E110:F110"/>
    <mergeCell ref="E111:F111"/>
    <mergeCell ref="E126:F126"/>
    <mergeCell ref="E127:F127"/>
    <mergeCell ref="E128:F128"/>
    <mergeCell ref="E131:F131"/>
    <mergeCell ref="E132:F132"/>
    <mergeCell ref="E119:F119"/>
    <mergeCell ref="E120:F120"/>
    <mergeCell ref="E121:F121"/>
    <mergeCell ref="E124:F124"/>
    <mergeCell ref="E125:F125"/>
    <mergeCell ref="E140:F140"/>
    <mergeCell ref="E141:F141"/>
    <mergeCell ref="E142:F142"/>
    <mergeCell ref="E160:F160"/>
    <mergeCell ref="E161:F161"/>
    <mergeCell ref="F145:G145"/>
    <mergeCell ref="E146:F146"/>
    <mergeCell ref="E133:F133"/>
    <mergeCell ref="E134:F134"/>
    <mergeCell ref="E135:F135"/>
    <mergeCell ref="E138:F138"/>
    <mergeCell ref="E139:F139"/>
    <mergeCell ref="E147:F147"/>
    <mergeCell ref="E148:F148"/>
    <mergeCell ref="E153:F153"/>
    <mergeCell ref="E156:F156"/>
    <mergeCell ref="E157:F157"/>
    <mergeCell ref="E158:F158"/>
    <mergeCell ref="E159:F159"/>
    <mergeCell ref="E173:F173"/>
    <mergeCell ref="E149:F149"/>
    <mergeCell ref="E150:F150"/>
    <mergeCell ref="E151:F151"/>
    <mergeCell ref="E152:F152"/>
    <mergeCell ref="E167:F167"/>
    <mergeCell ref="E168:F168"/>
    <mergeCell ref="E169:F169"/>
    <mergeCell ref="E170:F170"/>
    <mergeCell ref="E171:F171"/>
    <mergeCell ref="E172:F172"/>
    <mergeCell ref="E162:F162"/>
    <mergeCell ref="E163:F163"/>
    <mergeCell ref="E166:F166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9:F179"/>
    <mergeCell ref="E193:F193"/>
    <mergeCell ref="E194:F194"/>
    <mergeCell ref="E197:F197"/>
    <mergeCell ref="E198:F198"/>
    <mergeCell ref="E199:F199"/>
    <mergeCell ref="E187:F187"/>
    <mergeCell ref="E188:F188"/>
    <mergeCell ref="E189:F189"/>
    <mergeCell ref="E190:F190"/>
    <mergeCell ref="E191:F191"/>
    <mergeCell ref="E192:F192"/>
    <mergeCell ref="E207:F207"/>
    <mergeCell ref="E208:F208"/>
    <mergeCell ref="E209:F209"/>
    <mergeCell ref="E210:F210"/>
    <mergeCell ref="E211:F211"/>
    <mergeCell ref="E212:F212"/>
    <mergeCell ref="E200:F200"/>
    <mergeCell ref="E201:F201"/>
    <mergeCell ref="E202:F202"/>
    <mergeCell ref="F205:G205"/>
    <mergeCell ref="E206:F206"/>
    <mergeCell ref="E220:F220"/>
    <mergeCell ref="E221:F221"/>
    <mergeCell ref="E222:F222"/>
    <mergeCell ref="E225:F225"/>
    <mergeCell ref="E226:F226"/>
    <mergeCell ref="E213:F213"/>
    <mergeCell ref="E216:F216"/>
    <mergeCell ref="E217:F217"/>
    <mergeCell ref="E218:F218"/>
    <mergeCell ref="E219:F219"/>
    <mergeCell ref="E234:F234"/>
    <mergeCell ref="E235:F235"/>
    <mergeCell ref="E236:F236"/>
    <mergeCell ref="E239:F239"/>
    <mergeCell ref="E240:F240"/>
    <mergeCell ref="E227:F227"/>
    <mergeCell ref="E228:F228"/>
    <mergeCell ref="E229:F229"/>
    <mergeCell ref="E230:F230"/>
    <mergeCell ref="E233:F233"/>
    <mergeCell ref="E248:F248"/>
    <mergeCell ref="E249:F249"/>
    <mergeCell ref="E250:F250"/>
    <mergeCell ref="E251:F251"/>
    <mergeCell ref="E252:F252"/>
    <mergeCell ref="E241:F241"/>
    <mergeCell ref="E242:F242"/>
    <mergeCell ref="E243:F243"/>
    <mergeCell ref="E244:F244"/>
    <mergeCell ref="E247:F247"/>
    <mergeCell ref="E261:F261"/>
    <mergeCell ref="E262:F262"/>
    <mergeCell ref="F265:G265"/>
    <mergeCell ref="E266:F266"/>
    <mergeCell ref="E267:F267"/>
    <mergeCell ref="E255:F255"/>
    <mergeCell ref="E256:F256"/>
    <mergeCell ref="E257:F257"/>
    <mergeCell ref="E258:F258"/>
    <mergeCell ref="E259:F259"/>
    <mergeCell ref="E260:F260"/>
    <mergeCell ref="E274:F274"/>
    <mergeCell ref="E275:F275"/>
    <mergeCell ref="E276:F276"/>
    <mergeCell ref="E277:F277"/>
    <mergeCell ref="E280:F280"/>
    <mergeCell ref="E268:F268"/>
    <mergeCell ref="E269:F269"/>
    <mergeCell ref="E270:F270"/>
    <mergeCell ref="E271:F271"/>
    <mergeCell ref="E272:F272"/>
    <mergeCell ref="E273:F273"/>
    <mergeCell ref="E289:F289"/>
    <mergeCell ref="E290:F290"/>
    <mergeCell ref="E291:F291"/>
    <mergeCell ref="E292:F292"/>
    <mergeCell ref="E293:F293"/>
    <mergeCell ref="E281:F281"/>
    <mergeCell ref="E282:F282"/>
    <mergeCell ref="E283:F283"/>
    <mergeCell ref="E284:F284"/>
    <mergeCell ref="E285:F285"/>
    <mergeCell ref="E286:F286"/>
    <mergeCell ref="E301:F301"/>
    <mergeCell ref="E304:F304"/>
    <mergeCell ref="E305:F305"/>
    <mergeCell ref="E306:F306"/>
    <mergeCell ref="E307:F307"/>
    <mergeCell ref="E315:F315"/>
    <mergeCell ref="E316:F316"/>
    <mergeCell ref="E296:F296"/>
    <mergeCell ref="E297:F297"/>
    <mergeCell ref="E298:F298"/>
    <mergeCell ref="E299:F299"/>
    <mergeCell ref="E300:F300"/>
    <mergeCell ref="E333:F333"/>
    <mergeCell ref="E334:F334"/>
    <mergeCell ref="E323:F323"/>
    <mergeCell ref="E324:F324"/>
    <mergeCell ref="E325:F325"/>
    <mergeCell ref="E326:F326"/>
    <mergeCell ref="E327:F327"/>
    <mergeCell ref="E313:F313"/>
    <mergeCell ref="E314:F314"/>
    <mergeCell ref="E328:F328"/>
    <mergeCell ref="E329:F329"/>
    <mergeCell ref="E330:F330"/>
    <mergeCell ref="E317:F317"/>
    <mergeCell ref="E318:F318"/>
    <mergeCell ref="E319:F319"/>
    <mergeCell ref="E320:F320"/>
    <mergeCell ref="E308:F308"/>
    <mergeCell ref="E309:F309"/>
    <mergeCell ref="E310:F310"/>
    <mergeCell ref="F343:G343"/>
    <mergeCell ref="E344:F344"/>
    <mergeCell ref="E345:F345"/>
    <mergeCell ref="E346:F346"/>
    <mergeCell ref="E347:F347"/>
    <mergeCell ref="E335:F335"/>
    <mergeCell ref="E336:F336"/>
    <mergeCell ref="E337:F337"/>
    <mergeCell ref="E338:F338"/>
    <mergeCell ref="E339:F339"/>
    <mergeCell ref="E340:F340"/>
    <mergeCell ref="E355:F355"/>
    <mergeCell ref="E356:F356"/>
    <mergeCell ref="E357:F357"/>
    <mergeCell ref="E360:F360"/>
    <mergeCell ref="E361:F361"/>
    <mergeCell ref="E348:F348"/>
    <mergeCell ref="E349:F349"/>
    <mergeCell ref="E352:F352"/>
    <mergeCell ref="E353:F353"/>
    <mergeCell ref="E354:F354"/>
    <mergeCell ref="E369:F369"/>
    <mergeCell ref="E370:F370"/>
    <mergeCell ref="E371:F371"/>
    <mergeCell ref="E372:F372"/>
    <mergeCell ref="E373:F373"/>
    <mergeCell ref="E374:F374"/>
    <mergeCell ref="E362:F362"/>
    <mergeCell ref="E363:F363"/>
    <mergeCell ref="E364:F364"/>
    <mergeCell ref="E367:F367"/>
    <mergeCell ref="E368:F368"/>
    <mergeCell ref="E382:F382"/>
    <mergeCell ref="E385:F385"/>
    <mergeCell ref="E386:F386"/>
    <mergeCell ref="E387:F387"/>
    <mergeCell ref="E388:F388"/>
    <mergeCell ref="F377:G377"/>
    <mergeCell ref="E378:F378"/>
    <mergeCell ref="E379:F379"/>
    <mergeCell ref="E380:F380"/>
    <mergeCell ref="E381:F381"/>
    <mergeCell ref="E397:F397"/>
    <mergeCell ref="E398:F398"/>
    <mergeCell ref="E399:F399"/>
    <mergeCell ref="E400:F400"/>
    <mergeCell ref="E401:F401"/>
    <mergeCell ref="E409:F409"/>
    <mergeCell ref="E410:F410"/>
    <mergeCell ref="E389:F389"/>
    <mergeCell ref="E390:F390"/>
    <mergeCell ref="E391:F391"/>
    <mergeCell ref="E392:F392"/>
    <mergeCell ref="E393:F393"/>
    <mergeCell ref="E394:F394"/>
    <mergeCell ref="E411:F411"/>
    <mergeCell ref="E412:F412"/>
    <mergeCell ref="E413:F413"/>
    <mergeCell ref="E414:F414"/>
    <mergeCell ref="E402:F402"/>
    <mergeCell ref="E403:F403"/>
    <mergeCell ref="E404:F404"/>
    <mergeCell ref="E422:F422"/>
    <mergeCell ref="E423:F423"/>
    <mergeCell ref="E407:F407"/>
    <mergeCell ref="E408:F408"/>
    <mergeCell ref="F426:G426"/>
    <mergeCell ref="E427:F427"/>
    <mergeCell ref="E428:F428"/>
    <mergeCell ref="E415:F415"/>
    <mergeCell ref="E418:F418"/>
    <mergeCell ref="E419:F419"/>
    <mergeCell ref="E420:F420"/>
    <mergeCell ref="E421:F421"/>
    <mergeCell ref="A439:J439"/>
    <mergeCell ref="A436:C436"/>
    <mergeCell ref="F436:G436"/>
    <mergeCell ref="H436:J436"/>
    <mergeCell ref="A437:C437"/>
    <mergeCell ref="F437:G437"/>
    <mergeCell ref="H437:J437"/>
    <mergeCell ref="E429:F429"/>
    <mergeCell ref="E430:F430"/>
    <mergeCell ref="E431:F431"/>
    <mergeCell ref="A435:C435"/>
    <mergeCell ref="F435:G435"/>
    <mergeCell ref="H435:J435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3B9D-31CD-4153-8F4D-29FFA1FDC32C}">
  <dimension ref="B1:L280"/>
  <sheetViews>
    <sheetView workbookViewId="0">
      <selection activeCell="O10" sqref="O10"/>
    </sheetView>
  </sheetViews>
  <sheetFormatPr defaultRowHeight="13.8"/>
  <cols>
    <col min="2" max="8" width="9.59765625" customWidth="1"/>
    <col min="9" max="9" width="10.796875" customWidth="1"/>
    <col min="10" max="11" width="9.59765625" customWidth="1"/>
    <col min="12" max="12" width="12.5" customWidth="1"/>
  </cols>
  <sheetData>
    <row r="1" spans="2:12" ht="14.4" thickBot="1"/>
    <row r="2" spans="2:12" ht="14.4">
      <c r="B2" s="180" t="s">
        <v>97</v>
      </c>
      <c r="C2" s="181"/>
      <c r="D2" s="186" t="str">
        <f>'[2]PLANILHA ORÇAMENTÁRIA'!E2</f>
        <v>PREFEITURA MUNICIPAL DE ITAMBÉ</v>
      </c>
      <c r="E2" s="187"/>
      <c r="F2" s="187"/>
      <c r="G2" s="187"/>
      <c r="H2" s="187"/>
      <c r="I2" s="188"/>
      <c r="J2" s="189"/>
      <c r="K2" s="190"/>
      <c r="L2" s="191"/>
    </row>
    <row r="3" spans="2:12" ht="14.4">
      <c r="B3" s="182"/>
      <c r="C3" s="183"/>
      <c r="D3" s="198" t="str">
        <f>'[2]PLANILHA ORÇAMENTÁRIA'!E3</f>
        <v>SECRETARIA DE INFRAESTRUTURA</v>
      </c>
      <c r="E3" s="199"/>
      <c r="F3" s="199"/>
      <c r="G3" s="199"/>
      <c r="H3" s="199"/>
      <c r="I3" s="200"/>
      <c r="J3" s="192"/>
      <c r="K3" s="193"/>
      <c r="L3" s="194"/>
    </row>
    <row r="4" spans="2:12">
      <c r="B4" s="182"/>
      <c r="C4" s="183"/>
      <c r="D4" s="201" t="str">
        <f>'[3]VOVO PESSOINHA'!D2:I2</f>
        <v>OBRA: REFORMA DA CRECHE VOVO PESSOINHA, NO DISTRITO DE QUEBEC</v>
      </c>
      <c r="E4" s="202"/>
      <c r="F4" s="202"/>
      <c r="G4" s="202"/>
      <c r="H4" s="202"/>
      <c r="I4" s="203"/>
      <c r="J4" s="192"/>
      <c r="K4" s="193"/>
      <c r="L4" s="194"/>
    </row>
    <row r="5" spans="2:12" ht="26.4" customHeight="1" thickBot="1">
      <c r="B5" s="184"/>
      <c r="C5" s="185"/>
      <c r="D5" s="204"/>
      <c r="E5" s="205"/>
      <c r="F5" s="205"/>
      <c r="G5" s="205"/>
      <c r="H5" s="205"/>
      <c r="I5" s="206"/>
      <c r="J5" s="195"/>
      <c r="K5" s="196"/>
      <c r="L5" s="197"/>
    </row>
    <row r="6" spans="2:12">
      <c r="B6" s="17"/>
      <c r="C6" s="17"/>
      <c r="D6" s="17"/>
      <c r="E6" s="17"/>
      <c r="F6" s="17"/>
      <c r="G6" s="17"/>
      <c r="H6" s="17"/>
      <c r="I6" s="17"/>
      <c r="J6" s="18"/>
      <c r="K6" s="17"/>
      <c r="L6" s="17"/>
    </row>
    <row r="7" spans="2:12">
      <c r="B7" s="24" t="s">
        <v>99</v>
      </c>
      <c r="C7" s="179" t="str">
        <f>'[2]PLANILHA ORÇAMENTÁRIA'!E11</f>
        <v>SERVIÇOS PRELIMINARES</v>
      </c>
      <c r="D7" s="179"/>
      <c r="E7" s="179"/>
      <c r="F7" s="179"/>
      <c r="G7" s="179"/>
      <c r="H7" s="179"/>
      <c r="I7" s="179"/>
      <c r="J7" s="179"/>
      <c r="K7" s="25"/>
      <c r="L7" s="25"/>
    </row>
    <row r="8" spans="2:12">
      <c r="B8" s="19" t="s">
        <v>100</v>
      </c>
      <c r="C8" s="177" t="str">
        <f>'[3]VOVO PESSOINHA'!D10</f>
        <v>DEMOLIÇÃO DE ALVENARIA DE BLOCO FURADO, DE FORMA MANUAL, SEM REAPROVEITAMENTO. AF_12/2017</v>
      </c>
      <c r="D8" s="177"/>
      <c r="E8" s="177"/>
      <c r="F8" s="177"/>
      <c r="G8" s="177"/>
      <c r="H8" s="177"/>
      <c r="I8" s="177"/>
      <c r="J8" s="177"/>
      <c r="K8" s="26" t="str">
        <f>'[3]VOVO PESSOINHA'!E10</f>
        <v>M3</v>
      </c>
      <c r="L8" s="27">
        <f>K11</f>
        <v>1.3680000000000001</v>
      </c>
    </row>
    <row r="9" spans="2:12">
      <c r="B9" s="21"/>
      <c r="C9" s="167" t="s">
        <v>101</v>
      </c>
      <c r="D9" s="167"/>
      <c r="E9" s="167"/>
      <c r="F9" s="29" t="s">
        <v>102</v>
      </c>
      <c r="G9" s="28" t="s">
        <v>103</v>
      </c>
      <c r="H9" s="29" t="s">
        <v>104</v>
      </c>
      <c r="I9" s="28" t="s">
        <v>105</v>
      </c>
      <c r="J9" s="28" t="s">
        <v>115</v>
      </c>
      <c r="K9" s="30" t="s">
        <v>107</v>
      </c>
      <c r="L9" s="23"/>
    </row>
    <row r="10" spans="2:12">
      <c r="B10" s="21"/>
      <c r="C10" s="165" t="s">
        <v>710</v>
      </c>
      <c r="D10" s="165"/>
      <c r="E10" s="165"/>
      <c r="F10" s="31"/>
      <c r="G10" s="31">
        <v>3.2</v>
      </c>
      <c r="H10" s="31">
        <v>0.15</v>
      </c>
      <c r="I10" s="31">
        <v>2.85</v>
      </c>
      <c r="J10" s="31"/>
      <c r="K10" s="32">
        <f>I10*H10*G10</f>
        <v>1.3680000000000001</v>
      </c>
      <c r="L10" s="23"/>
    </row>
    <row r="11" spans="2:12">
      <c r="B11" s="21"/>
      <c r="C11" s="166" t="s">
        <v>110</v>
      </c>
      <c r="D11" s="166"/>
      <c r="E11" s="166"/>
      <c r="F11" s="166"/>
      <c r="G11" s="166"/>
      <c r="H11" s="166"/>
      <c r="I11" s="166"/>
      <c r="J11" s="166"/>
      <c r="K11" s="33">
        <f>SUM(K10:K10)</f>
        <v>1.3680000000000001</v>
      </c>
      <c r="L11" s="23"/>
    </row>
    <row r="13" spans="2:12">
      <c r="B13" s="19" t="s">
        <v>459</v>
      </c>
      <c r="C13" s="177" t="str">
        <f>'[3]MOCINHA BARBALHO'!D11</f>
        <v>ESCAVAÇÃO MANUAL DE VALA COM PROFUNDIDADE MENOR OU IGUAL A 1,30 M. AF_02/2021</v>
      </c>
      <c r="D13" s="177"/>
      <c r="E13" s="177"/>
      <c r="F13" s="177"/>
      <c r="G13" s="177"/>
      <c r="H13" s="177"/>
      <c r="I13" s="177"/>
      <c r="J13" s="177"/>
      <c r="K13" s="26" t="str">
        <f>'[3]MOCINHA BARBALHO'!E11</f>
        <v>M3</v>
      </c>
      <c r="L13" s="27">
        <f>K17</f>
        <v>3.8699999999999997</v>
      </c>
    </row>
    <row r="14" spans="2:12">
      <c r="B14" s="21"/>
      <c r="C14" s="167" t="s">
        <v>101</v>
      </c>
      <c r="D14" s="167"/>
      <c r="E14" s="167"/>
      <c r="F14" s="29" t="s">
        <v>102</v>
      </c>
      <c r="G14" s="28" t="s">
        <v>103</v>
      </c>
      <c r="H14" s="29" t="s">
        <v>104</v>
      </c>
      <c r="I14" s="28" t="s">
        <v>105</v>
      </c>
      <c r="J14" s="28" t="s">
        <v>106</v>
      </c>
      <c r="K14" s="30" t="s">
        <v>107</v>
      </c>
      <c r="L14" s="23"/>
    </row>
    <row r="15" spans="2:12">
      <c r="B15" s="21"/>
      <c r="C15" s="178" t="s">
        <v>476</v>
      </c>
      <c r="D15" s="217"/>
      <c r="E15" s="218"/>
      <c r="F15" s="31">
        <v>2</v>
      </c>
      <c r="G15" s="38"/>
      <c r="H15" s="37">
        <v>4</v>
      </c>
      <c r="I15" s="38">
        <v>4.5</v>
      </c>
      <c r="J15" s="38"/>
      <c r="K15" s="39">
        <f>(H15*F15+I15*F15)*0.3*0.3</f>
        <v>1.5299999999999998</v>
      </c>
      <c r="L15" s="23"/>
    </row>
    <row r="16" spans="2:12">
      <c r="B16" s="21"/>
      <c r="C16" s="165" t="s">
        <v>710</v>
      </c>
      <c r="D16" s="165"/>
      <c r="E16" s="165"/>
      <c r="F16" s="31">
        <v>2</v>
      </c>
      <c r="G16" s="31"/>
      <c r="H16" s="31">
        <v>5</v>
      </c>
      <c r="I16" s="31">
        <v>8</v>
      </c>
      <c r="J16" s="31"/>
      <c r="K16" s="39">
        <f>(H16*F16+I16*F16)*0.3*0.3</f>
        <v>2.34</v>
      </c>
      <c r="L16" s="23"/>
    </row>
    <row r="17" spans="2:12">
      <c r="B17" s="21"/>
      <c r="C17" s="166" t="s">
        <v>110</v>
      </c>
      <c r="D17" s="166"/>
      <c r="E17" s="166"/>
      <c r="F17" s="166"/>
      <c r="G17" s="166"/>
      <c r="H17" s="166"/>
      <c r="I17" s="166"/>
      <c r="J17" s="166"/>
      <c r="K17" s="33">
        <f>SUM(K15:K16)</f>
        <v>3.8699999999999997</v>
      </c>
      <c r="L17" s="23"/>
    </row>
    <row r="19" spans="2:12">
      <c r="B19" s="19" t="s">
        <v>711</v>
      </c>
      <c r="C19" s="177" t="str">
        <f>'[3]MOCINHA BARBALHO'!D12</f>
        <v>LASTRO DE CONCRETO MAGRO, APLICADO EM PISOS, LAJES SOBRE SOLO OU RADIERS. AF_08/2017</v>
      </c>
      <c r="D19" s="177"/>
      <c r="E19" s="177"/>
      <c r="F19" s="177"/>
      <c r="G19" s="177"/>
      <c r="H19" s="177"/>
      <c r="I19" s="177"/>
      <c r="J19" s="177"/>
      <c r="K19" s="26" t="str">
        <f>'[3]MOCINHA BARBALHO'!E12</f>
        <v>M3</v>
      </c>
      <c r="L19" s="27">
        <f>K23</f>
        <v>0.8600000000000001</v>
      </c>
    </row>
    <row r="20" spans="2:12">
      <c r="B20" s="21"/>
      <c r="C20" s="167" t="s">
        <v>101</v>
      </c>
      <c r="D20" s="167"/>
      <c r="E20" s="167"/>
      <c r="F20" s="29" t="s">
        <v>102</v>
      </c>
      <c r="G20" s="28" t="s">
        <v>103</v>
      </c>
      <c r="H20" s="29" t="s">
        <v>104</v>
      </c>
      <c r="I20" s="28" t="s">
        <v>105</v>
      </c>
      <c r="J20" s="28" t="s">
        <v>106</v>
      </c>
      <c r="K20" s="30" t="s">
        <v>107</v>
      </c>
      <c r="L20" s="23"/>
    </row>
    <row r="21" spans="2:12">
      <c r="B21" s="21"/>
      <c r="C21" s="178" t="s">
        <v>476</v>
      </c>
      <c r="D21" s="217"/>
      <c r="E21" s="218"/>
      <c r="F21" s="31">
        <v>2</v>
      </c>
      <c r="G21" s="38"/>
      <c r="H21" s="37">
        <v>4</v>
      </c>
      <c r="I21" s="38">
        <v>4.5</v>
      </c>
      <c r="J21" s="38"/>
      <c r="K21" s="39">
        <f>(H21*F21+I21*F21)*0.2*0.1</f>
        <v>0.34000000000000008</v>
      </c>
      <c r="L21" s="23"/>
    </row>
    <row r="22" spans="2:12">
      <c r="B22" s="21"/>
      <c r="C22" s="165" t="s">
        <v>710</v>
      </c>
      <c r="D22" s="165"/>
      <c r="E22" s="165"/>
      <c r="F22" s="31">
        <v>2</v>
      </c>
      <c r="G22" s="31"/>
      <c r="H22" s="31">
        <v>5</v>
      </c>
      <c r="I22" s="31">
        <v>8</v>
      </c>
      <c r="J22" s="31"/>
      <c r="K22" s="39">
        <f>(H22*F22+I22*F22)*0.2*0.1</f>
        <v>0.52</v>
      </c>
      <c r="L22" s="23"/>
    </row>
    <row r="23" spans="2:12">
      <c r="B23" s="21"/>
      <c r="C23" s="166" t="s">
        <v>110</v>
      </c>
      <c r="D23" s="166"/>
      <c r="E23" s="166"/>
      <c r="F23" s="166"/>
      <c r="G23" s="166"/>
      <c r="H23" s="166"/>
      <c r="I23" s="166"/>
      <c r="J23" s="166"/>
      <c r="K23" s="33">
        <f>SUM(K21:K22)</f>
        <v>0.8600000000000001</v>
      </c>
      <c r="L23" s="23"/>
    </row>
    <row r="25" spans="2:12">
      <c r="B25" s="19" t="s">
        <v>712</v>
      </c>
      <c r="C25" s="177" t="str">
        <f>'[3]VOVO PESSOINHA'!D13</f>
        <v>ATERRO MANUAL DE VALAS COM AREIA PARA ATERRO E COMPACTAÇÃO MECANIZADA. AF_05/2016</v>
      </c>
      <c r="D25" s="177"/>
      <c r="E25" s="177"/>
      <c r="F25" s="177"/>
      <c r="G25" s="177"/>
      <c r="H25" s="177"/>
      <c r="I25" s="177"/>
      <c r="J25" s="177"/>
      <c r="K25" s="26" t="str">
        <f>'[3]VOVO PESSOINHA'!E13</f>
        <v>M3</v>
      </c>
      <c r="L25" s="27">
        <f>K28</f>
        <v>36.89</v>
      </c>
    </row>
    <row r="26" spans="2:12">
      <c r="B26" s="21"/>
      <c r="C26" s="167" t="s">
        <v>101</v>
      </c>
      <c r="D26" s="167"/>
      <c r="E26" s="167"/>
      <c r="F26" s="29" t="s">
        <v>102</v>
      </c>
      <c r="G26" s="28" t="s">
        <v>103</v>
      </c>
      <c r="H26" s="29" t="s">
        <v>104</v>
      </c>
      <c r="I26" s="28" t="s">
        <v>105</v>
      </c>
      <c r="J26" s="28" t="s">
        <v>115</v>
      </c>
      <c r="K26" s="30" t="s">
        <v>107</v>
      </c>
      <c r="L26" s="23"/>
    </row>
    <row r="27" spans="2:12">
      <c r="B27" s="21"/>
      <c r="C27" s="178" t="s">
        <v>713</v>
      </c>
      <c r="D27" s="217"/>
      <c r="E27" s="218"/>
      <c r="F27" s="31"/>
      <c r="G27" s="38"/>
      <c r="H27" s="37">
        <v>6.2</v>
      </c>
      <c r="I27" s="38"/>
      <c r="J27" s="38">
        <v>5.95</v>
      </c>
      <c r="K27" s="39">
        <f>J27*H27</f>
        <v>36.89</v>
      </c>
      <c r="L27" s="23"/>
    </row>
    <row r="28" spans="2:12">
      <c r="B28" s="21"/>
      <c r="C28" s="166" t="s">
        <v>110</v>
      </c>
      <c r="D28" s="166"/>
      <c r="E28" s="166"/>
      <c r="F28" s="166"/>
      <c r="G28" s="166"/>
      <c r="H28" s="166"/>
      <c r="I28" s="166"/>
      <c r="J28" s="166"/>
      <c r="K28" s="33">
        <f>SUM(K27:K27)</f>
        <v>36.89</v>
      </c>
      <c r="L28" s="23"/>
    </row>
    <row r="30" spans="2:12">
      <c r="B30" s="34" t="s">
        <v>111</v>
      </c>
      <c r="C30" s="210" t="str">
        <f>'[3]VOVO PESSOINHA'!D14</f>
        <v>ELEVAÇÃO</v>
      </c>
      <c r="D30" s="211"/>
      <c r="E30" s="211"/>
      <c r="F30" s="211"/>
      <c r="G30" s="211"/>
      <c r="H30" s="211"/>
      <c r="I30" s="211"/>
      <c r="J30" s="211"/>
      <c r="K30" s="211"/>
      <c r="L30" s="212"/>
    </row>
    <row r="31" spans="2:12" ht="34.200000000000003" customHeight="1">
      <c r="B31" s="19" t="s">
        <v>112</v>
      </c>
      <c r="C31" s="169" t="str">
        <f>'[3]VOVO PESSOINHA'!D15</f>
        <v>ALVENARIA EMBASAMENTO TIJOLO CERAMICO FURADO 10X20X20 CM</v>
      </c>
      <c r="D31" s="169"/>
      <c r="E31" s="169"/>
      <c r="F31" s="169"/>
      <c r="G31" s="169"/>
      <c r="H31" s="169"/>
      <c r="I31" s="169"/>
      <c r="J31" s="169"/>
      <c r="K31" s="26" t="str">
        <f>'[3]VOVO PESSOINHA'!E15</f>
        <v>M3</v>
      </c>
      <c r="L31" s="27">
        <f>K35</f>
        <v>2.58</v>
      </c>
    </row>
    <row r="32" spans="2:12">
      <c r="C32" s="167" t="s">
        <v>113</v>
      </c>
      <c r="D32" s="167"/>
      <c r="E32" s="167"/>
      <c r="F32" s="29" t="s">
        <v>102</v>
      </c>
      <c r="G32" s="28" t="s">
        <v>103</v>
      </c>
      <c r="H32" s="29" t="s">
        <v>104</v>
      </c>
      <c r="I32" s="28" t="s">
        <v>105</v>
      </c>
      <c r="J32" s="28" t="s">
        <v>462</v>
      </c>
      <c r="K32" s="30" t="s">
        <v>107</v>
      </c>
    </row>
    <row r="33" spans="2:12">
      <c r="C33" s="178" t="s">
        <v>476</v>
      </c>
      <c r="D33" s="217"/>
      <c r="E33" s="218"/>
      <c r="F33" s="31">
        <v>2</v>
      </c>
      <c r="G33" s="38"/>
      <c r="H33" s="37">
        <v>4</v>
      </c>
      <c r="I33" s="38">
        <v>4.5</v>
      </c>
      <c r="J33" s="38"/>
      <c r="K33" s="39">
        <f>(H33*F33+I33*F33)*0.2*0.3</f>
        <v>1.02</v>
      </c>
    </row>
    <row r="34" spans="2:12">
      <c r="C34" s="165" t="s">
        <v>710</v>
      </c>
      <c r="D34" s="165"/>
      <c r="E34" s="165"/>
      <c r="F34" s="31">
        <v>2</v>
      </c>
      <c r="G34" s="31"/>
      <c r="H34" s="31">
        <v>5</v>
      </c>
      <c r="I34" s="31">
        <v>8</v>
      </c>
      <c r="J34" s="31"/>
      <c r="K34" s="39">
        <f>(H34*F34+I34*F34)*0.2*0.3</f>
        <v>1.56</v>
      </c>
    </row>
    <row r="35" spans="2:12">
      <c r="C35" s="166" t="s">
        <v>110</v>
      </c>
      <c r="D35" s="166"/>
      <c r="E35" s="166"/>
      <c r="F35" s="166"/>
      <c r="G35" s="166"/>
      <c r="H35" s="166"/>
      <c r="I35" s="166"/>
      <c r="J35" s="166"/>
      <c r="K35" s="33">
        <f>SUM(K33:K34)</f>
        <v>2.58</v>
      </c>
    </row>
    <row r="37" spans="2:12" ht="28.95" customHeight="1">
      <c r="B37" s="19" t="s">
        <v>114</v>
      </c>
      <c r="C37" s="169" t="str">
        <f>'[3]VOVO PESSOINHA'!D16</f>
        <v>ALVENARIA DE VEDAÇÃO DE BLOCOS CERÂMICOS FURADOS NA HORIZONTAL DE 9X19X19 CM (ESPESSURA 9 CM) E ARGAMASSA DE ASSENTAMENTO COM PREPARO MANUAL. AF_12/2021</v>
      </c>
      <c r="D37" s="169"/>
      <c r="E37" s="169"/>
      <c r="F37" s="169"/>
      <c r="G37" s="169"/>
      <c r="H37" s="169"/>
      <c r="I37" s="169"/>
      <c r="J37" s="169"/>
      <c r="K37" s="26" t="str">
        <f>'[3]VOVO PESSOINHA'!E16</f>
        <v>M2</v>
      </c>
      <c r="L37" s="27">
        <f>K44</f>
        <v>164.25</v>
      </c>
    </row>
    <row r="38" spans="2:12">
      <c r="C38" s="167" t="s">
        <v>113</v>
      </c>
      <c r="D38" s="167"/>
      <c r="E38" s="167"/>
      <c r="F38" s="29" t="s">
        <v>102</v>
      </c>
      <c r="G38" s="28" t="s">
        <v>103</v>
      </c>
      <c r="H38" s="29" t="s">
        <v>104</v>
      </c>
      <c r="I38" s="28" t="s">
        <v>105</v>
      </c>
      <c r="J38" s="28" t="s">
        <v>115</v>
      </c>
      <c r="K38" s="30" t="s">
        <v>107</v>
      </c>
    </row>
    <row r="39" spans="2:12">
      <c r="C39" s="178" t="s">
        <v>476</v>
      </c>
      <c r="D39" s="217"/>
      <c r="E39" s="218"/>
      <c r="F39" s="31">
        <v>2</v>
      </c>
      <c r="G39" s="38">
        <v>3</v>
      </c>
      <c r="H39" s="37">
        <v>4</v>
      </c>
      <c r="I39" s="38">
        <v>4.5</v>
      </c>
      <c r="J39" s="38"/>
      <c r="K39" s="39">
        <f>(H39*F39+I39*F39)*G39</f>
        <v>51</v>
      </c>
    </row>
    <row r="40" spans="2:12">
      <c r="C40" s="165" t="s">
        <v>710</v>
      </c>
      <c r="D40" s="165"/>
      <c r="E40" s="165"/>
      <c r="F40" s="31">
        <v>2</v>
      </c>
      <c r="G40" s="31">
        <v>3</v>
      </c>
      <c r="H40" s="31">
        <v>5</v>
      </c>
      <c r="I40" s="31">
        <v>8</v>
      </c>
      <c r="J40" s="31"/>
      <c r="K40" s="39">
        <f>(H40*F40+I40*F40)*G40</f>
        <v>78</v>
      </c>
    </row>
    <row r="41" spans="2:12">
      <c r="C41" s="165" t="s">
        <v>710</v>
      </c>
      <c r="D41" s="165"/>
      <c r="E41" s="165"/>
      <c r="F41" s="31">
        <v>1</v>
      </c>
      <c r="G41" s="31">
        <v>2.5</v>
      </c>
      <c r="H41" s="31"/>
      <c r="I41" s="31">
        <v>6</v>
      </c>
      <c r="J41" s="31"/>
      <c r="K41" s="39">
        <f>(H41*F41+I41*F41)*G41</f>
        <v>15</v>
      </c>
    </row>
    <row r="42" spans="2:12">
      <c r="C42" s="165" t="s">
        <v>714</v>
      </c>
      <c r="D42" s="165"/>
      <c r="E42" s="165"/>
      <c r="F42" s="31">
        <v>1</v>
      </c>
      <c r="G42" s="31">
        <v>3</v>
      </c>
      <c r="H42" s="31"/>
      <c r="I42" s="31">
        <v>1.4</v>
      </c>
      <c r="J42" s="31"/>
      <c r="K42" s="39">
        <f t="shared" ref="K42:K43" si="0">(H42*F42+I42*F42)*G42</f>
        <v>4.1999999999999993</v>
      </c>
    </row>
    <row r="43" spans="2:12">
      <c r="C43" s="165" t="s">
        <v>710</v>
      </c>
      <c r="D43" s="165"/>
      <c r="E43" s="165"/>
      <c r="F43" s="31">
        <v>1</v>
      </c>
      <c r="G43" s="31">
        <v>3</v>
      </c>
      <c r="H43" s="31"/>
      <c r="I43" s="31">
        <v>5.35</v>
      </c>
      <c r="J43" s="31"/>
      <c r="K43" s="39">
        <f t="shared" si="0"/>
        <v>16.049999999999997</v>
      </c>
    </row>
    <row r="44" spans="2:12" ht="13.95" customHeight="1">
      <c r="C44" s="166" t="s">
        <v>110</v>
      </c>
      <c r="D44" s="166"/>
      <c r="E44" s="166"/>
      <c r="F44" s="166"/>
      <c r="G44" s="166"/>
      <c r="H44" s="166"/>
      <c r="I44" s="166"/>
      <c r="J44" s="166"/>
      <c r="K44" s="33">
        <f>SUM(K39:K43)</f>
        <v>164.25</v>
      </c>
    </row>
    <row r="45" spans="2:12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2:12">
      <c r="B46" s="34" t="s">
        <v>116</v>
      </c>
      <c r="C46" s="168" t="str">
        <f>'[3]VOVO PESSOINHA'!D17</f>
        <v>REVESTIMENTO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30" customHeight="1">
      <c r="B47" s="19" t="s">
        <v>117</v>
      </c>
      <c r="C47" s="169" t="str">
        <f>'[3]VOVO PESSOINHA'!D18</f>
        <v>CHAPISCO APLICADO EM ALVENARIAS E ESTRUTURAS DE CONCRETO INTERNAS, COM COLHER DE PEDREIRO.  ARGAMASSA TRAÇO 1:3 COM PREPARO MANUAL. AF_06/2014</v>
      </c>
      <c r="D47" s="169"/>
      <c r="E47" s="169"/>
      <c r="F47" s="169"/>
      <c r="G47" s="169"/>
      <c r="H47" s="169"/>
      <c r="I47" s="169"/>
      <c r="J47" s="169"/>
      <c r="K47" s="36" t="str">
        <f>'[3]VOVO PESSOINHA'!E18</f>
        <v>M2</v>
      </c>
      <c r="L47" s="27">
        <f>K50</f>
        <v>328.5</v>
      </c>
    </row>
    <row r="48" spans="2:12">
      <c r="C48" s="167" t="s">
        <v>113</v>
      </c>
      <c r="D48" s="167"/>
      <c r="E48" s="167"/>
      <c r="F48" s="29" t="s">
        <v>102</v>
      </c>
      <c r="G48" s="28" t="s">
        <v>103</v>
      </c>
      <c r="H48" s="29" t="s">
        <v>104</v>
      </c>
      <c r="I48" s="28" t="s">
        <v>105</v>
      </c>
      <c r="J48" s="28" t="s">
        <v>115</v>
      </c>
      <c r="K48" s="30" t="s">
        <v>107</v>
      </c>
    </row>
    <row r="49" spans="2:12">
      <c r="C49" s="178" t="s">
        <v>715</v>
      </c>
      <c r="D49" s="175"/>
      <c r="E49" s="176"/>
      <c r="F49" s="29">
        <v>2</v>
      </c>
      <c r="G49" s="28"/>
      <c r="H49" s="29"/>
      <c r="I49" s="28"/>
      <c r="J49" s="75">
        <f>K44</f>
        <v>164.25</v>
      </c>
      <c r="K49" s="30">
        <f>J49*F49</f>
        <v>328.5</v>
      </c>
    </row>
    <row r="50" spans="2:12">
      <c r="C50" s="166" t="s">
        <v>110</v>
      </c>
      <c r="D50" s="166"/>
      <c r="E50" s="166"/>
      <c r="F50" s="166"/>
      <c r="G50" s="166"/>
      <c r="H50" s="166"/>
      <c r="I50" s="166"/>
      <c r="J50" s="166"/>
      <c r="K50" s="33">
        <f>SUM(K49:K49)</f>
        <v>328.5</v>
      </c>
    </row>
    <row r="51" spans="2:12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2:12" ht="23.4" customHeight="1">
      <c r="B52" s="19" t="s">
        <v>468</v>
      </c>
      <c r="C52" s="169" t="str">
        <f>'[3]VOVO PESSOINHA'!D19</f>
        <v>MASSA ÚNICA, PARA RECEBIMENTO DE PINTURA, EM ARGAMASSA TRAÇO 1:2:8, PREPARO MECÂNICO COM BETONEIRA 400L, APLICADA MANUALMENTE EM FACES INTERNAS DE PAREDES, ESPESSURA DE 20MM, COM EXECUÇÃO DE TALISCAS. AF_06/2014</v>
      </c>
      <c r="D52" s="169"/>
      <c r="E52" s="169"/>
      <c r="F52" s="169"/>
      <c r="G52" s="169"/>
      <c r="H52" s="169"/>
      <c r="I52" s="169"/>
      <c r="J52" s="169"/>
      <c r="K52" s="36" t="str">
        <f>'[3]VOVO PESSOINHA'!E19</f>
        <v>M2</v>
      </c>
      <c r="L52" s="27">
        <f>K55</f>
        <v>328.5</v>
      </c>
    </row>
    <row r="53" spans="2:12">
      <c r="C53" s="167" t="s">
        <v>113</v>
      </c>
      <c r="D53" s="167"/>
      <c r="E53" s="167"/>
      <c r="F53" s="29" t="s">
        <v>102</v>
      </c>
      <c r="G53" s="28" t="s">
        <v>103</v>
      </c>
      <c r="H53" s="29" t="s">
        <v>104</v>
      </c>
      <c r="I53" s="28" t="s">
        <v>105</v>
      </c>
      <c r="J53" s="28" t="s">
        <v>462</v>
      </c>
      <c r="K53" s="30" t="s">
        <v>107</v>
      </c>
    </row>
    <row r="54" spans="2:12">
      <c r="C54" s="178" t="s">
        <v>715</v>
      </c>
      <c r="D54" s="175"/>
      <c r="E54" s="176"/>
      <c r="F54" s="29">
        <v>2</v>
      </c>
      <c r="G54" s="28"/>
      <c r="H54" s="29"/>
      <c r="I54" s="28"/>
      <c r="J54" s="75">
        <f>K44</f>
        <v>164.25</v>
      </c>
      <c r="K54" s="30">
        <f>J54*F54</f>
        <v>328.5</v>
      </c>
    </row>
    <row r="55" spans="2:12">
      <c r="C55" s="166" t="s">
        <v>110</v>
      </c>
      <c r="D55" s="166"/>
      <c r="E55" s="166"/>
      <c r="F55" s="166"/>
      <c r="G55" s="166"/>
      <c r="H55" s="166"/>
      <c r="I55" s="166"/>
      <c r="J55" s="166"/>
      <c r="K55" s="33">
        <f>SUM(K54:K54)</f>
        <v>328.5</v>
      </c>
    </row>
    <row r="56" spans="2:12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2:12">
      <c r="B57" s="34" t="s">
        <v>119</v>
      </c>
      <c r="C57" s="210" t="str">
        <f>'[3]MOCINHA BARBALHO'!D24</f>
        <v>PISO</v>
      </c>
      <c r="D57" s="211"/>
      <c r="E57" s="211"/>
      <c r="F57" s="211"/>
      <c r="G57" s="211"/>
      <c r="H57" s="211"/>
      <c r="I57" s="211"/>
      <c r="J57" s="211"/>
      <c r="K57" s="211"/>
      <c r="L57" s="212"/>
    </row>
    <row r="58" spans="2:12" ht="29.4" customHeight="1">
      <c r="B58" s="19" t="s">
        <v>120</v>
      </c>
      <c r="C58" s="219" t="str">
        <f>'[3]VOVO PESSOINHA'!D21</f>
        <v>CONTRAPISO EM ARGAMASSA TRAÇO 1:4 (CIMENTO E AREIA), PREPARO MANUAL, APLICADO EM ÁREAS MOLHADAS SOBRE IMPERMEABILIZAÇÃO, ACABAMENTO NÃO REFORÇADO, ESPESSURA 3CM. AF_07/2021</v>
      </c>
      <c r="D58" s="219"/>
      <c r="E58" s="219"/>
      <c r="F58" s="219"/>
      <c r="G58" s="219"/>
      <c r="H58" s="219"/>
      <c r="I58" s="219"/>
      <c r="J58" s="219"/>
      <c r="K58" s="36" t="str">
        <f>'[3]VOVO PESSOINHA'!E21</f>
        <v>M2</v>
      </c>
      <c r="L58" s="27">
        <f>K62</f>
        <v>58</v>
      </c>
    </row>
    <row r="59" spans="2:12">
      <c r="C59" s="174" t="s">
        <v>113</v>
      </c>
      <c r="D59" s="175"/>
      <c r="E59" s="176"/>
      <c r="F59" s="29" t="s">
        <v>102</v>
      </c>
      <c r="G59" s="28" t="s">
        <v>103</v>
      </c>
      <c r="H59" s="29" t="s">
        <v>104</v>
      </c>
      <c r="I59" s="28" t="s">
        <v>105</v>
      </c>
      <c r="J59" s="28" t="s">
        <v>115</v>
      </c>
      <c r="K59" s="30" t="s">
        <v>107</v>
      </c>
    </row>
    <row r="60" spans="2:12">
      <c r="C60" s="178" t="s">
        <v>476</v>
      </c>
      <c r="D60" s="217"/>
      <c r="E60" s="218"/>
      <c r="F60" s="31"/>
      <c r="G60" s="38"/>
      <c r="H60" s="37">
        <v>4</v>
      </c>
      <c r="I60" s="38">
        <v>4.5</v>
      </c>
      <c r="J60" s="38"/>
      <c r="K60" s="39">
        <f>I60*H60</f>
        <v>18</v>
      </c>
    </row>
    <row r="61" spans="2:12" ht="14.4" customHeight="1">
      <c r="C61" s="165" t="s">
        <v>710</v>
      </c>
      <c r="D61" s="165"/>
      <c r="E61" s="165"/>
      <c r="F61" s="31"/>
      <c r="G61" s="31"/>
      <c r="H61" s="31">
        <v>5</v>
      </c>
      <c r="I61" s="31">
        <v>8</v>
      </c>
      <c r="J61" s="31"/>
      <c r="K61" s="39">
        <f>I61*H61</f>
        <v>40</v>
      </c>
    </row>
    <row r="62" spans="2:12">
      <c r="C62" s="166" t="s">
        <v>110</v>
      </c>
      <c r="D62" s="166"/>
      <c r="E62" s="166"/>
      <c r="F62" s="166"/>
      <c r="G62" s="166"/>
      <c r="H62" s="166"/>
      <c r="I62" s="166"/>
      <c r="J62" s="166"/>
      <c r="K62" s="33">
        <f>SUM(K60:K61)</f>
        <v>58</v>
      </c>
    </row>
    <row r="64" spans="2:12" ht="25.2" customHeight="1">
      <c r="B64" s="19" t="s">
        <v>123</v>
      </c>
      <c r="C64" s="169" t="str">
        <f>'[3]VOVO PESSOINHA'!D22</f>
        <v>PISO CIMENTADO, TRAÇO 1:3 (CIMENTO E AREIA), ACABAMENTO LISO, ESPESSURA 4,0 CM, PREPARO MECÂNICO DA ARGAMASSA. AF_09/2020</v>
      </c>
      <c r="D64" s="169"/>
      <c r="E64" s="169"/>
      <c r="F64" s="169"/>
      <c r="G64" s="169"/>
      <c r="H64" s="169"/>
      <c r="I64" s="169"/>
      <c r="J64" s="169"/>
      <c r="K64" s="36" t="str">
        <f>'[3]VOVO PESSOINHA'!E22</f>
        <v>M2</v>
      </c>
      <c r="L64" s="27">
        <f>K68</f>
        <v>58</v>
      </c>
    </row>
    <row r="65" spans="2:12">
      <c r="C65" s="174" t="s">
        <v>113</v>
      </c>
      <c r="D65" s="175"/>
      <c r="E65" s="176"/>
      <c r="F65" s="29" t="s">
        <v>102</v>
      </c>
      <c r="G65" s="28" t="s">
        <v>103</v>
      </c>
      <c r="H65" s="29" t="s">
        <v>104</v>
      </c>
      <c r="I65" s="28" t="s">
        <v>105</v>
      </c>
      <c r="J65" s="28" t="s">
        <v>115</v>
      </c>
      <c r="K65" s="30" t="s">
        <v>107</v>
      </c>
    </row>
    <row r="66" spans="2:12">
      <c r="C66" s="178" t="s">
        <v>476</v>
      </c>
      <c r="D66" s="217"/>
      <c r="E66" s="218"/>
      <c r="F66" s="31"/>
      <c r="G66" s="38"/>
      <c r="H66" s="37">
        <v>4</v>
      </c>
      <c r="I66" s="38">
        <v>4.5</v>
      </c>
      <c r="J66" s="38"/>
      <c r="K66" s="39">
        <f>I66*H66</f>
        <v>18</v>
      </c>
    </row>
    <row r="67" spans="2:12">
      <c r="C67" s="165" t="s">
        <v>710</v>
      </c>
      <c r="D67" s="165"/>
      <c r="E67" s="165"/>
      <c r="F67" s="31"/>
      <c r="G67" s="31"/>
      <c r="H67" s="31">
        <v>5</v>
      </c>
      <c r="I67" s="31">
        <v>8</v>
      </c>
      <c r="J67" s="31"/>
      <c r="K67" s="39">
        <f>I67*H67</f>
        <v>40</v>
      </c>
    </row>
    <row r="68" spans="2:12">
      <c r="C68" s="166" t="s">
        <v>110</v>
      </c>
      <c r="D68" s="166"/>
      <c r="E68" s="166"/>
      <c r="F68" s="166"/>
      <c r="G68" s="166"/>
      <c r="H68" s="166"/>
      <c r="I68" s="166"/>
      <c r="J68" s="166"/>
      <c r="K68" s="33">
        <f>SUM(K66:K67)</f>
        <v>58</v>
      </c>
    </row>
    <row r="69" spans="2:12">
      <c r="C69" s="41"/>
      <c r="D69" s="41"/>
      <c r="E69" s="41"/>
      <c r="F69" s="41"/>
      <c r="G69" s="41"/>
      <c r="H69" s="41"/>
      <c r="I69" s="41"/>
      <c r="J69" s="41"/>
      <c r="K69" s="42"/>
    </row>
    <row r="70" spans="2:12">
      <c r="B70" s="19" t="s">
        <v>471</v>
      </c>
      <c r="C70" s="169" t="str">
        <f>'[3]VOVO PESSOINHA'!D23</f>
        <v xml:space="preserve">	PISO DE BLOCOS (LAJOTA) HEXAGONAIS (SEXTAVADO) DE CONCRETO FCK=15MPA E = 8CM CONCRETO SOBRE COLCHÃO DE AREIA</v>
      </c>
      <c r="D70" s="169"/>
      <c r="E70" s="169"/>
      <c r="F70" s="169"/>
      <c r="G70" s="169"/>
      <c r="H70" s="169"/>
      <c r="I70" s="169"/>
      <c r="J70" s="169"/>
      <c r="K70" s="36" t="str">
        <f>'[3]VOVO PESSOINHA'!E23</f>
        <v>M2</v>
      </c>
      <c r="L70" s="27">
        <f>K73</f>
        <v>105.4</v>
      </c>
    </row>
    <row r="71" spans="2:12">
      <c r="C71" s="174" t="s">
        <v>113</v>
      </c>
      <c r="D71" s="175"/>
      <c r="E71" s="176"/>
      <c r="F71" s="29" t="s">
        <v>102</v>
      </c>
      <c r="G71" s="28" t="s">
        <v>103</v>
      </c>
      <c r="H71" s="29" t="s">
        <v>104</v>
      </c>
      <c r="I71" s="28" t="s">
        <v>105</v>
      </c>
      <c r="J71" s="28" t="s">
        <v>115</v>
      </c>
      <c r="K71" s="30" t="s">
        <v>107</v>
      </c>
    </row>
    <row r="72" spans="2:12">
      <c r="C72" s="165" t="s">
        <v>713</v>
      </c>
      <c r="D72" s="165"/>
      <c r="E72" s="165"/>
      <c r="F72" s="37"/>
      <c r="G72" s="38"/>
      <c r="H72" s="37">
        <v>6.2</v>
      </c>
      <c r="I72" s="38">
        <v>17</v>
      </c>
      <c r="J72" s="38"/>
      <c r="K72" s="39">
        <f>I72*H72</f>
        <v>105.4</v>
      </c>
    </row>
    <row r="73" spans="2:12">
      <c r="C73" s="166" t="s">
        <v>110</v>
      </c>
      <c r="D73" s="166"/>
      <c r="E73" s="166"/>
      <c r="F73" s="166"/>
      <c r="G73" s="166"/>
      <c r="H73" s="166"/>
      <c r="I73" s="166"/>
      <c r="J73" s="166"/>
      <c r="K73" s="33">
        <f>SUM(K72:K72)</f>
        <v>105.4</v>
      </c>
    </row>
    <row r="75" spans="2:12">
      <c r="B75" s="19" t="s">
        <v>716</v>
      </c>
      <c r="C75" s="169" t="str">
        <f>'[3]VOVO PESSOINHA'!D24</f>
        <v>REVESTIMENTO CERÂMICO PARA PISO COM PLACAS TIPO ESMALTADA EXTRA DE DIMENSÕES 35X35 CM APLICADA EM AMBIENTES DE ÁREA ENTRE 5 M2 E 10 M2. AF_06/2014</v>
      </c>
      <c r="D75" s="169"/>
      <c r="E75" s="169"/>
      <c r="F75" s="169"/>
      <c r="G75" s="169"/>
      <c r="H75" s="169"/>
      <c r="I75" s="169"/>
      <c r="J75" s="169"/>
      <c r="K75" s="36" t="str">
        <f>'[3]VOVO PESSOINHA'!E24</f>
        <v>M2</v>
      </c>
      <c r="L75" s="27">
        <f>K78</f>
        <v>3.7800000000000002</v>
      </c>
    </row>
    <row r="76" spans="2:12">
      <c r="C76" s="174" t="s">
        <v>113</v>
      </c>
      <c r="D76" s="175"/>
      <c r="E76" s="176"/>
      <c r="F76" s="29" t="s">
        <v>102</v>
      </c>
      <c r="G76" s="28" t="s">
        <v>103</v>
      </c>
      <c r="H76" s="29" t="s">
        <v>104</v>
      </c>
      <c r="I76" s="28" t="s">
        <v>105</v>
      </c>
      <c r="J76" s="28" t="s">
        <v>115</v>
      </c>
      <c r="K76" s="30" t="s">
        <v>107</v>
      </c>
    </row>
    <row r="77" spans="2:12">
      <c r="C77" s="165" t="s">
        <v>717</v>
      </c>
      <c r="D77" s="165"/>
      <c r="E77" s="165"/>
      <c r="F77" s="37">
        <v>3</v>
      </c>
      <c r="G77" s="38"/>
      <c r="H77" s="37">
        <v>0.7</v>
      </c>
      <c r="I77" s="38">
        <v>1.8</v>
      </c>
      <c r="J77" s="38">
        <f>J64</f>
        <v>0</v>
      </c>
      <c r="K77" s="39">
        <f>I77*H77*F77</f>
        <v>3.7800000000000002</v>
      </c>
    </row>
    <row r="78" spans="2:12">
      <c r="C78" s="166" t="s">
        <v>110</v>
      </c>
      <c r="D78" s="166"/>
      <c r="E78" s="166"/>
      <c r="F78" s="166"/>
      <c r="G78" s="166"/>
      <c r="H78" s="166"/>
      <c r="I78" s="166"/>
      <c r="J78" s="166"/>
      <c r="K78" s="33">
        <f>SUM(K77:K77)</f>
        <v>3.7800000000000002</v>
      </c>
    </row>
    <row r="79" spans="2:12">
      <c r="C79" s="41"/>
      <c r="D79" s="41"/>
      <c r="E79" s="41"/>
      <c r="F79" s="41"/>
      <c r="G79" s="41"/>
      <c r="H79" s="41"/>
      <c r="I79" s="41"/>
      <c r="J79" s="41"/>
      <c r="K79" s="42"/>
    </row>
    <row r="80" spans="2:12">
      <c r="B80" s="34" t="s">
        <v>124</v>
      </c>
      <c r="C80" s="168" t="str">
        <f>'[3]VOVO PESSOINHA'!D25</f>
        <v>PINTURA</v>
      </c>
      <c r="D80" s="168"/>
      <c r="E80" s="168"/>
      <c r="F80" s="168"/>
      <c r="G80" s="168"/>
      <c r="H80" s="168"/>
      <c r="I80" s="168"/>
      <c r="J80" s="168"/>
      <c r="K80" s="168"/>
      <c r="L80" s="168"/>
    </row>
    <row r="81" spans="2:12" ht="27" customHeight="1">
      <c r="B81" s="19" t="s">
        <v>125</v>
      </c>
      <c r="C81" s="169" t="str">
        <f>'[3]VOVO PESSOINHA'!D26</f>
        <v xml:space="preserve">	PREPARO DE SUPERFÍCIE COM LIXAMENTO DE PAREDES E TETOS</v>
      </c>
      <c r="D81" s="169"/>
      <c r="E81" s="169"/>
      <c r="F81" s="169"/>
      <c r="G81" s="169"/>
      <c r="H81" s="169"/>
      <c r="I81" s="169"/>
      <c r="J81" s="169"/>
      <c r="K81" s="36" t="str">
        <f>'[3]VOVO PESSOINHA'!E26</f>
        <v>M2</v>
      </c>
      <c r="L81" s="27">
        <f>K84</f>
        <v>1065.75</v>
      </c>
    </row>
    <row r="82" spans="2:12">
      <c r="C82" s="167" t="s">
        <v>113</v>
      </c>
      <c r="D82" s="167"/>
      <c r="E82" s="167"/>
      <c r="F82" s="29" t="s">
        <v>102</v>
      </c>
      <c r="G82" s="28" t="s">
        <v>103</v>
      </c>
      <c r="H82" s="29" t="s">
        <v>104</v>
      </c>
      <c r="I82" s="28" t="s">
        <v>105</v>
      </c>
      <c r="J82" s="28" t="s">
        <v>115</v>
      </c>
      <c r="K82" s="30" t="s">
        <v>107</v>
      </c>
    </row>
    <row r="83" spans="2:12">
      <c r="C83" s="165" t="s">
        <v>122</v>
      </c>
      <c r="D83" s="165"/>
      <c r="E83" s="165"/>
      <c r="F83" s="31"/>
      <c r="G83" s="31"/>
      <c r="H83" s="31"/>
      <c r="I83" s="31"/>
      <c r="J83" s="31">
        <f>'[3]VOVO PESSOINHA'!F26</f>
        <v>1065.75</v>
      </c>
      <c r="K83" s="32">
        <f>J83</f>
        <v>1065.75</v>
      </c>
    </row>
    <row r="84" spans="2:12">
      <c r="C84" s="166" t="s">
        <v>110</v>
      </c>
      <c r="D84" s="166"/>
      <c r="E84" s="166"/>
      <c r="F84" s="166"/>
      <c r="G84" s="166"/>
      <c r="H84" s="166"/>
      <c r="I84" s="166"/>
      <c r="J84" s="166"/>
      <c r="K84" s="33">
        <f>SUM(K83:K83)</f>
        <v>1065.75</v>
      </c>
    </row>
    <row r="85" spans="2:12">
      <c r="C85" s="40"/>
      <c r="D85" s="40"/>
      <c r="E85" s="40"/>
      <c r="F85" s="40"/>
      <c r="G85" s="40"/>
      <c r="H85" s="40"/>
      <c r="I85" s="40"/>
      <c r="J85" s="40"/>
      <c r="K85" s="40"/>
    </row>
    <row r="86" spans="2:12" ht="27" customHeight="1">
      <c r="B86" s="19" t="s">
        <v>129</v>
      </c>
      <c r="C86" s="169" t="str">
        <f>'[3]VOVO PESSOINHA'!D27</f>
        <v>APLICAÇÃO MANUAL DE MASSA ACRÍLICA EM PAREDES EXTERNAS DE CASAS, DUAS DEMÃOS. AF_05/2017</v>
      </c>
      <c r="D86" s="169"/>
      <c r="E86" s="169"/>
      <c r="F86" s="169"/>
      <c r="G86" s="169"/>
      <c r="H86" s="169"/>
      <c r="I86" s="169"/>
      <c r="J86" s="169"/>
      <c r="K86" s="36" t="str">
        <f>'[3]VOVO PESSOINHA'!E27</f>
        <v>M2</v>
      </c>
      <c r="L86" s="27">
        <f>K88</f>
        <v>784.94999999999993</v>
      </c>
    </row>
    <row r="87" spans="2:12">
      <c r="C87" s="167" t="s">
        <v>113</v>
      </c>
      <c r="D87" s="167"/>
      <c r="E87" s="167"/>
      <c r="F87" s="29" t="s">
        <v>102</v>
      </c>
      <c r="G87" s="28" t="s">
        <v>103</v>
      </c>
      <c r="H87" s="29" t="s">
        <v>104</v>
      </c>
      <c r="I87" s="28" t="s">
        <v>105</v>
      </c>
      <c r="J87" s="28" t="s">
        <v>115</v>
      </c>
      <c r="K87" s="30" t="s">
        <v>107</v>
      </c>
    </row>
    <row r="88" spans="2:12" ht="14.4" customHeight="1">
      <c r="C88" s="165" t="s">
        <v>122</v>
      </c>
      <c r="D88" s="165"/>
      <c r="E88" s="165"/>
      <c r="F88" s="31"/>
      <c r="G88" s="31"/>
      <c r="H88" s="31"/>
      <c r="I88" s="31"/>
      <c r="J88" s="31">
        <f>'[3]VOVO PESSOINHA'!F27</f>
        <v>784.94999999999993</v>
      </c>
      <c r="K88" s="32">
        <f>J88</f>
        <v>784.94999999999993</v>
      </c>
    </row>
    <row r="89" spans="2:12">
      <c r="C89" s="166" t="s">
        <v>110</v>
      </c>
      <c r="D89" s="166"/>
      <c r="E89" s="166"/>
      <c r="F89" s="166"/>
      <c r="G89" s="166"/>
      <c r="H89" s="166"/>
      <c r="I89" s="166"/>
      <c r="J89" s="166"/>
      <c r="K89" s="33">
        <f>SUM(K88:K88)</f>
        <v>784.94999999999993</v>
      </c>
    </row>
    <row r="90" spans="2:12">
      <c r="C90" s="170" t="s">
        <v>130</v>
      </c>
      <c r="D90" s="170"/>
      <c r="E90" s="170"/>
      <c r="F90" s="170"/>
      <c r="G90" s="170"/>
      <c r="H90" s="170"/>
      <c r="I90" s="170"/>
      <c r="J90" s="170"/>
      <c r="K90" s="170"/>
    </row>
    <row r="92" spans="2:12" ht="16.2" customHeight="1">
      <c r="B92" s="19" t="s">
        <v>131</v>
      </c>
      <c r="C92" s="169" t="str">
        <f>'[3]VOVO PESSOINHA'!D28</f>
        <v>APLICAÇÃO MANUAL DE FUNDO SELADOR ACRÍLICO EM PAREDES EXTERNAS DE CASAS. AF_06/2014</v>
      </c>
      <c r="D92" s="169"/>
      <c r="E92" s="169"/>
      <c r="F92" s="169"/>
      <c r="G92" s="169"/>
      <c r="H92" s="169"/>
      <c r="I92" s="169"/>
      <c r="J92" s="169"/>
      <c r="K92" s="36" t="str">
        <f>'[3]VOVO PESSOINHA'!E28</f>
        <v>M2</v>
      </c>
      <c r="L92" s="27">
        <f>K94</f>
        <v>1065.75</v>
      </c>
    </row>
    <row r="93" spans="2:12">
      <c r="C93" s="167" t="s">
        <v>113</v>
      </c>
      <c r="D93" s="167"/>
      <c r="E93" s="167"/>
      <c r="F93" s="29" t="s">
        <v>102</v>
      </c>
      <c r="G93" s="28" t="s">
        <v>103</v>
      </c>
      <c r="H93" s="29" t="s">
        <v>104</v>
      </c>
      <c r="I93" s="28" t="s">
        <v>105</v>
      </c>
      <c r="J93" s="28" t="s">
        <v>115</v>
      </c>
      <c r="K93" s="30" t="s">
        <v>107</v>
      </c>
    </row>
    <row r="94" spans="2:12">
      <c r="C94" s="165" t="s">
        <v>122</v>
      </c>
      <c r="D94" s="165"/>
      <c r="E94" s="165"/>
      <c r="F94" s="31"/>
      <c r="G94" s="31"/>
      <c r="H94" s="31"/>
      <c r="I94" s="31"/>
      <c r="J94" s="31">
        <f>'[3]VOVO PESSOINHA'!F28</f>
        <v>1065.75</v>
      </c>
      <c r="K94" s="32">
        <f>J94</f>
        <v>1065.75</v>
      </c>
    </row>
    <row r="95" spans="2:12">
      <c r="C95" s="166" t="s">
        <v>110</v>
      </c>
      <c r="D95" s="166"/>
      <c r="E95" s="166"/>
      <c r="F95" s="166"/>
      <c r="G95" s="166"/>
      <c r="H95" s="166"/>
      <c r="I95" s="166"/>
      <c r="J95" s="166"/>
      <c r="K95" s="33">
        <f>SUM(K94:K94)</f>
        <v>1065.75</v>
      </c>
    </row>
    <row r="97" spans="2:12" ht="31.2" customHeight="1">
      <c r="B97" s="19" t="s">
        <v>132</v>
      </c>
      <c r="C97" s="169" t="str">
        <f>'[3]VOVO PESSOINHA'!D29</f>
        <v>APLICAÇÃO MANUAL DE TINTA LÁTEX ACRÍLICA EM PAREDE EXTERNAS DE CASAS, DUAS DEMÃOS. AF_11/2016</v>
      </c>
      <c r="D97" s="169"/>
      <c r="E97" s="169"/>
      <c r="F97" s="169"/>
      <c r="G97" s="169"/>
      <c r="H97" s="169"/>
      <c r="I97" s="169"/>
      <c r="J97" s="169"/>
      <c r="K97" s="36" t="str">
        <f>'[3]VOVO PESSOINHA'!E29</f>
        <v>M2</v>
      </c>
      <c r="L97" s="27">
        <f>K100</f>
        <v>1065.75</v>
      </c>
    </row>
    <row r="98" spans="2:12">
      <c r="C98" s="167" t="s">
        <v>113</v>
      </c>
      <c r="D98" s="167"/>
      <c r="E98" s="167"/>
      <c r="F98" s="29" t="s">
        <v>102</v>
      </c>
      <c r="G98" s="28" t="s">
        <v>103</v>
      </c>
      <c r="H98" s="29" t="s">
        <v>104</v>
      </c>
      <c r="I98" s="28" t="s">
        <v>105</v>
      </c>
      <c r="J98" s="28" t="s">
        <v>115</v>
      </c>
      <c r="K98" s="30" t="s">
        <v>107</v>
      </c>
    </row>
    <row r="99" spans="2:12" ht="14.4" customHeight="1">
      <c r="C99" s="165" t="s">
        <v>122</v>
      </c>
      <c r="D99" s="165"/>
      <c r="E99" s="165"/>
      <c r="F99" s="31"/>
      <c r="G99" s="31"/>
      <c r="H99" s="31"/>
      <c r="I99" s="31"/>
      <c r="J99" s="31">
        <f>'[3]VOVO PESSOINHA'!F29</f>
        <v>1065.75</v>
      </c>
      <c r="K99" s="32">
        <f>J99</f>
        <v>1065.75</v>
      </c>
    </row>
    <row r="100" spans="2:12">
      <c r="C100" s="166" t="s">
        <v>110</v>
      </c>
      <c r="D100" s="166"/>
      <c r="E100" s="166"/>
      <c r="F100" s="166"/>
      <c r="G100" s="166"/>
      <c r="H100" s="166"/>
      <c r="I100" s="166"/>
      <c r="J100" s="166"/>
      <c r="K100" s="33">
        <f>SUM(K99:K99)</f>
        <v>1065.75</v>
      </c>
    </row>
    <row r="102" spans="2:12">
      <c r="B102" s="19" t="s">
        <v>718</v>
      </c>
      <c r="C102" s="169" t="str">
        <f>'[3]VOVO PESSOINHA'!D30</f>
        <v>PINTURA TINTA DE ACABAMENTO (PIGMENTADA) ESMALTE SINTÉTICO ACETINADO EM MADEIRA, 2 DEMÃOS. AF_01/2021</v>
      </c>
      <c r="D102" s="169"/>
      <c r="E102" s="169"/>
      <c r="F102" s="169"/>
      <c r="G102" s="169"/>
      <c r="H102" s="169"/>
      <c r="I102" s="169"/>
      <c r="J102" s="169"/>
      <c r="K102" s="36" t="str">
        <f>'[3]VOVO PESSOINHA'!E30</f>
        <v>M2</v>
      </c>
      <c r="L102" s="27">
        <f>K105</f>
        <v>68.490000000000009</v>
      </c>
    </row>
    <row r="103" spans="2:12">
      <c r="C103" s="167" t="s">
        <v>113</v>
      </c>
      <c r="D103" s="167"/>
      <c r="E103" s="167"/>
      <c r="F103" s="29" t="s">
        <v>102</v>
      </c>
      <c r="G103" s="28" t="s">
        <v>103</v>
      </c>
      <c r="H103" s="29" t="s">
        <v>104</v>
      </c>
      <c r="I103" s="28" t="s">
        <v>105</v>
      </c>
      <c r="J103" s="28" t="s">
        <v>115</v>
      </c>
      <c r="K103" s="30" t="s">
        <v>107</v>
      </c>
    </row>
    <row r="104" spans="2:12">
      <c r="C104" s="165" t="s">
        <v>719</v>
      </c>
      <c r="D104" s="165"/>
      <c r="E104" s="165"/>
      <c r="F104" s="31"/>
      <c r="G104" s="31"/>
      <c r="H104" s="31"/>
      <c r="I104" s="31"/>
      <c r="J104" s="31">
        <f>'[3]VOVO PESSOINHA'!F30</f>
        <v>68.490000000000009</v>
      </c>
      <c r="K104" s="32">
        <f>J104</f>
        <v>68.490000000000009</v>
      </c>
    </row>
    <row r="105" spans="2:12">
      <c r="C105" s="166" t="s">
        <v>110</v>
      </c>
      <c r="D105" s="166"/>
      <c r="E105" s="166"/>
      <c r="F105" s="166"/>
      <c r="G105" s="166"/>
      <c r="H105" s="166"/>
      <c r="I105" s="166"/>
      <c r="J105" s="166"/>
      <c r="K105" s="33">
        <f>SUM(K104:K104)</f>
        <v>68.490000000000009</v>
      </c>
    </row>
    <row r="107" spans="2:12">
      <c r="B107" s="19" t="s">
        <v>720</v>
      </c>
      <c r="C107" s="169" t="str">
        <f>'[3]VOVO PESSOINHA'!D31</f>
        <v>PINTURA COM TINTA ALQUÍDICA DE ACABAMENTO (ESMALTE SINTÉTICO ACETINADO) PULVERIZADA SOBRE SUPERFÍCIES METÁLICAS (EXCETO PERFIL) EXECUTADO EM OBRA (02 DEMÃOS). AF_01/2020_P</v>
      </c>
      <c r="D107" s="169"/>
      <c r="E107" s="169"/>
      <c r="F107" s="169"/>
      <c r="G107" s="169"/>
      <c r="H107" s="169"/>
      <c r="I107" s="169"/>
      <c r="J107" s="169"/>
      <c r="K107" s="36" t="str">
        <f>'[3]VOVO PESSOINHA'!E31</f>
        <v>M2</v>
      </c>
      <c r="L107" s="27">
        <f>K110</f>
        <v>15.27</v>
      </c>
    </row>
    <row r="108" spans="2:12">
      <c r="C108" s="167" t="s">
        <v>113</v>
      </c>
      <c r="D108" s="167"/>
      <c r="E108" s="167"/>
      <c r="F108" s="29" t="s">
        <v>102</v>
      </c>
      <c r="G108" s="28" t="s">
        <v>103</v>
      </c>
      <c r="H108" s="29" t="s">
        <v>104</v>
      </c>
      <c r="I108" s="28" t="s">
        <v>105</v>
      </c>
      <c r="J108" s="28" t="s">
        <v>115</v>
      </c>
      <c r="K108" s="30" t="s">
        <v>107</v>
      </c>
    </row>
    <row r="109" spans="2:12">
      <c r="C109" s="165" t="s">
        <v>721</v>
      </c>
      <c r="D109" s="165"/>
      <c r="E109" s="165"/>
      <c r="F109" s="31"/>
      <c r="G109" s="31"/>
      <c r="H109" s="31"/>
      <c r="I109" s="31"/>
      <c r="J109" s="31">
        <f>'[3]VOVO PESSOINHA'!F31</f>
        <v>15.27</v>
      </c>
      <c r="K109" s="32">
        <f>J109</f>
        <v>15.27</v>
      </c>
    </row>
    <row r="110" spans="2:12">
      <c r="C110" s="166" t="s">
        <v>110</v>
      </c>
      <c r="D110" s="166"/>
      <c r="E110" s="166"/>
      <c r="F110" s="166"/>
      <c r="G110" s="166"/>
      <c r="H110" s="166"/>
      <c r="I110" s="166"/>
      <c r="J110" s="166"/>
      <c r="K110" s="33">
        <f>SUM(K109:K109)</f>
        <v>15.27</v>
      </c>
    </row>
    <row r="112" spans="2:12">
      <c r="B112" s="34" t="s">
        <v>134</v>
      </c>
      <c r="C112" s="168" t="str">
        <f>'[3]VOVO PESSOINHA'!D32</f>
        <v>INSTALÇAOES ELETRICAS</v>
      </c>
      <c r="D112" s="168"/>
      <c r="E112" s="168"/>
      <c r="F112" s="168"/>
      <c r="G112" s="168"/>
      <c r="H112" s="168"/>
      <c r="I112" s="168"/>
      <c r="J112" s="168"/>
      <c r="K112" s="168"/>
      <c r="L112" s="168"/>
    </row>
    <row r="113" spans="2:12" ht="26.4" customHeight="1">
      <c r="B113" s="19" t="s">
        <v>135</v>
      </c>
      <c r="C113" s="169" t="str">
        <f>'[3]VOVO PESSOINHA'!D33</f>
        <v xml:space="preserve">	REVISÃO DE PONTO DE TOMADA SIMPLES COM REPOSIÇÃO DA TOMADA E DA FIAÇÃO</v>
      </c>
      <c r="D113" s="169"/>
      <c r="E113" s="169"/>
      <c r="F113" s="169"/>
      <c r="G113" s="169"/>
      <c r="H113" s="169"/>
      <c r="I113" s="169"/>
      <c r="J113" s="169"/>
      <c r="K113" s="36" t="str">
        <f>'[3]VOVO PESSOINHA'!E33</f>
        <v>PT</v>
      </c>
      <c r="L113" s="27">
        <f>K116</f>
        <v>10</v>
      </c>
    </row>
    <row r="114" spans="2:12">
      <c r="C114" s="167" t="s">
        <v>113</v>
      </c>
      <c r="D114" s="167"/>
      <c r="E114" s="167"/>
      <c r="F114" s="29" t="s">
        <v>102</v>
      </c>
      <c r="G114" s="28" t="s">
        <v>103</v>
      </c>
      <c r="H114" s="29" t="s">
        <v>104</v>
      </c>
      <c r="I114" s="28" t="s">
        <v>105</v>
      </c>
      <c r="J114" s="28" t="s">
        <v>106</v>
      </c>
      <c r="K114" s="30" t="s">
        <v>107</v>
      </c>
    </row>
    <row r="115" spans="2:12">
      <c r="C115" s="165" t="s">
        <v>122</v>
      </c>
      <c r="D115" s="165"/>
      <c r="E115" s="165"/>
      <c r="F115" s="31">
        <v>10</v>
      </c>
      <c r="G115" s="31"/>
      <c r="H115" s="31"/>
      <c r="I115" s="31"/>
      <c r="J115" s="31"/>
      <c r="K115" s="32">
        <f>F115</f>
        <v>10</v>
      </c>
    </row>
    <row r="116" spans="2:12">
      <c r="C116" s="166" t="s">
        <v>110</v>
      </c>
      <c r="D116" s="166"/>
      <c r="E116" s="166"/>
      <c r="F116" s="166"/>
      <c r="G116" s="166"/>
      <c r="H116" s="166"/>
      <c r="I116" s="166"/>
      <c r="J116" s="166"/>
      <c r="K116" s="33">
        <f>SUM(K115:K115)</f>
        <v>10</v>
      </c>
    </row>
    <row r="118" spans="2:12">
      <c r="B118" s="19" t="s">
        <v>137</v>
      </c>
      <c r="C118" s="169" t="str">
        <f>'[3]VOVO PESSOINHA'!D34</f>
        <v>REVISÃO DE PONTO DE INTERRUPTOR COM REPOSIÇÃO DO INTERRUPTOR E FIAÇÃO</v>
      </c>
      <c r="D118" s="169"/>
      <c r="E118" s="169"/>
      <c r="F118" s="169"/>
      <c r="G118" s="169"/>
      <c r="H118" s="169"/>
      <c r="I118" s="169"/>
      <c r="J118" s="169"/>
      <c r="K118" s="36" t="str">
        <f>'[3]VOVO PESSOINHA'!E34</f>
        <v>PT</v>
      </c>
      <c r="L118" s="27">
        <f>K121</f>
        <v>10</v>
      </c>
    </row>
    <row r="119" spans="2:12">
      <c r="C119" s="167" t="s">
        <v>113</v>
      </c>
      <c r="D119" s="167"/>
      <c r="E119" s="167"/>
      <c r="F119" s="29" t="s">
        <v>102</v>
      </c>
      <c r="G119" s="28" t="s">
        <v>103</v>
      </c>
      <c r="H119" s="29" t="s">
        <v>104</v>
      </c>
      <c r="I119" s="28" t="s">
        <v>105</v>
      </c>
      <c r="J119" s="28" t="s">
        <v>106</v>
      </c>
      <c r="K119" s="30" t="s">
        <v>107</v>
      </c>
    </row>
    <row r="120" spans="2:12">
      <c r="C120" s="165" t="s">
        <v>122</v>
      </c>
      <c r="D120" s="165"/>
      <c r="E120" s="165"/>
      <c r="F120" s="31">
        <v>10</v>
      </c>
      <c r="G120" s="31"/>
      <c r="H120" s="31"/>
      <c r="I120" s="31"/>
      <c r="J120" s="31"/>
      <c r="K120" s="32">
        <f>F120</f>
        <v>10</v>
      </c>
    </row>
    <row r="121" spans="2:12">
      <c r="C121" s="166" t="s">
        <v>110</v>
      </c>
      <c r="D121" s="166"/>
      <c r="E121" s="166"/>
      <c r="F121" s="166"/>
      <c r="G121" s="166"/>
      <c r="H121" s="166"/>
      <c r="I121" s="166"/>
      <c r="J121" s="166"/>
      <c r="K121" s="33">
        <f>SUM(K120:K120)</f>
        <v>10</v>
      </c>
    </row>
    <row r="122" spans="2:12">
      <c r="C122" s="41"/>
      <c r="D122" s="41"/>
      <c r="E122" s="41"/>
      <c r="F122" s="41"/>
      <c r="G122" s="41"/>
      <c r="H122" s="41"/>
      <c r="I122" s="41"/>
      <c r="J122" s="41"/>
      <c r="K122" s="42"/>
    </row>
    <row r="123" spans="2:12">
      <c r="B123" s="19" t="s">
        <v>139</v>
      </c>
      <c r="C123" s="169" t="str">
        <f>'[3]VOVO PESSOINHA'!D35</f>
        <v>PONTO DE TOMADA RESIDENCIAL INCLUINDO TOMADA 10A/250V, CAIXA ELÉTRICA, ELETRODUTO, CABO, RASGO, QUEBRA E CHUMBAMENTO. AF_01/2016</v>
      </c>
      <c r="D123" s="169"/>
      <c r="E123" s="169"/>
      <c r="F123" s="169"/>
      <c r="G123" s="169"/>
      <c r="H123" s="169"/>
      <c r="I123" s="169"/>
      <c r="J123" s="169"/>
      <c r="K123" s="36" t="str">
        <f>'[3]VOVO PESSOINHA'!E35</f>
        <v>UN</v>
      </c>
      <c r="L123" s="27">
        <f>K126</f>
        <v>6</v>
      </c>
    </row>
    <row r="124" spans="2:12">
      <c r="C124" s="167" t="s">
        <v>113</v>
      </c>
      <c r="D124" s="167"/>
      <c r="E124" s="167"/>
      <c r="F124" s="29" t="s">
        <v>102</v>
      </c>
      <c r="G124" s="28" t="s">
        <v>103</v>
      </c>
      <c r="H124" s="29" t="s">
        <v>104</v>
      </c>
      <c r="I124" s="28" t="s">
        <v>105</v>
      </c>
      <c r="J124" s="28" t="s">
        <v>106</v>
      </c>
      <c r="K124" s="30" t="s">
        <v>107</v>
      </c>
    </row>
    <row r="125" spans="2:12">
      <c r="C125" s="165" t="s">
        <v>122</v>
      </c>
      <c r="D125" s="165"/>
      <c r="E125" s="165"/>
      <c r="F125" s="31">
        <v>6</v>
      </c>
      <c r="G125" s="31"/>
      <c r="H125" s="31"/>
      <c r="I125" s="31"/>
      <c r="J125" s="31"/>
      <c r="K125" s="32">
        <f>F125</f>
        <v>6</v>
      </c>
    </row>
    <row r="126" spans="2:12">
      <c r="C126" s="166" t="s">
        <v>110</v>
      </c>
      <c r="D126" s="166"/>
      <c r="E126" s="166"/>
      <c r="F126" s="166"/>
      <c r="G126" s="166"/>
      <c r="H126" s="166"/>
      <c r="I126" s="166"/>
      <c r="J126" s="166"/>
      <c r="K126" s="33">
        <f>SUM(K125:K125)</f>
        <v>6</v>
      </c>
    </row>
    <row r="128" spans="2:12">
      <c r="B128" s="19" t="s">
        <v>141</v>
      </c>
      <c r="C128" s="169" t="str">
        <f>'[3]VOVO PESSOINHA'!D36</f>
        <v>CABO DE COBRE FLEXÍVEL ISOLADO, 2,5 MM², ANTI-CHAMA 450/750 V, PARA CIRCUITOS TERMINAIS - FORNECIMENTO E INSTALAÇÃO. AF_12/2015</v>
      </c>
      <c r="D128" s="169"/>
      <c r="E128" s="169"/>
      <c r="F128" s="169"/>
      <c r="G128" s="169"/>
      <c r="H128" s="169"/>
      <c r="I128" s="169"/>
      <c r="J128" s="169"/>
      <c r="K128" s="36" t="str">
        <f>'[3]VOVO PESSOINHA'!E36</f>
        <v>M</v>
      </c>
      <c r="L128" s="27">
        <f>K131</f>
        <v>500</v>
      </c>
    </row>
    <row r="129" spans="2:12">
      <c r="C129" s="167" t="s">
        <v>113</v>
      </c>
      <c r="D129" s="167"/>
      <c r="E129" s="167"/>
      <c r="F129" s="29" t="s">
        <v>102</v>
      </c>
      <c r="G129" s="28" t="s">
        <v>103</v>
      </c>
      <c r="H129" s="29" t="s">
        <v>104</v>
      </c>
      <c r="I129" s="28" t="s">
        <v>105</v>
      </c>
      <c r="J129" s="28" t="s">
        <v>106</v>
      </c>
      <c r="K129" s="30" t="s">
        <v>107</v>
      </c>
    </row>
    <row r="130" spans="2:12">
      <c r="C130" s="165" t="s">
        <v>122</v>
      </c>
      <c r="D130" s="165"/>
      <c r="E130" s="165"/>
      <c r="F130" s="31"/>
      <c r="G130" s="31"/>
      <c r="H130" s="31"/>
      <c r="I130" s="31">
        <v>500</v>
      </c>
      <c r="J130" s="31"/>
      <c r="K130" s="32">
        <f>I130</f>
        <v>500</v>
      </c>
    </row>
    <row r="131" spans="2:12">
      <c r="C131" s="166" t="s">
        <v>110</v>
      </c>
      <c r="D131" s="166"/>
      <c r="E131" s="166"/>
      <c r="F131" s="166"/>
      <c r="G131" s="166"/>
      <c r="H131" s="166"/>
      <c r="I131" s="166"/>
      <c r="J131" s="166"/>
      <c r="K131" s="33">
        <f>SUM(K130:K130)</f>
        <v>500</v>
      </c>
    </row>
    <row r="132" spans="2:12">
      <c r="C132" s="41"/>
      <c r="D132" s="41"/>
      <c r="E132" s="41"/>
      <c r="F132" s="41"/>
      <c r="G132" s="41"/>
      <c r="H132" s="41"/>
      <c r="I132" s="41"/>
      <c r="J132" s="41"/>
      <c r="K132" s="42"/>
    </row>
    <row r="133" spans="2:12">
      <c r="B133" s="19" t="s">
        <v>722</v>
      </c>
      <c r="C133" s="169" t="str">
        <f>'[3]VOVO PESSOINHA'!D37</f>
        <v>REVISÃO DE PONTO DE LUZ TIPO 3, EM TETO OU PAREDE</v>
      </c>
      <c r="D133" s="169"/>
      <c r="E133" s="169"/>
      <c r="F133" s="169"/>
      <c r="G133" s="169"/>
      <c r="H133" s="169"/>
      <c r="I133" s="169"/>
      <c r="J133" s="169"/>
      <c r="K133" s="36" t="str">
        <f>'[3]VOVO PESSOINHA'!E37</f>
        <v>UND</v>
      </c>
      <c r="L133" s="27">
        <f>K136</f>
        <v>6</v>
      </c>
    </row>
    <row r="134" spans="2:12">
      <c r="C134" s="167" t="s">
        <v>113</v>
      </c>
      <c r="D134" s="167"/>
      <c r="E134" s="167"/>
      <c r="F134" s="29" t="s">
        <v>102</v>
      </c>
      <c r="G134" s="28" t="s">
        <v>103</v>
      </c>
      <c r="H134" s="29" t="s">
        <v>104</v>
      </c>
      <c r="I134" s="28" t="s">
        <v>105</v>
      </c>
      <c r="J134" s="28" t="s">
        <v>106</v>
      </c>
      <c r="K134" s="30" t="s">
        <v>107</v>
      </c>
    </row>
    <row r="135" spans="2:12">
      <c r="C135" s="165" t="s">
        <v>122</v>
      </c>
      <c r="D135" s="165"/>
      <c r="E135" s="165"/>
      <c r="F135" s="31">
        <v>6</v>
      </c>
      <c r="G135" s="31"/>
      <c r="H135" s="31"/>
      <c r="I135" s="31"/>
      <c r="J135" s="31"/>
      <c r="K135" s="32">
        <f>F135</f>
        <v>6</v>
      </c>
    </row>
    <row r="136" spans="2:12">
      <c r="C136" s="166" t="s">
        <v>110</v>
      </c>
      <c r="D136" s="166"/>
      <c r="E136" s="166"/>
      <c r="F136" s="166"/>
      <c r="G136" s="166"/>
      <c r="H136" s="166"/>
      <c r="I136" s="166"/>
      <c r="J136" s="166"/>
      <c r="K136" s="33">
        <f>SUM(K135:K135)</f>
        <v>6</v>
      </c>
    </row>
    <row r="137" spans="2:12">
      <c r="C137" s="41"/>
      <c r="D137" s="41"/>
      <c r="E137" s="41"/>
      <c r="F137" s="41"/>
      <c r="G137" s="41"/>
      <c r="H137" s="41"/>
      <c r="I137" s="41"/>
      <c r="J137" s="41"/>
      <c r="K137" s="42"/>
    </row>
    <row r="138" spans="2:12">
      <c r="B138" s="19" t="s">
        <v>723</v>
      </c>
      <c r="C138" s="169" t="str">
        <f>'[3]VOVO PESSOINHA'!D38</f>
        <v>LÂMPADA COMPACTA DE LED 10 W, BASE E27 - FORNECIMENTO E INSTALAÇÃO. AF_02/2020</v>
      </c>
      <c r="D138" s="169"/>
      <c r="E138" s="169"/>
      <c r="F138" s="169"/>
      <c r="G138" s="169"/>
      <c r="H138" s="169"/>
      <c r="I138" s="169"/>
      <c r="J138" s="169"/>
      <c r="K138" s="36" t="str">
        <f>'[3]VOVO PESSOINHA'!E38</f>
        <v>UN</v>
      </c>
      <c r="L138" s="27">
        <f>K141</f>
        <v>10</v>
      </c>
    </row>
    <row r="139" spans="2:12">
      <c r="C139" s="167" t="s">
        <v>113</v>
      </c>
      <c r="D139" s="167"/>
      <c r="E139" s="167"/>
      <c r="F139" s="29" t="s">
        <v>102</v>
      </c>
      <c r="G139" s="28" t="s">
        <v>103</v>
      </c>
      <c r="H139" s="29" t="s">
        <v>104</v>
      </c>
      <c r="I139" s="28" t="s">
        <v>105</v>
      </c>
      <c r="J139" s="28" t="s">
        <v>106</v>
      </c>
      <c r="K139" s="30" t="s">
        <v>107</v>
      </c>
    </row>
    <row r="140" spans="2:12">
      <c r="C140" s="165" t="s">
        <v>122</v>
      </c>
      <c r="D140" s="165"/>
      <c r="E140" s="165"/>
      <c r="F140" s="31">
        <v>10</v>
      </c>
      <c r="G140" s="31"/>
      <c r="H140" s="31"/>
      <c r="I140" s="31"/>
      <c r="J140" s="31"/>
      <c r="K140" s="32">
        <f>F140</f>
        <v>10</v>
      </c>
    </row>
    <row r="141" spans="2:12">
      <c r="C141" s="166" t="s">
        <v>110</v>
      </c>
      <c r="D141" s="166"/>
      <c r="E141" s="166"/>
      <c r="F141" s="166"/>
      <c r="G141" s="166"/>
      <c r="H141" s="166"/>
      <c r="I141" s="166"/>
      <c r="J141" s="166"/>
      <c r="K141" s="33">
        <f>SUM(K140:K140)</f>
        <v>10</v>
      </c>
    </row>
    <row r="142" spans="2:12">
      <c r="C142" s="41"/>
      <c r="D142" s="41"/>
      <c r="E142" s="41"/>
      <c r="F142" s="41"/>
      <c r="G142" s="41"/>
      <c r="H142" s="41"/>
      <c r="I142" s="41"/>
      <c r="J142" s="41"/>
      <c r="K142" s="42"/>
    </row>
    <row r="143" spans="2:12">
      <c r="B143" s="34" t="str">
        <f>[3]LAFAYETE!C29</f>
        <v>7.0</v>
      </c>
      <c r="C143" s="168" t="str">
        <f>'[3]VOVO PESSOINHA'!D39</f>
        <v>INSTALÇAOES HIDROSSANITARIAS</v>
      </c>
      <c r="D143" s="168"/>
      <c r="E143" s="168"/>
      <c r="F143" s="168"/>
      <c r="G143" s="168"/>
      <c r="H143" s="168"/>
      <c r="I143" s="168"/>
      <c r="J143" s="168"/>
      <c r="K143" s="168"/>
      <c r="L143" s="168"/>
    </row>
    <row r="144" spans="2:12">
      <c r="B144" s="19" t="s">
        <v>143</v>
      </c>
      <c r="C144" s="169" t="str">
        <f>'[3]VOVO PESSOINHA'!D40</f>
        <v>VASO SANITÁRIO INFANTIL LOUÇA BRANCA - FORNECIMENTO E INSTALACAO. AF_01/2020</v>
      </c>
      <c r="D144" s="169"/>
      <c r="E144" s="169"/>
      <c r="F144" s="169"/>
      <c r="G144" s="169"/>
      <c r="H144" s="169"/>
      <c r="I144" s="169"/>
      <c r="J144" s="169"/>
      <c r="K144" s="36" t="str">
        <f>'[3]VOVO PESSOINHA'!E40</f>
        <v>UND</v>
      </c>
      <c r="L144" s="27">
        <f>K147</f>
        <v>4</v>
      </c>
    </row>
    <row r="145" spans="2:12">
      <c r="C145" s="167" t="s">
        <v>113</v>
      </c>
      <c r="D145" s="167"/>
      <c r="E145" s="167"/>
      <c r="F145" s="29" t="s">
        <v>102</v>
      </c>
      <c r="G145" s="28" t="s">
        <v>103</v>
      </c>
      <c r="H145" s="29" t="s">
        <v>104</v>
      </c>
      <c r="I145" s="28" t="s">
        <v>105</v>
      </c>
      <c r="J145" s="28" t="s">
        <v>115</v>
      </c>
      <c r="K145" s="30" t="s">
        <v>107</v>
      </c>
    </row>
    <row r="146" spans="2:12">
      <c r="C146" s="165" t="s">
        <v>127</v>
      </c>
      <c r="D146" s="165"/>
      <c r="E146" s="165"/>
      <c r="F146" s="31">
        <v>4</v>
      </c>
      <c r="G146" s="31"/>
      <c r="H146" s="31"/>
      <c r="I146" s="31"/>
      <c r="J146" s="31"/>
      <c r="K146" s="32">
        <f>F146</f>
        <v>4</v>
      </c>
    </row>
    <row r="147" spans="2:12">
      <c r="C147" s="166" t="s">
        <v>110</v>
      </c>
      <c r="D147" s="166"/>
      <c r="E147" s="166"/>
      <c r="F147" s="166"/>
      <c r="G147" s="166"/>
      <c r="H147" s="166"/>
      <c r="I147" s="166"/>
      <c r="J147" s="166"/>
      <c r="K147" s="33">
        <f>SUM(K146:K146)</f>
        <v>4</v>
      </c>
    </row>
    <row r="149" spans="2:12" ht="14.4" customHeight="1">
      <c r="B149" s="19" t="s">
        <v>145</v>
      </c>
      <c r="C149" s="169" t="str">
        <f>'[3]VOVO PESSOINHA'!D41</f>
        <v>CAIXA DE DESCARGA DE SOBREPOR COMPLETA AKROS OU SIMILAR</v>
      </c>
      <c r="D149" s="169"/>
      <c r="E149" s="169"/>
      <c r="F149" s="169"/>
      <c r="G149" s="169"/>
      <c r="H149" s="169"/>
      <c r="I149" s="169"/>
      <c r="J149" s="169"/>
      <c r="K149" s="36" t="str">
        <f>'[3]VOVO PESSOINHA'!E41</f>
        <v>UND</v>
      </c>
      <c r="L149" s="27">
        <f>K152</f>
        <v>4</v>
      </c>
    </row>
    <row r="150" spans="2:12">
      <c r="C150" s="167" t="s">
        <v>113</v>
      </c>
      <c r="D150" s="167"/>
      <c r="E150" s="167"/>
      <c r="F150" s="29" t="s">
        <v>102</v>
      </c>
      <c r="G150" s="28" t="s">
        <v>103</v>
      </c>
      <c r="H150" s="29" t="s">
        <v>104</v>
      </c>
      <c r="I150" s="28" t="s">
        <v>105</v>
      </c>
      <c r="J150" s="28" t="s">
        <v>115</v>
      </c>
      <c r="K150" s="30" t="s">
        <v>107</v>
      </c>
    </row>
    <row r="151" spans="2:12" ht="14.4" customHeight="1">
      <c r="C151" s="165" t="s">
        <v>127</v>
      </c>
      <c r="D151" s="165"/>
      <c r="E151" s="165"/>
      <c r="F151" s="31">
        <v>4</v>
      </c>
      <c r="G151" s="31"/>
      <c r="H151" s="31"/>
      <c r="I151" s="31"/>
      <c r="J151" s="31"/>
      <c r="K151" s="32">
        <f>F151</f>
        <v>4</v>
      </c>
    </row>
    <row r="152" spans="2:12">
      <c r="C152" s="166" t="s">
        <v>110</v>
      </c>
      <c r="D152" s="166"/>
      <c r="E152" s="166"/>
      <c r="F152" s="166"/>
      <c r="G152" s="166"/>
      <c r="H152" s="166"/>
      <c r="I152" s="166"/>
      <c r="J152" s="166"/>
      <c r="K152" s="33">
        <f>SUM(K151:K151)</f>
        <v>4</v>
      </c>
    </row>
    <row r="154" spans="2:12" ht="14.4" customHeight="1">
      <c r="B154" s="19" t="s">
        <v>472</v>
      </c>
      <c r="C154" s="169" t="str">
        <f>'[3]VOVO PESSOINHA'!D42</f>
        <v>TORNEIRA DE BOIA PARA CAIXA D'ÁGUA, ROSCÁVEL, 3/4" - FORNECIMENTO E INSTALAÇÃO. AF_08/2021</v>
      </c>
      <c r="D154" s="169"/>
      <c r="E154" s="169"/>
      <c r="F154" s="169"/>
      <c r="G154" s="169"/>
      <c r="H154" s="169"/>
      <c r="I154" s="169"/>
      <c r="J154" s="169"/>
      <c r="K154" s="36" t="str">
        <f>'[3]VOVO PESSOINHA'!E42</f>
        <v>UND</v>
      </c>
      <c r="L154" s="27">
        <f>K157</f>
        <v>1</v>
      </c>
    </row>
    <row r="155" spans="2:12">
      <c r="C155" s="167" t="s">
        <v>113</v>
      </c>
      <c r="D155" s="167"/>
      <c r="E155" s="167"/>
      <c r="F155" s="29" t="s">
        <v>102</v>
      </c>
      <c r="G155" s="28" t="s">
        <v>103</v>
      </c>
      <c r="H155" s="29" t="s">
        <v>104</v>
      </c>
      <c r="I155" s="28" t="s">
        <v>105</v>
      </c>
      <c r="J155" s="28" t="s">
        <v>40</v>
      </c>
      <c r="K155" s="30" t="s">
        <v>107</v>
      </c>
    </row>
    <row r="156" spans="2:12">
      <c r="C156" s="165" t="s">
        <v>724</v>
      </c>
      <c r="D156" s="165"/>
      <c r="E156" s="165"/>
      <c r="F156" s="31">
        <v>1</v>
      </c>
      <c r="G156" s="31"/>
      <c r="H156" s="31"/>
      <c r="I156" s="31"/>
      <c r="J156" s="31"/>
      <c r="K156" s="32">
        <f>F156</f>
        <v>1</v>
      </c>
    </row>
    <row r="157" spans="2:12">
      <c r="C157" s="166" t="s">
        <v>110</v>
      </c>
      <c r="D157" s="166"/>
      <c r="E157" s="166"/>
      <c r="F157" s="166"/>
      <c r="G157" s="166"/>
      <c r="H157" s="166"/>
      <c r="I157" s="166"/>
      <c r="J157" s="166"/>
      <c r="K157" s="33">
        <f>SUM(K156:K156)</f>
        <v>1</v>
      </c>
    </row>
    <row r="159" spans="2:12" ht="14.4" customHeight="1">
      <c r="B159" s="19" t="s">
        <v>473</v>
      </c>
      <c r="C159" s="169" t="str">
        <f>'[3]VOVO PESSOINHA'!D43</f>
        <v>VASO SANITÁRIO SIFONADO COM CAIXA ACOPLADA LOUÇA BRANCA - PADRÃO MÉDIO, INCLUSO ENGATE FLEXÍVEL EM METAL CROMADO, 1/2  X 40CM - FORNECIMENTO E INSTALAÇÃO. AF_01/2020</v>
      </c>
      <c r="D159" s="169"/>
      <c r="E159" s="169"/>
      <c r="F159" s="169"/>
      <c r="G159" s="169"/>
      <c r="H159" s="169"/>
      <c r="I159" s="169"/>
      <c r="J159" s="169"/>
      <c r="K159" s="36" t="str">
        <f>'[3]VOVO PESSOINHA'!E43</f>
        <v>UND</v>
      </c>
      <c r="L159" s="27">
        <f>K162</f>
        <v>2</v>
      </c>
    </row>
    <row r="160" spans="2:12">
      <c r="C160" s="167" t="s">
        <v>113</v>
      </c>
      <c r="D160" s="167"/>
      <c r="E160" s="167"/>
      <c r="F160" s="29" t="s">
        <v>102</v>
      </c>
      <c r="G160" s="28" t="s">
        <v>103</v>
      </c>
      <c r="H160" s="29" t="s">
        <v>104</v>
      </c>
      <c r="I160" s="28" t="s">
        <v>105</v>
      </c>
      <c r="J160" s="28" t="s">
        <v>40</v>
      </c>
      <c r="K160" s="30" t="s">
        <v>107</v>
      </c>
    </row>
    <row r="161" spans="2:12">
      <c r="C161" s="165" t="s">
        <v>127</v>
      </c>
      <c r="D161" s="165"/>
      <c r="E161" s="165"/>
      <c r="F161" s="31">
        <v>2</v>
      </c>
      <c r="G161" s="31"/>
      <c r="H161" s="31"/>
      <c r="I161" s="31"/>
      <c r="J161" s="31"/>
      <c r="K161" s="32">
        <f>F161</f>
        <v>2</v>
      </c>
    </row>
    <row r="162" spans="2:12">
      <c r="C162" s="166" t="s">
        <v>110</v>
      </c>
      <c r="D162" s="166"/>
      <c r="E162" s="166"/>
      <c r="F162" s="166"/>
      <c r="G162" s="166"/>
      <c r="H162" s="166"/>
      <c r="I162" s="166"/>
      <c r="J162" s="166"/>
      <c r="K162" s="33">
        <f>SUM(K161:K161)</f>
        <v>2</v>
      </c>
    </row>
    <row r="164" spans="2:12" ht="14.4" customHeight="1">
      <c r="B164" s="19" t="s">
        <v>474</v>
      </c>
      <c r="C164" s="169" t="str">
        <f>'[3]VOVO PESSOINHA'!D44</f>
        <v>CHUVEIRO ELÉTRICO COMUM CORPO PLÁSTICO, TIPO DUCHA  FORNECIMENTO E INSTALAÇÃO. AF_01/2020</v>
      </c>
      <c r="D164" s="169"/>
      <c r="E164" s="169"/>
      <c r="F164" s="169"/>
      <c r="G164" s="169"/>
      <c r="H164" s="169"/>
      <c r="I164" s="169"/>
      <c r="J164" s="169"/>
      <c r="K164" s="36" t="str">
        <f>'[3]VOVO PESSOINHA'!E44</f>
        <v>UND</v>
      </c>
      <c r="L164" s="27">
        <f>K167</f>
        <v>6</v>
      </c>
    </row>
    <row r="165" spans="2:12">
      <c r="C165" s="167" t="s">
        <v>113</v>
      </c>
      <c r="D165" s="167"/>
      <c r="E165" s="167"/>
      <c r="F165" s="29" t="s">
        <v>102</v>
      </c>
      <c r="G165" s="28" t="s">
        <v>103</v>
      </c>
      <c r="H165" s="29" t="s">
        <v>104</v>
      </c>
      <c r="I165" s="28" t="s">
        <v>105</v>
      </c>
      <c r="J165" s="28" t="s">
        <v>115</v>
      </c>
      <c r="K165" s="30" t="s">
        <v>107</v>
      </c>
    </row>
    <row r="166" spans="2:12">
      <c r="C166" s="165" t="s">
        <v>127</v>
      </c>
      <c r="D166" s="165"/>
      <c r="E166" s="165"/>
      <c r="F166" s="31">
        <v>6</v>
      </c>
      <c r="G166" s="31"/>
      <c r="H166" s="31"/>
      <c r="I166" s="31"/>
      <c r="J166" s="31"/>
      <c r="K166" s="32">
        <f>F166</f>
        <v>6</v>
      </c>
    </row>
    <row r="167" spans="2:12">
      <c r="C167" s="166" t="s">
        <v>110</v>
      </c>
      <c r="D167" s="166"/>
      <c r="E167" s="166"/>
      <c r="F167" s="166"/>
      <c r="G167" s="166"/>
      <c r="H167" s="166"/>
      <c r="I167" s="166"/>
      <c r="J167" s="166"/>
      <c r="K167" s="33">
        <f>SUM(K166:K166)</f>
        <v>6</v>
      </c>
    </row>
    <row r="169" spans="2:12" ht="14.4" customHeight="1">
      <c r="B169" s="19" t="s">
        <v>475</v>
      </c>
      <c r="C169" s="169" t="str">
        <f>'[3]VOVO PESSOINHA'!D45</f>
        <v>TORNEIRA CROMADA LONGA, DE PAREDE, 1/2 OU 3/4, PARA PIA DE COZINHA, PADRÃO POPULAR - FORNECIMENTO E INSTALAÇÃO. AF_01/2020</v>
      </c>
      <c r="D169" s="169"/>
      <c r="E169" s="169"/>
      <c r="F169" s="169"/>
      <c r="G169" s="169"/>
      <c r="H169" s="169"/>
      <c r="I169" s="169"/>
      <c r="J169" s="169"/>
      <c r="K169" s="36" t="str">
        <f>'[3]VOVO PESSOINHA'!E45</f>
        <v>UND</v>
      </c>
      <c r="L169" s="27">
        <f>K172</f>
        <v>4</v>
      </c>
    </row>
    <row r="170" spans="2:12">
      <c r="C170" s="167" t="s">
        <v>113</v>
      </c>
      <c r="D170" s="167"/>
      <c r="E170" s="167"/>
      <c r="F170" s="29" t="s">
        <v>102</v>
      </c>
      <c r="G170" s="28" t="s">
        <v>103</v>
      </c>
      <c r="H170" s="29" t="s">
        <v>104</v>
      </c>
      <c r="I170" s="28" t="s">
        <v>105</v>
      </c>
      <c r="J170" s="28" t="s">
        <v>40</v>
      </c>
      <c r="K170" s="30" t="s">
        <v>107</v>
      </c>
    </row>
    <row r="171" spans="2:12">
      <c r="C171" s="165" t="s">
        <v>127</v>
      </c>
      <c r="D171" s="165"/>
      <c r="E171" s="165"/>
      <c r="F171" s="31">
        <v>4</v>
      </c>
      <c r="G171" s="31"/>
      <c r="H171" s="31"/>
      <c r="I171" s="31"/>
      <c r="J171" s="31"/>
      <c r="K171" s="32">
        <f>F171</f>
        <v>4</v>
      </c>
    </row>
    <row r="172" spans="2:12">
      <c r="C172" s="166" t="s">
        <v>110</v>
      </c>
      <c r="D172" s="166"/>
      <c r="E172" s="166"/>
      <c r="F172" s="166"/>
      <c r="G172" s="166"/>
      <c r="H172" s="166"/>
      <c r="I172" s="166"/>
      <c r="J172" s="166"/>
      <c r="K172" s="33">
        <f>SUM(K171:K171)</f>
        <v>4</v>
      </c>
    </row>
    <row r="173" spans="2:12">
      <c r="C173" s="41"/>
      <c r="D173" s="41"/>
      <c r="E173" s="41"/>
      <c r="F173" s="41"/>
      <c r="G173" s="41"/>
      <c r="H173" s="41"/>
      <c r="I173" s="41"/>
      <c r="J173" s="41"/>
      <c r="K173" s="42"/>
    </row>
    <row r="174" spans="2:12">
      <c r="B174" s="19" t="s">
        <v>725</v>
      </c>
      <c r="C174" s="169" t="str">
        <f>'[3]VOVO PESSOINHA'!D46</f>
        <v>TORNEIRA CROMADA LONGA, DE PAREDE, 1/2 OU 3/4, PARA PIA DE COZINHA, PADRÃO POPULAR - FORNECIMENTO E INSTALAÇÃO. AF_01/2020</v>
      </c>
      <c r="D174" s="169"/>
      <c r="E174" s="169"/>
      <c r="F174" s="169"/>
      <c r="G174" s="169"/>
      <c r="H174" s="169"/>
      <c r="I174" s="169"/>
      <c r="J174" s="169"/>
      <c r="K174" s="36" t="str">
        <f>'[3]VOVO PESSOINHA'!E46</f>
        <v>UN</v>
      </c>
      <c r="L174" s="27">
        <f>K177</f>
        <v>4</v>
      </c>
    </row>
    <row r="175" spans="2:12">
      <c r="C175" s="167" t="s">
        <v>113</v>
      </c>
      <c r="D175" s="167"/>
      <c r="E175" s="167"/>
      <c r="F175" s="29" t="s">
        <v>102</v>
      </c>
      <c r="G175" s="28" t="s">
        <v>103</v>
      </c>
      <c r="H175" s="29" t="s">
        <v>104</v>
      </c>
      <c r="I175" s="28" t="s">
        <v>105</v>
      </c>
      <c r="J175" s="28" t="s">
        <v>40</v>
      </c>
      <c r="K175" s="30" t="s">
        <v>107</v>
      </c>
    </row>
    <row r="176" spans="2:12">
      <c r="C176" s="165" t="s">
        <v>127</v>
      </c>
      <c r="D176" s="165"/>
      <c r="E176" s="165"/>
      <c r="F176" s="31">
        <v>4</v>
      </c>
      <c r="G176" s="31"/>
      <c r="H176" s="31"/>
      <c r="I176" s="31"/>
      <c r="J176" s="31"/>
      <c r="K176" s="32">
        <f>F176</f>
        <v>4</v>
      </c>
    </row>
    <row r="177" spans="2:12">
      <c r="C177" s="166" t="s">
        <v>110</v>
      </c>
      <c r="D177" s="166"/>
      <c r="E177" s="166"/>
      <c r="F177" s="166"/>
      <c r="G177" s="166"/>
      <c r="H177" s="166"/>
      <c r="I177" s="166"/>
      <c r="J177" s="166"/>
      <c r="K177" s="33">
        <f>SUM(K176:K176)</f>
        <v>4</v>
      </c>
    </row>
    <row r="178" spans="2:12">
      <c r="C178" s="41"/>
      <c r="D178" s="41"/>
      <c r="E178" s="41"/>
      <c r="F178" s="41"/>
      <c r="G178" s="41"/>
      <c r="H178" s="41"/>
      <c r="I178" s="41"/>
      <c r="J178" s="41"/>
      <c r="K178" s="42"/>
    </row>
    <row r="179" spans="2:12">
      <c r="B179" s="19" t="s">
        <v>726</v>
      </c>
      <c r="C179" s="169" t="str">
        <f>'[3]VOVO PESSOINHA'!D47</f>
        <v>PONTO DE CONSUMO TERMINAL DE ÁGUA FRIA (SUBRAMAL) COM TUBULAÇÃO DE PVC, DN 25 MM, INSTALADO EM RAMAL DE ÁGUA, INCLUSOS RASGO E CHUMBAMENTO EM ALVENARIA. AF_12/2014</v>
      </c>
      <c r="D179" s="169"/>
      <c r="E179" s="169"/>
      <c r="F179" s="169"/>
      <c r="G179" s="169"/>
      <c r="H179" s="169"/>
      <c r="I179" s="169"/>
      <c r="J179" s="169"/>
      <c r="K179" s="36" t="str">
        <f>'[3]VOVO PESSOINHA'!E47</f>
        <v>UN</v>
      </c>
      <c r="L179" s="27">
        <f>K182</f>
        <v>2</v>
      </c>
    </row>
    <row r="180" spans="2:12">
      <c r="C180" s="167" t="s">
        <v>113</v>
      </c>
      <c r="D180" s="167"/>
      <c r="E180" s="167"/>
      <c r="F180" s="29" t="s">
        <v>102</v>
      </c>
      <c r="G180" s="28" t="s">
        <v>103</v>
      </c>
      <c r="H180" s="29" t="s">
        <v>104</v>
      </c>
      <c r="I180" s="28" t="s">
        <v>105</v>
      </c>
      <c r="J180" s="28" t="s">
        <v>40</v>
      </c>
      <c r="K180" s="30" t="s">
        <v>107</v>
      </c>
    </row>
    <row r="181" spans="2:12">
      <c r="C181" s="165" t="s">
        <v>127</v>
      </c>
      <c r="D181" s="165"/>
      <c r="E181" s="165"/>
      <c r="F181" s="31">
        <v>2</v>
      </c>
      <c r="G181" s="31"/>
      <c r="H181" s="31"/>
      <c r="I181" s="31"/>
      <c r="J181" s="31"/>
      <c r="K181" s="32">
        <f>F181</f>
        <v>2</v>
      </c>
    </row>
    <row r="182" spans="2:12">
      <c r="C182" s="166" t="s">
        <v>110</v>
      </c>
      <c r="D182" s="166"/>
      <c r="E182" s="166"/>
      <c r="F182" s="166"/>
      <c r="G182" s="166"/>
      <c r="H182" s="166"/>
      <c r="I182" s="166"/>
      <c r="J182" s="166"/>
      <c r="K182" s="33">
        <f>SUM(K181:K181)</f>
        <v>2</v>
      </c>
    </row>
    <row r="183" spans="2:12">
      <c r="C183" s="41"/>
      <c r="D183" s="41"/>
      <c r="E183" s="41"/>
      <c r="F183" s="41"/>
      <c r="G183" s="41"/>
      <c r="H183" s="41"/>
      <c r="I183" s="41"/>
      <c r="J183" s="41"/>
      <c r="K183" s="42"/>
    </row>
    <row r="184" spans="2:12">
      <c r="B184" s="34" t="s">
        <v>147</v>
      </c>
      <c r="C184" s="168" t="str">
        <f>'[3]VOVO PESSOINHA'!D48</f>
        <v>COBERTA</v>
      </c>
      <c r="D184" s="168"/>
      <c r="E184" s="168"/>
      <c r="F184" s="168"/>
      <c r="G184" s="168"/>
      <c r="H184" s="168"/>
      <c r="I184" s="168"/>
      <c r="J184" s="168"/>
      <c r="K184" s="168"/>
      <c r="L184" s="168"/>
    </row>
    <row r="185" spans="2:12" ht="27" customHeight="1">
      <c r="B185" s="19" t="s">
        <v>148</v>
      </c>
      <c r="C185" s="169" t="str">
        <f>'[3]VOVO PESSOINHA'!D49</f>
        <v>TRAMA DE MADEIRA COMPOSTA POR RIPAS, CAIBROS E TERÇAS PARA TELHADOS DE ATÉ 2 ÁGUAS PARA TELHA CERÂMICA CAPA-CANAL, INCLUSO TRANSPORTE VERTICAL. AF_07/2019</v>
      </c>
      <c r="D185" s="169"/>
      <c r="E185" s="169"/>
      <c r="F185" s="169"/>
      <c r="G185" s="169"/>
      <c r="H185" s="169"/>
      <c r="I185" s="169"/>
      <c r="J185" s="169"/>
      <c r="K185" s="36" t="str">
        <f>'[3]VOVO PESSOINHA'!E49</f>
        <v>M2</v>
      </c>
      <c r="L185" s="27">
        <f>K190</f>
        <v>163.4</v>
      </c>
    </row>
    <row r="186" spans="2:12">
      <c r="C186" s="167" t="s">
        <v>113</v>
      </c>
      <c r="D186" s="167"/>
      <c r="E186" s="167"/>
      <c r="F186" s="29" t="s">
        <v>102</v>
      </c>
      <c r="G186" s="28" t="s">
        <v>103</v>
      </c>
      <c r="H186" s="29" t="s">
        <v>104</v>
      </c>
      <c r="I186" s="28" t="s">
        <v>105</v>
      </c>
      <c r="J186" s="28" t="s">
        <v>115</v>
      </c>
      <c r="K186" s="30" t="s">
        <v>107</v>
      </c>
    </row>
    <row r="187" spans="2:12">
      <c r="C187" s="165" t="s">
        <v>710</v>
      </c>
      <c r="D187" s="165"/>
      <c r="E187" s="165"/>
      <c r="F187" s="29"/>
      <c r="G187" s="28"/>
      <c r="H187" s="37">
        <v>4</v>
      </c>
      <c r="I187" s="38">
        <v>4.5</v>
      </c>
      <c r="J187" s="38"/>
      <c r="K187" s="39">
        <f>I187*H187</f>
        <v>18</v>
      </c>
    </row>
    <row r="188" spans="2:12">
      <c r="C188" s="165" t="s">
        <v>476</v>
      </c>
      <c r="D188" s="165"/>
      <c r="E188" s="165"/>
      <c r="F188" s="29"/>
      <c r="G188" s="28"/>
      <c r="H188" s="37">
        <v>5</v>
      </c>
      <c r="I188" s="38">
        <v>8</v>
      </c>
      <c r="J188" s="38"/>
      <c r="K188" s="39">
        <f t="shared" ref="K188:K189" si="1">I188*H188</f>
        <v>40</v>
      </c>
    </row>
    <row r="189" spans="2:12" ht="14.4" customHeight="1">
      <c r="C189" s="165" t="s">
        <v>713</v>
      </c>
      <c r="D189" s="165"/>
      <c r="E189" s="165"/>
      <c r="F189" s="31"/>
      <c r="G189" s="31"/>
      <c r="H189" s="31">
        <v>6.2</v>
      </c>
      <c r="I189" s="31">
        <v>17</v>
      </c>
      <c r="J189" s="31"/>
      <c r="K189" s="39">
        <f t="shared" si="1"/>
        <v>105.4</v>
      </c>
    </row>
    <row r="190" spans="2:12">
      <c r="C190" s="166" t="s">
        <v>110</v>
      </c>
      <c r="D190" s="166"/>
      <c r="E190" s="166"/>
      <c r="F190" s="166"/>
      <c r="G190" s="166"/>
      <c r="H190" s="166"/>
      <c r="I190" s="166"/>
      <c r="J190" s="166"/>
      <c r="K190" s="33">
        <f>SUM(K187:K189)</f>
        <v>163.4</v>
      </c>
    </row>
    <row r="192" spans="2:12" ht="32.4" customHeight="1">
      <c r="B192" s="19" t="s">
        <v>477</v>
      </c>
      <c r="C192" s="169" t="str">
        <f>'[3]VOVO PESSOINHA'!D50</f>
        <v>TELHAMENTO COM TELHA CERÂMICA CAPA-CANAL, TIPO COLONIAL, COM ATÉ 2 ÁGUAS, INCLUSO TRANSPORTE VERTICAL. AF_07/2019</v>
      </c>
      <c r="D192" s="169"/>
      <c r="E192" s="169"/>
      <c r="F192" s="169"/>
      <c r="G192" s="169"/>
      <c r="H192" s="169"/>
      <c r="I192" s="169"/>
      <c r="J192" s="169"/>
      <c r="K192" s="36" t="str">
        <f>'[3]VOVO PESSOINHA'!E50</f>
        <v>M2</v>
      </c>
      <c r="L192" s="27">
        <f>K197</f>
        <v>163.4</v>
      </c>
    </row>
    <row r="193" spans="2:12">
      <c r="C193" s="167" t="s">
        <v>113</v>
      </c>
      <c r="D193" s="167"/>
      <c r="E193" s="167"/>
      <c r="F193" s="29" t="s">
        <v>102</v>
      </c>
      <c r="G193" s="28" t="s">
        <v>103</v>
      </c>
      <c r="H193" s="29" t="s">
        <v>104</v>
      </c>
      <c r="I193" s="28" t="s">
        <v>105</v>
      </c>
      <c r="J193" s="28" t="s">
        <v>115</v>
      </c>
      <c r="K193" s="30" t="s">
        <v>107</v>
      </c>
    </row>
    <row r="194" spans="2:12">
      <c r="C194" s="165" t="s">
        <v>710</v>
      </c>
      <c r="D194" s="165"/>
      <c r="E194" s="165"/>
      <c r="F194" s="29"/>
      <c r="G194" s="28"/>
      <c r="H194" s="37">
        <v>4</v>
      </c>
      <c r="I194" s="38">
        <v>4.5</v>
      </c>
      <c r="J194" s="38"/>
      <c r="K194" s="39">
        <f>I194*H194</f>
        <v>18</v>
      </c>
    </row>
    <row r="195" spans="2:12">
      <c r="C195" s="165" t="s">
        <v>476</v>
      </c>
      <c r="D195" s="165"/>
      <c r="E195" s="165"/>
      <c r="F195" s="29"/>
      <c r="G195" s="28"/>
      <c r="H195" s="37">
        <v>5</v>
      </c>
      <c r="I195" s="38">
        <v>8</v>
      </c>
      <c r="J195" s="38"/>
      <c r="K195" s="39">
        <f t="shared" ref="K195:K196" si="2">I195*H195</f>
        <v>40</v>
      </c>
    </row>
    <row r="196" spans="2:12" ht="14.4" customHeight="1">
      <c r="C196" s="165" t="s">
        <v>713</v>
      </c>
      <c r="D196" s="165"/>
      <c r="E196" s="165"/>
      <c r="F196" s="31"/>
      <c r="G196" s="31"/>
      <c r="H196" s="31">
        <v>6.2</v>
      </c>
      <c r="I196" s="31">
        <v>17</v>
      </c>
      <c r="J196" s="31"/>
      <c r="K196" s="39">
        <f t="shared" si="2"/>
        <v>105.4</v>
      </c>
    </row>
    <row r="197" spans="2:12">
      <c r="C197" s="166" t="s">
        <v>110</v>
      </c>
      <c r="D197" s="166"/>
      <c r="E197" s="166"/>
      <c r="F197" s="166"/>
      <c r="G197" s="166"/>
      <c r="H197" s="166"/>
      <c r="I197" s="166"/>
      <c r="J197" s="166"/>
      <c r="K197" s="33">
        <f>SUM(K194:K196)</f>
        <v>163.4</v>
      </c>
    </row>
    <row r="199" spans="2:12">
      <c r="B199" s="19" t="s">
        <v>727</v>
      </c>
      <c r="C199" s="177" t="str">
        <f>'[3]VOVO PESSOINHA'!D51</f>
        <v>CALHA EM CHAPA DE ALUMINIO,
DESENVOLVIMENTO 160 CM</v>
      </c>
      <c r="D199" s="177"/>
      <c r="E199" s="177"/>
      <c r="F199" s="177"/>
      <c r="G199" s="177"/>
      <c r="H199" s="177"/>
      <c r="I199" s="177"/>
      <c r="J199" s="177"/>
      <c r="K199" s="36" t="str">
        <f>'[3]VOVO PESSOINHA'!E51</f>
        <v>M</v>
      </c>
      <c r="L199" s="27">
        <f>K202</f>
        <v>17</v>
      </c>
    </row>
    <row r="200" spans="2:12">
      <c r="C200" s="167" t="s">
        <v>113</v>
      </c>
      <c r="D200" s="167"/>
      <c r="E200" s="167"/>
      <c r="F200" s="29" t="s">
        <v>102</v>
      </c>
      <c r="G200" s="28" t="s">
        <v>103</v>
      </c>
      <c r="H200" s="29" t="s">
        <v>104</v>
      </c>
      <c r="I200" s="28" t="s">
        <v>105</v>
      </c>
      <c r="J200" s="28" t="s">
        <v>121</v>
      </c>
      <c r="K200" s="30" t="s">
        <v>107</v>
      </c>
    </row>
    <row r="201" spans="2:12">
      <c r="C201" s="165" t="s">
        <v>713</v>
      </c>
      <c r="D201" s="165"/>
      <c r="E201" s="165"/>
      <c r="F201" s="31"/>
      <c r="G201" s="31"/>
      <c r="H201" s="31"/>
      <c r="I201" s="31">
        <v>17</v>
      </c>
      <c r="J201" s="31"/>
      <c r="K201" s="32">
        <f>I201</f>
        <v>17</v>
      </c>
    </row>
    <row r="202" spans="2:12">
      <c r="C202" s="166" t="s">
        <v>110</v>
      </c>
      <c r="D202" s="166"/>
      <c r="E202" s="166"/>
      <c r="F202" s="166"/>
      <c r="G202" s="166"/>
      <c r="H202" s="166"/>
      <c r="I202" s="166"/>
      <c r="J202" s="166"/>
      <c r="K202" s="33">
        <f>SUM(K201:K201)</f>
        <v>17</v>
      </c>
    </row>
    <row r="203" spans="2:12">
      <c r="C203" s="41"/>
      <c r="D203" s="41"/>
      <c r="E203" s="41"/>
      <c r="F203" s="41"/>
      <c r="G203" s="41"/>
      <c r="H203" s="41"/>
      <c r="I203" s="41"/>
      <c r="J203" s="41"/>
      <c r="K203" s="42"/>
    </row>
    <row r="204" spans="2:12" ht="31.2" customHeight="1">
      <c r="B204" s="19" t="s">
        <v>728</v>
      </c>
      <c r="C204" s="169" t="str">
        <f>'[3]VOVO PESSOINHA'!D52</f>
        <v>TUBO PVC, SÉRIE R, ÁGUA PLUVIAL, DN 100 MM, FORNECIDO E INSTALADO EM RAMAL DE ENCAMINHAMENTO. AF_06/2022</v>
      </c>
      <c r="D204" s="169"/>
      <c r="E204" s="169"/>
      <c r="F204" s="169"/>
      <c r="G204" s="169"/>
      <c r="H204" s="169"/>
      <c r="I204" s="169"/>
      <c r="J204" s="169"/>
      <c r="K204" s="36" t="str">
        <f>'[3]VOVO PESSOINHA'!E52</f>
        <v>M</v>
      </c>
      <c r="L204" s="27">
        <f>K207</f>
        <v>15</v>
      </c>
    </row>
    <row r="205" spans="2:12">
      <c r="C205" s="167" t="s">
        <v>113</v>
      </c>
      <c r="D205" s="167"/>
      <c r="E205" s="167"/>
      <c r="F205" s="29" t="s">
        <v>102</v>
      </c>
      <c r="G205" s="28" t="s">
        <v>103</v>
      </c>
      <c r="H205" s="29" t="s">
        <v>104</v>
      </c>
      <c r="I205" s="28" t="s">
        <v>105</v>
      </c>
      <c r="J205" s="28" t="s">
        <v>106</v>
      </c>
      <c r="K205" s="30" t="s">
        <v>107</v>
      </c>
    </row>
    <row r="206" spans="2:12">
      <c r="C206" s="165" t="s">
        <v>713</v>
      </c>
      <c r="D206" s="165"/>
      <c r="E206" s="165"/>
      <c r="F206" s="31"/>
      <c r="G206" s="31"/>
      <c r="H206" s="31"/>
      <c r="I206" s="31">
        <v>15</v>
      </c>
      <c r="J206" s="31"/>
      <c r="K206" s="32">
        <f>I206</f>
        <v>15</v>
      </c>
    </row>
    <row r="207" spans="2:12">
      <c r="C207" s="166" t="s">
        <v>110</v>
      </c>
      <c r="D207" s="166"/>
      <c r="E207" s="166"/>
      <c r="F207" s="166"/>
      <c r="G207" s="166"/>
      <c r="H207" s="166"/>
      <c r="I207" s="166"/>
      <c r="J207" s="166"/>
      <c r="K207" s="33">
        <f>SUM(K206:K206)</f>
        <v>15</v>
      </c>
    </row>
    <row r="208" spans="2:12">
      <c r="C208" s="41"/>
      <c r="D208" s="41"/>
      <c r="E208" s="41"/>
      <c r="F208" s="41"/>
      <c r="G208" s="41"/>
      <c r="H208" s="41"/>
      <c r="I208" s="41"/>
      <c r="J208" s="41"/>
      <c r="K208" s="42"/>
    </row>
    <row r="209" spans="2:12" ht="28.95" customHeight="1">
      <c r="B209" s="19" t="s">
        <v>729</v>
      </c>
      <c r="C209" s="169" t="str">
        <f>'[3]VOVO PESSOINHA'!D53</f>
        <v>RETIRADA E RECOLOCAÇÃO DE  TELHA CERÂMICA CAPA-CANAL, COM ATÉ DUAS ÁGUAS, INCLUSO IÇAMENTO. AF_07/2019</v>
      </c>
      <c r="D209" s="169"/>
      <c r="E209" s="169"/>
      <c r="F209" s="169"/>
      <c r="G209" s="169"/>
      <c r="H209" s="169"/>
      <c r="I209" s="169"/>
      <c r="J209" s="169"/>
      <c r="K209" s="36" t="str">
        <f>'[3]VOVO PESSOINHA'!E53</f>
        <v>UND</v>
      </c>
      <c r="L209" s="27">
        <f>K212</f>
        <v>251</v>
      </c>
    </row>
    <row r="210" spans="2:12">
      <c r="C210" s="167" t="s">
        <v>113</v>
      </c>
      <c r="D210" s="167"/>
      <c r="E210" s="167"/>
      <c r="F210" s="29" t="s">
        <v>102</v>
      </c>
      <c r="G210" s="28" t="s">
        <v>103</v>
      </c>
      <c r="H210" s="29" t="s">
        <v>104</v>
      </c>
      <c r="I210" s="28" t="s">
        <v>105</v>
      </c>
      <c r="J210" s="28" t="s">
        <v>106</v>
      </c>
      <c r="K210" s="30" t="s">
        <v>107</v>
      </c>
    </row>
    <row r="211" spans="2:12">
      <c r="C211" s="165" t="s">
        <v>730</v>
      </c>
      <c r="D211" s="165"/>
      <c r="E211" s="165"/>
      <c r="F211" s="31"/>
      <c r="G211" s="31"/>
      <c r="H211" s="31"/>
      <c r="I211" s="31"/>
      <c r="J211" s="31">
        <v>251</v>
      </c>
      <c r="K211" s="32">
        <f>J211</f>
        <v>251</v>
      </c>
    </row>
    <row r="212" spans="2:12">
      <c r="C212" s="166" t="s">
        <v>110</v>
      </c>
      <c r="D212" s="166"/>
      <c r="E212" s="166"/>
      <c r="F212" s="166"/>
      <c r="G212" s="166"/>
      <c r="H212" s="166"/>
      <c r="I212" s="166"/>
      <c r="J212" s="166"/>
      <c r="K212" s="33">
        <f>SUM(K211:K211)</f>
        <v>251</v>
      </c>
    </row>
    <row r="214" spans="2:12" ht="29.4" customHeight="1">
      <c r="B214" s="19" t="s">
        <v>731</v>
      </c>
      <c r="C214" s="169" t="str">
        <f>'[3]VOVO PESSOINHA'!D54</f>
        <v>CUMEEIRA E ESPIGÃO PARA TELHA CERÂMICA EMBOÇADA COM ARGAMASSA TRAÇO 1:2:9 (CIMENTO, CAL E AREIA), PARA TELHADOS COM MAIS DE 2 ÁGUAS, INCLUSO TRANSPORTE VERTICAL. AF_07/2019</v>
      </c>
      <c r="D214" s="169"/>
      <c r="E214" s="169"/>
      <c r="F214" s="169"/>
      <c r="G214" s="169"/>
      <c r="H214" s="169"/>
      <c r="I214" s="169"/>
      <c r="J214" s="169"/>
      <c r="K214" s="36" t="str">
        <f>'[3]VOVO PESSOINHA'!E54</f>
        <v>M</v>
      </c>
      <c r="L214" s="27">
        <f>K217</f>
        <v>27</v>
      </c>
    </row>
    <row r="215" spans="2:12">
      <c r="C215" s="167" t="s">
        <v>113</v>
      </c>
      <c r="D215" s="167"/>
      <c r="E215" s="167"/>
      <c r="F215" s="29" t="s">
        <v>102</v>
      </c>
      <c r="G215" s="28" t="s">
        <v>103</v>
      </c>
      <c r="H215" s="29" t="s">
        <v>104</v>
      </c>
      <c r="I215" s="28" t="s">
        <v>105</v>
      </c>
      <c r="J215" s="28" t="s">
        <v>40</v>
      </c>
      <c r="K215" s="30" t="s">
        <v>107</v>
      </c>
    </row>
    <row r="216" spans="2:12" ht="14.4" customHeight="1">
      <c r="C216" s="165" t="s">
        <v>730</v>
      </c>
      <c r="D216" s="165"/>
      <c r="E216" s="165"/>
      <c r="F216" s="31"/>
      <c r="G216" s="31"/>
      <c r="H216" s="31"/>
      <c r="I216" s="31"/>
      <c r="J216" s="31">
        <v>27</v>
      </c>
      <c r="K216" s="32">
        <f>J216</f>
        <v>27</v>
      </c>
    </row>
    <row r="217" spans="2:12">
      <c r="C217" s="166" t="s">
        <v>110</v>
      </c>
      <c r="D217" s="166"/>
      <c r="E217" s="166"/>
      <c r="F217" s="166"/>
      <c r="G217" s="166"/>
      <c r="H217" s="166"/>
      <c r="I217" s="166"/>
      <c r="J217" s="166"/>
      <c r="K217" s="33">
        <f>SUM(K216:K216)</f>
        <v>27</v>
      </c>
    </row>
    <row r="219" spans="2:12" ht="31.2" customHeight="1">
      <c r="B219" s="19" t="s">
        <v>732</v>
      </c>
      <c r="C219" s="169" t="str">
        <f>'[3]VOVO PESSOINHA'!D55</f>
        <v>RETIRADA E RECOLOCAÇÃO DE CAIBRO EM TELHADOS DE ATÉ 2 ÁGUAS COM TELHA CERÂMICA CAPA-CANAL, INCLUSO TRANSPORTE VERTICAL. AF_07/2019</v>
      </c>
      <c r="D219" s="169"/>
      <c r="E219" s="169"/>
      <c r="F219" s="169"/>
      <c r="G219" s="169"/>
      <c r="H219" s="169"/>
      <c r="I219" s="169"/>
      <c r="J219" s="169"/>
      <c r="K219" s="36" t="str">
        <f>'[3]VOVO PESSOINHA'!E55</f>
        <v>M2</v>
      </c>
      <c r="L219" s="27">
        <f>K222</f>
        <v>50</v>
      </c>
    </row>
    <row r="220" spans="2:12">
      <c r="C220" s="167" t="s">
        <v>113</v>
      </c>
      <c r="D220" s="167"/>
      <c r="E220" s="167"/>
      <c r="F220" s="29" t="s">
        <v>102</v>
      </c>
      <c r="G220" s="28" t="s">
        <v>103</v>
      </c>
      <c r="H220" s="29" t="s">
        <v>104</v>
      </c>
      <c r="I220" s="28" t="s">
        <v>105</v>
      </c>
      <c r="J220" s="28" t="s">
        <v>40</v>
      </c>
      <c r="K220" s="30" t="s">
        <v>107</v>
      </c>
    </row>
    <row r="221" spans="2:12">
      <c r="C221" s="165" t="s">
        <v>733</v>
      </c>
      <c r="D221" s="165"/>
      <c r="E221" s="165"/>
      <c r="F221" s="31"/>
      <c r="G221" s="31"/>
      <c r="H221" s="31"/>
      <c r="I221" s="31"/>
      <c r="J221" s="31">
        <v>50</v>
      </c>
      <c r="K221" s="32">
        <f>J221</f>
        <v>50</v>
      </c>
    </row>
    <row r="222" spans="2:12">
      <c r="C222" s="166" t="s">
        <v>110</v>
      </c>
      <c r="D222" s="166"/>
      <c r="E222" s="166"/>
      <c r="F222" s="166"/>
      <c r="G222" s="166"/>
      <c r="H222" s="166"/>
      <c r="I222" s="166"/>
      <c r="J222" s="166"/>
      <c r="K222" s="33">
        <f>SUM(K221:K221)</f>
        <v>50</v>
      </c>
    </row>
    <row r="223" spans="2:12">
      <c r="C223" s="41"/>
      <c r="D223" s="41"/>
      <c r="E223" s="41"/>
      <c r="F223" s="41"/>
      <c r="G223" s="41"/>
      <c r="H223" s="41"/>
      <c r="I223" s="41"/>
      <c r="J223" s="41"/>
      <c r="K223" s="42"/>
    </row>
    <row r="224" spans="2:12" ht="24.6" customHeight="1">
      <c r="B224" s="19" t="s">
        <v>734</v>
      </c>
      <c r="C224" s="169" t="str">
        <f>'[3]VOVO PESSOINHA'!D56</f>
        <v>RETIRADA E RECOLOCAÇÃO DE RIPA EM TELHADOS DE MAIS DE 2 ÁGUAS COM TELHA CERÂMICA CAPA-CANAL, INCLUSO TRANSPORTE VERTICAL. AF_07/2019</v>
      </c>
      <c r="D224" s="169"/>
      <c r="E224" s="169"/>
      <c r="F224" s="169"/>
      <c r="G224" s="169"/>
      <c r="H224" s="169"/>
      <c r="I224" s="169"/>
      <c r="J224" s="169"/>
      <c r="K224" s="36" t="str">
        <f>'[3]VOVO PESSOINHA'!E56</f>
        <v>M2</v>
      </c>
      <c r="L224" s="27">
        <f>K227</f>
        <v>50</v>
      </c>
    </row>
    <row r="225" spans="2:12">
      <c r="C225" s="167" t="s">
        <v>113</v>
      </c>
      <c r="D225" s="167"/>
      <c r="E225" s="167"/>
      <c r="F225" s="29" t="s">
        <v>102</v>
      </c>
      <c r="G225" s="28" t="s">
        <v>103</v>
      </c>
      <c r="H225" s="29" t="s">
        <v>104</v>
      </c>
      <c r="I225" s="28" t="s">
        <v>105</v>
      </c>
      <c r="J225" s="28" t="s">
        <v>40</v>
      </c>
      <c r="K225" s="30" t="s">
        <v>107</v>
      </c>
    </row>
    <row r="226" spans="2:12">
      <c r="C226" s="165" t="s">
        <v>733</v>
      </c>
      <c r="D226" s="165"/>
      <c r="E226" s="165"/>
      <c r="F226" s="31"/>
      <c r="G226" s="31"/>
      <c r="H226" s="31"/>
      <c r="I226" s="31"/>
      <c r="J226" s="31">
        <v>50</v>
      </c>
      <c r="K226" s="32">
        <f>J226</f>
        <v>50</v>
      </c>
    </row>
    <row r="227" spans="2:12">
      <c r="C227" s="166" t="s">
        <v>110</v>
      </c>
      <c r="D227" s="166"/>
      <c r="E227" s="166"/>
      <c r="F227" s="166"/>
      <c r="G227" s="166"/>
      <c r="H227" s="166"/>
      <c r="I227" s="166"/>
      <c r="J227" s="166"/>
      <c r="K227" s="33">
        <f>SUM(K226:K226)</f>
        <v>50</v>
      </c>
    </row>
    <row r="228" spans="2:12">
      <c r="C228" s="41"/>
      <c r="D228" s="41"/>
      <c r="E228" s="41"/>
      <c r="F228" s="41"/>
      <c r="G228" s="41"/>
      <c r="H228" s="41"/>
      <c r="I228" s="41"/>
      <c r="J228" s="41"/>
      <c r="K228" s="42"/>
    </row>
    <row r="229" spans="2:12">
      <c r="B229" s="34" t="s">
        <v>735</v>
      </c>
      <c r="C229" s="168" t="str">
        <f>'[3]VOVO PESSOINHA'!D57</f>
        <v>ESQUADRIAS</v>
      </c>
      <c r="D229" s="168"/>
      <c r="E229" s="168"/>
      <c r="F229" s="168"/>
      <c r="G229" s="168"/>
      <c r="H229" s="168"/>
      <c r="I229" s="168"/>
      <c r="J229" s="168"/>
      <c r="K229" s="168"/>
      <c r="L229" s="168"/>
    </row>
    <row r="230" spans="2:12">
      <c r="B230" s="19" t="s">
        <v>736</v>
      </c>
      <c r="C230" s="169" t="str">
        <f>'[3]VOVO PESSOINHA'!D58</f>
        <v>KIT DE PORTA DE MADEIRA PARA PINTURA, SEMI-OCA (LEVE OU MÉDIA), PADRÃO MÉDIO, 80X210CM, ESPESSURA DE 3,5CM, ITENS INCLUSOS: DOBRADIÇAS, MONTAGEM E INSTALAÇÃO DO BATENTE, FECHADURA COM EXECUÇÃO DO FURO - FORNECIMENTO E INSTALAÇÃO. AF_12/2019</v>
      </c>
      <c r="D230" s="169"/>
      <c r="E230" s="169"/>
      <c r="F230" s="169"/>
      <c r="G230" s="169"/>
      <c r="H230" s="169"/>
      <c r="I230" s="169"/>
      <c r="J230" s="169"/>
      <c r="K230" s="36" t="str">
        <f>'[3]VOVO PESSOINHA'!E58</f>
        <v>UN</v>
      </c>
      <c r="L230" s="27">
        <f>K233</f>
        <v>4</v>
      </c>
    </row>
    <row r="231" spans="2:12">
      <c r="C231" s="167" t="s">
        <v>113</v>
      </c>
      <c r="D231" s="167"/>
      <c r="E231" s="167"/>
      <c r="F231" s="29" t="s">
        <v>102</v>
      </c>
      <c r="G231" s="28" t="s">
        <v>103</v>
      </c>
      <c r="H231" s="29" t="s">
        <v>104</v>
      </c>
      <c r="I231" s="28" t="s">
        <v>105</v>
      </c>
      <c r="J231" s="28" t="s">
        <v>121</v>
      </c>
      <c r="K231" s="30" t="s">
        <v>107</v>
      </c>
    </row>
    <row r="232" spans="2:12">
      <c r="C232" s="214" t="s">
        <v>737</v>
      </c>
      <c r="D232" s="215"/>
      <c r="E232" s="216"/>
      <c r="F232" s="31">
        <v>4</v>
      </c>
      <c r="G232" s="31"/>
      <c r="H232" s="31"/>
      <c r="I232" s="31"/>
      <c r="J232" s="31"/>
      <c r="K232" s="32">
        <f>F232</f>
        <v>4</v>
      </c>
    </row>
    <row r="233" spans="2:12">
      <c r="C233" s="166" t="s">
        <v>110</v>
      </c>
      <c r="D233" s="166"/>
      <c r="E233" s="166"/>
      <c r="F233" s="166"/>
      <c r="G233" s="166"/>
      <c r="H233" s="166"/>
      <c r="I233" s="166"/>
      <c r="J233" s="166"/>
      <c r="K233" s="33">
        <f>SUM(K232:K232)</f>
        <v>4</v>
      </c>
    </row>
    <row r="235" spans="2:12" ht="14.4" customHeight="1">
      <c r="B235" s="19" t="s">
        <v>738</v>
      </c>
      <c r="C235" s="169" t="str">
        <f>'[3]VOVO PESSOINHA'!D59</f>
        <v>KIT DE PORTA DE MADEIRA PARA PINTURA, SEMI-OCA (LEVE OU MÉDIA), PADRÃO MÉDIO, 70X210CM, ESPESSURA DE 3,5CM, ITENS INCLUSOS: DOBRADIÇAS, MONTAGEM E INSTALAÇÃO DO BATENTE, FECHADURA COM EXECUÇÃO DO FURO - FORNECIMENTO E INSTALAÇÃO. AF_12/2019</v>
      </c>
      <c r="D235" s="169"/>
      <c r="E235" s="169"/>
      <c r="F235" s="169"/>
      <c r="G235" s="169"/>
      <c r="H235" s="169"/>
      <c r="I235" s="169"/>
      <c r="J235" s="169"/>
      <c r="K235" s="36" t="str">
        <f>'[3]VOVO PESSOINHA'!E59</f>
        <v>UN</v>
      </c>
      <c r="L235" s="27">
        <f>K238</f>
        <v>1</v>
      </c>
    </row>
    <row r="236" spans="2:12">
      <c r="C236" s="167" t="s">
        <v>113</v>
      </c>
      <c r="D236" s="167"/>
      <c r="E236" s="167"/>
      <c r="F236" s="29" t="s">
        <v>102</v>
      </c>
      <c r="G236" s="28" t="s">
        <v>103</v>
      </c>
      <c r="H236" s="29" t="s">
        <v>104</v>
      </c>
      <c r="I236" s="28" t="s">
        <v>105</v>
      </c>
      <c r="J236" s="28" t="s">
        <v>121</v>
      </c>
      <c r="K236" s="30" t="s">
        <v>107</v>
      </c>
    </row>
    <row r="237" spans="2:12">
      <c r="C237" s="165" t="s">
        <v>737</v>
      </c>
      <c r="D237" s="165"/>
      <c r="E237" s="165"/>
      <c r="F237" s="31">
        <v>1</v>
      </c>
      <c r="G237" s="31"/>
      <c r="H237" s="31"/>
      <c r="I237" s="31"/>
      <c r="J237" s="31"/>
      <c r="K237" s="32">
        <f>F237</f>
        <v>1</v>
      </c>
    </row>
    <row r="238" spans="2:12">
      <c r="C238" s="166" t="s">
        <v>110</v>
      </c>
      <c r="D238" s="166"/>
      <c r="E238" s="166"/>
      <c r="F238" s="166"/>
      <c r="G238" s="166"/>
      <c r="H238" s="166"/>
      <c r="I238" s="166"/>
      <c r="J238" s="166"/>
      <c r="K238" s="33">
        <f>SUM(K237:K237)</f>
        <v>1</v>
      </c>
    </row>
    <row r="240" spans="2:12" ht="14.4" customHeight="1">
      <c r="B240" s="19" t="s">
        <v>739</v>
      </c>
      <c r="C240" s="169" t="str">
        <f>'[3]VOVO PESSOINHA'!D60</f>
        <v>FECHADURA DE EMBUTIR COM CILINDRO, EXTERNA, COMPLETA, ACABAMENTO PADRÃO MÉDIO, INCLUSO EXECUÇÃO DE FURO - FORNECIMENTO E INSTALAÇÃO. AF_12/2019</v>
      </c>
      <c r="D240" s="169"/>
      <c r="E240" s="169"/>
      <c r="F240" s="169"/>
      <c r="G240" s="169"/>
      <c r="H240" s="169"/>
      <c r="I240" s="169"/>
      <c r="J240" s="169"/>
      <c r="K240" s="36" t="str">
        <f>'[3]VOVO PESSOINHA'!E60</f>
        <v>UN</v>
      </c>
      <c r="L240" s="27">
        <f>K243</f>
        <v>8</v>
      </c>
    </row>
    <row r="241" spans="2:12">
      <c r="C241" s="167" t="s">
        <v>113</v>
      </c>
      <c r="D241" s="167"/>
      <c r="E241" s="167"/>
      <c r="F241" s="29" t="s">
        <v>102</v>
      </c>
      <c r="G241" s="28" t="s">
        <v>103</v>
      </c>
      <c r="H241" s="29" t="s">
        <v>104</v>
      </c>
      <c r="I241" s="28" t="s">
        <v>105</v>
      </c>
      <c r="J241" s="28" t="s">
        <v>121</v>
      </c>
      <c r="K241" s="30" t="s">
        <v>107</v>
      </c>
    </row>
    <row r="242" spans="2:12">
      <c r="C242" s="165" t="s">
        <v>737</v>
      </c>
      <c r="D242" s="165"/>
      <c r="E242" s="165"/>
      <c r="F242" s="31">
        <v>8</v>
      </c>
      <c r="G242" s="31"/>
      <c r="H242" s="31"/>
      <c r="I242" s="31"/>
      <c r="J242" s="31"/>
      <c r="K242" s="32">
        <f>F242</f>
        <v>8</v>
      </c>
    </row>
    <row r="243" spans="2:12">
      <c r="C243" s="166" t="s">
        <v>110</v>
      </c>
      <c r="D243" s="166"/>
      <c r="E243" s="166"/>
      <c r="F243" s="166"/>
      <c r="G243" s="166"/>
      <c r="H243" s="166"/>
      <c r="I243" s="166"/>
      <c r="J243" s="166"/>
      <c r="K243" s="33">
        <f>SUM(K242:K242)</f>
        <v>8</v>
      </c>
    </row>
    <row r="245" spans="2:12" ht="14.4" customHeight="1">
      <c r="B245" s="19" t="s">
        <v>740</v>
      </c>
      <c r="C245" s="169" t="str">
        <f>'[3]VOVO PESSOINHA'!D61</f>
        <v>REVISÃO DE ESQUADRIA DE MADEIRA</v>
      </c>
      <c r="D245" s="169"/>
      <c r="E245" s="169"/>
      <c r="F245" s="169"/>
      <c r="G245" s="169"/>
      <c r="H245" s="169"/>
      <c r="I245" s="169"/>
      <c r="J245" s="169"/>
      <c r="K245" s="36" t="str">
        <f>'[3]VOVO PESSOINHA'!E61</f>
        <v>M2</v>
      </c>
      <c r="L245" s="27">
        <f>K248</f>
        <v>21.450000000000003</v>
      </c>
    </row>
    <row r="246" spans="2:12">
      <c r="C246" s="167" t="s">
        <v>113</v>
      </c>
      <c r="D246" s="167"/>
      <c r="E246" s="167"/>
      <c r="F246" s="29" t="s">
        <v>102</v>
      </c>
      <c r="G246" s="28" t="s">
        <v>103</v>
      </c>
      <c r="H246" s="29" t="s">
        <v>104</v>
      </c>
      <c r="I246" s="28" t="s">
        <v>105</v>
      </c>
      <c r="J246" s="28" t="s">
        <v>121</v>
      </c>
      <c r="K246" s="30" t="s">
        <v>107</v>
      </c>
    </row>
    <row r="247" spans="2:12">
      <c r="C247" s="165" t="s">
        <v>741</v>
      </c>
      <c r="D247" s="165"/>
      <c r="E247" s="165"/>
      <c r="F247" s="31">
        <v>13</v>
      </c>
      <c r="G247" s="31">
        <v>1.1000000000000001</v>
      </c>
      <c r="H247" s="31">
        <v>1.5</v>
      </c>
      <c r="I247" s="31"/>
      <c r="J247" s="31"/>
      <c r="K247" s="32">
        <f>H247*G247*F247</f>
        <v>21.450000000000003</v>
      </c>
    </row>
    <row r="248" spans="2:12">
      <c r="C248" s="166" t="s">
        <v>110</v>
      </c>
      <c r="D248" s="166"/>
      <c r="E248" s="166"/>
      <c r="F248" s="166"/>
      <c r="G248" s="166"/>
      <c r="H248" s="166"/>
      <c r="I248" s="166"/>
      <c r="J248" s="166"/>
      <c r="K248" s="33">
        <f>SUM(K247:K247)</f>
        <v>21.450000000000003</v>
      </c>
    </row>
    <row r="249" spans="2:12" ht="15.6" customHeight="1">
      <c r="C249" s="41"/>
      <c r="D249" s="41"/>
      <c r="E249" s="41"/>
      <c r="F249" s="41"/>
      <c r="G249" s="41"/>
      <c r="H249" s="41"/>
      <c r="I249" s="41"/>
      <c r="J249" s="41"/>
      <c r="K249" s="42"/>
    </row>
    <row r="250" spans="2:12">
      <c r="B250" s="34" t="s">
        <v>742</v>
      </c>
      <c r="C250" s="168" t="str">
        <f>'[3]VOVO PESSOINHA'!D62</f>
        <v>DIVERSOS</v>
      </c>
      <c r="D250" s="168"/>
      <c r="E250" s="168"/>
      <c r="F250" s="168"/>
      <c r="G250" s="168"/>
      <c r="H250" s="168"/>
      <c r="I250" s="168"/>
      <c r="J250" s="168"/>
      <c r="K250" s="168"/>
      <c r="L250" s="168"/>
    </row>
    <row r="251" spans="2:12" ht="33" customHeight="1">
      <c r="B251" s="19" t="s">
        <v>743</v>
      </c>
      <c r="C251" s="169" t="str">
        <f>'[3]VOVO PESSOINHA'!D63</f>
        <v>IMPERMEABILIZAÇÃO DE SUPERFÍCIE COM EMULSÃO ASFÁLTICA, 2 DEMÃOS AF_06/2018</v>
      </c>
      <c r="D251" s="169"/>
      <c r="E251" s="169"/>
      <c r="F251" s="169"/>
      <c r="G251" s="169"/>
      <c r="H251" s="169"/>
      <c r="I251" s="169"/>
      <c r="J251" s="169"/>
      <c r="K251" s="36" t="str">
        <f>'[3]VOVO PESSOINHA'!E63</f>
        <v>M2</v>
      </c>
      <c r="L251" s="27">
        <f>K254</f>
        <v>34</v>
      </c>
    </row>
    <row r="252" spans="2:12">
      <c r="C252" s="167" t="s">
        <v>113</v>
      </c>
      <c r="D252" s="167"/>
      <c r="E252" s="167"/>
      <c r="F252" s="29" t="s">
        <v>102</v>
      </c>
      <c r="G252" s="28" t="s">
        <v>103</v>
      </c>
      <c r="H252" s="29" t="s">
        <v>104</v>
      </c>
      <c r="I252" s="28" t="s">
        <v>105</v>
      </c>
      <c r="J252" s="28" t="s">
        <v>115</v>
      </c>
      <c r="K252" s="30" t="s">
        <v>107</v>
      </c>
    </row>
    <row r="253" spans="2:12" ht="14.4" customHeight="1">
      <c r="C253" s="165" t="s">
        <v>744</v>
      </c>
      <c r="D253" s="165"/>
      <c r="E253" s="165"/>
      <c r="F253" s="31"/>
      <c r="G253" s="31"/>
      <c r="H253" s="31"/>
      <c r="I253" s="31"/>
      <c r="J253" s="31">
        <f>'[3]VOVO PESSOINHA'!F63</f>
        <v>34</v>
      </c>
      <c r="K253" s="32">
        <f>J253</f>
        <v>34</v>
      </c>
    </row>
    <row r="254" spans="2:12">
      <c r="C254" s="166" t="s">
        <v>110</v>
      </c>
      <c r="D254" s="166"/>
      <c r="E254" s="166"/>
      <c r="F254" s="166"/>
      <c r="G254" s="166"/>
      <c r="H254" s="166"/>
      <c r="I254" s="166"/>
      <c r="J254" s="166"/>
      <c r="K254" s="33">
        <f>SUM(K253:K253)</f>
        <v>34</v>
      </c>
    </row>
    <row r="256" spans="2:12" ht="45" customHeight="1">
      <c r="B256" s="19" t="s">
        <v>745</v>
      </c>
      <c r="C256" s="169" t="str">
        <f>'[3]VOVO PESSOINHA'!D64</f>
        <v>FORRO EM RÉGUAS DE PVC, FRISADO, PARA AMBIENTES COMERCIAIS, INCLUSIVE ESTRUTURA DE FIXAÇÃO. AF_05/2017_PS</v>
      </c>
      <c r="D256" s="169"/>
      <c r="E256" s="169"/>
      <c r="F256" s="169"/>
      <c r="G256" s="169"/>
      <c r="H256" s="169"/>
      <c r="I256" s="169"/>
      <c r="J256" s="169"/>
      <c r="K256" s="36" t="str">
        <f>'[3]VOVO PESSOINHA'!E64</f>
        <v>M2</v>
      </c>
      <c r="L256" s="27">
        <f>K259</f>
        <v>256</v>
      </c>
    </row>
    <row r="257" spans="2:12">
      <c r="C257" s="167" t="s">
        <v>113</v>
      </c>
      <c r="D257" s="167"/>
      <c r="E257" s="167"/>
      <c r="F257" s="29" t="s">
        <v>102</v>
      </c>
      <c r="G257" s="28" t="s">
        <v>103</v>
      </c>
      <c r="H257" s="29" t="s">
        <v>104</v>
      </c>
      <c r="I257" s="28" t="s">
        <v>105</v>
      </c>
      <c r="J257" s="28" t="s">
        <v>115</v>
      </c>
      <c r="K257" s="30" t="s">
        <v>107</v>
      </c>
    </row>
    <row r="258" spans="2:12">
      <c r="C258" s="165" t="s">
        <v>737</v>
      </c>
      <c r="D258" s="165"/>
      <c r="E258" s="165"/>
      <c r="F258" s="31">
        <v>1</v>
      </c>
      <c r="G258" s="31"/>
      <c r="H258" s="31"/>
      <c r="I258" s="31"/>
      <c r="J258" s="31">
        <f>'[3]VOVO PESSOINHA'!F64</f>
        <v>256</v>
      </c>
      <c r="K258" s="32">
        <f>J258</f>
        <v>256</v>
      </c>
    </row>
    <row r="259" spans="2:12">
      <c r="C259" s="166" t="s">
        <v>110</v>
      </c>
      <c r="D259" s="166"/>
      <c r="E259" s="166"/>
      <c r="F259" s="166"/>
      <c r="G259" s="166"/>
      <c r="H259" s="166"/>
      <c r="I259" s="166"/>
      <c r="J259" s="166"/>
      <c r="K259" s="33">
        <f>SUM(K258:K258)</f>
        <v>256</v>
      </c>
    </row>
    <row r="260" spans="2:12">
      <c r="C260" s="41"/>
      <c r="D260" s="41"/>
      <c r="E260" s="41"/>
      <c r="F260" s="41"/>
      <c r="G260" s="41"/>
      <c r="H260" s="41"/>
      <c r="I260" s="41"/>
      <c r="J260" s="41"/>
      <c r="K260" s="42"/>
    </row>
    <row r="261" spans="2:12" ht="40.950000000000003" customHeight="1">
      <c r="B261" s="19" t="s">
        <v>746</v>
      </c>
      <c r="C261" s="169" t="str">
        <f>'[3]VOVO PESSOINHA'!D65</f>
        <v>GRADIL EM FERRO FIXADO EM VÃOS DE JANELAS, FORMADO POR BARRAS CHATAS DE 25X4,8 MM. AF_04/2019</v>
      </c>
      <c r="D261" s="169"/>
      <c r="E261" s="169"/>
      <c r="F261" s="169"/>
      <c r="G261" s="169"/>
      <c r="H261" s="169"/>
      <c r="I261" s="169"/>
      <c r="J261" s="169"/>
      <c r="K261" s="36" t="str">
        <f>'[3]VOVO PESSOINHA'!E65</f>
        <v>M2</v>
      </c>
      <c r="L261" s="27">
        <f>K264</f>
        <v>9.6</v>
      </c>
    </row>
    <row r="262" spans="2:12">
      <c r="C262" s="167" t="s">
        <v>113</v>
      </c>
      <c r="D262" s="167"/>
      <c r="E262" s="167"/>
      <c r="F262" s="29" t="s">
        <v>102</v>
      </c>
      <c r="G262" s="28" t="s">
        <v>103</v>
      </c>
      <c r="H262" s="29" t="s">
        <v>104</v>
      </c>
      <c r="I262" s="28" t="s">
        <v>105</v>
      </c>
      <c r="J262" s="28" t="s">
        <v>121</v>
      </c>
      <c r="K262" s="30" t="s">
        <v>107</v>
      </c>
    </row>
    <row r="263" spans="2:12">
      <c r="C263" s="165" t="s">
        <v>747</v>
      </c>
      <c r="D263" s="165"/>
      <c r="E263" s="165"/>
      <c r="F263" s="31">
        <v>5</v>
      </c>
      <c r="G263" s="31">
        <v>1.2</v>
      </c>
      <c r="H263" s="31">
        <v>1.6</v>
      </c>
      <c r="I263" s="31"/>
      <c r="J263" s="31"/>
      <c r="K263" s="32">
        <f>H263*G263*F263</f>
        <v>9.6</v>
      </c>
    </row>
    <row r="264" spans="2:12">
      <c r="C264" s="166" t="s">
        <v>110</v>
      </c>
      <c r="D264" s="166"/>
      <c r="E264" s="166"/>
      <c r="F264" s="166"/>
      <c r="G264" s="166"/>
      <c r="H264" s="166"/>
      <c r="I264" s="166"/>
      <c r="J264" s="166"/>
      <c r="K264" s="33">
        <f>SUM(K263:K263)</f>
        <v>9.6</v>
      </c>
    </row>
    <row r="265" spans="2:12">
      <c r="C265" s="41"/>
      <c r="D265" s="41"/>
      <c r="E265" s="41"/>
      <c r="F265" s="41"/>
      <c r="G265" s="41"/>
      <c r="H265" s="41"/>
      <c r="I265" s="41"/>
      <c r="J265" s="41"/>
      <c r="K265" s="42"/>
    </row>
    <row r="266" spans="2:12" ht="14.4" customHeight="1">
      <c r="B266" s="19" t="s">
        <v>748</v>
      </c>
      <c r="C266" s="169" t="str">
        <f>'[3]VOVO PESSOINHA'!D66</f>
        <v>PORTÃO EM TUBO DE AÇO GALVANIZADO COM QUADRO DE DN 1, E VERTICAIS DE DN 1/2</v>
      </c>
      <c r="D266" s="169"/>
      <c r="E266" s="169"/>
      <c r="F266" s="169"/>
      <c r="G266" s="169"/>
      <c r="H266" s="169"/>
      <c r="I266" s="169"/>
      <c r="J266" s="169"/>
      <c r="K266" s="36" t="str">
        <f>'[3]VOVO PESSOINHA'!E66</f>
        <v>M2</v>
      </c>
      <c r="L266" s="27">
        <f>K269</f>
        <v>9.2399999999999984</v>
      </c>
    </row>
    <row r="267" spans="2:12">
      <c r="C267" s="167" t="s">
        <v>113</v>
      </c>
      <c r="D267" s="167"/>
      <c r="E267" s="167"/>
      <c r="F267" s="29" t="s">
        <v>102</v>
      </c>
      <c r="G267" s="28" t="s">
        <v>103</v>
      </c>
      <c r="H267" s="29" t="s">
        <v>104</v>
      </c>
      <c r="I267" s="28" t="s">
        <v>105</v>
      </c>
      <c r="J267" s="28" t="s">
        <v>121</v>
      </c>
      <c r="K267" s="30" t="s">
        <v>107</v>
      </c>
    </row>
    <row r="268" spans="2:12">
      <c r="C268" s="165" t="s">
        <v>749</v>
      </c>
      <c r="D268" s="165"/>
      <c r="E268" s="165"/>
      <c r="F268" s="31">
        <v>1</v>
      </c>
      <c r="G268" s="31">
        <v>2.8</v>
      </c>
      <c r="H268" s="31">
        <v>3.3</v>
      </c>
      <c r="I268" s="31"/>
      <c r="J268" s="31"/>
      <c r="K268" s="32">
        <f>H268*G268*F268</f>
        <v>9.2399999999999984</v>
      </c>
    </row>
    <row r="269" spans="2:12">
      <c r="C269" s="166" t="s">
        <v>110</v>
      </c>
      <c r="D269" s="166"/>
      <c r="E269" s="166"/>
      <c r="F269" s="166"/>
      <c r="G269" s="166"/>
      <c r="H269" s="166"/>
      <c r="I269" s="166"/>
      <c r="J269" s="166"/>
      <c r="K269" s="33">
        <f>SUM(K268:K268)</f>
        <v>9.2399999999999984</v>
      </c>
    </row>
    <row r="270" spans="2:12">
      <c r="C270" s="41"/>
      <c r="D270" s="41"/>
      <c r="E270" s="41"/>
      <c r="F270" s="41"/>
      <c r="G270" s="41"/>
      <c r="H270" s="41"/>
      <c r="I270" s="41"/>
      <c r="J270" s="41"/>
      <c r="K270" s="42"/>
    </row>
    <row r="271" spans="2:12" ht="14.4" customHeight="1">
      <c r="B271" s="19" t="s">
        <v>750</v>
      </c>
      <c r="C271" s="169" t="str">
        <f>'[3]VOVO PESSOINHA'!D67</f>
        <v>PRATELEIRA EM COMPENSADO REVESTIDA COM FÓRMICA</v>
      </c>
      <c r="D271" s="169"/>
      <c r="E271" s="169"/>
      <c r="F271" s="169"/>
      <c r="G271" s="169"/>
      <c r="H271" s="169"/>
      <c r="I271" s="169"/>
      <c r="J271" s="169"/>
      <c r="K271" s="36" t="str">
        <f>'[3]VOVO PESSOINHA'!E67</f>
        <v>M2</v>
      </c>
      <c r="L271" s="27">
        <f>K274</f>
        <v>5.6400000000000006</v>
      </c>
    </row>
    <row r="272" spans="2:12">
      <c r="C272" s="167" t="s">
        <v>113</v>
      </c>
      <c r="D272" s="167"/>
      <c r="E272" s="167"/>
      <c r="F272" s="29" t="s">
        <v>102</v>
      </c>
      <c r="G272" s="28" t="s">
        <v>103</v>
      </c>
      <c r="H272" s="29" t="s">
        <v>104</v>
      </c>
      <c r="I272" s="28" t="s">
        <v>105</v>
      </c>
      <c r="J272" s="28" t="s">
        <v>121</v>
      </c>
      <c r="K272" s="30" t="s">
        <v>107</v>
      </c>
    </row>
    <row r="273" spans="2:12">
      <c r="C273" s="165" t="s">
        <v>714</v>
      </c>
      <c r="D273" s="165"/>
      <c r="E273" s="165"/>
      <c r="F273" s="31">
        <v>3</v>
      </c>
      <c r="G273" s="31"/>
      <c r="H273" s="31">
        <v>0.4</v>
      </c>
      <c r="I273" s="31">
        <v>4.7</v>
      </c>
      <c r="J273" s="31"/>
      <c r="K273" s="32">
        <f>I273*H273*F273</f>
        <v>5.6400000000000006</v>
      </c>
    </row>
    <row r="274" spans="2:12">
      <c r="C274" s="166" t="s">
        <v>110</v>
      </c>
      <c r="D274" s="166"/>
      <c r="E274" s="166"/>
      <c r="F274" s="166"/>
      <c r="G274" s="166"/>
      <c r="H274" s="166"/>
      <c r="I274" s="166"/>
      <c r="J274" s="166"/>
      <c r="K274" s="33">
        <f>SUM(K273:K273)</f>
        <v>5.6400000000000006</v>
      </c>
    </row>
    <row r="275" spans="2:12">
      <c r="C275" s="41"/>
      <c r="D275" s="41"/>
      <c r="E275" s="41"/>
      <c r="F275" s="41"/>
      <c r="G275" s="41"/>
      <c r="H275" s="41"/>
      <c r="I275" s="41"/>
      <c r="J275" s="41"/>
      <c r="K275" s="42"/>
    </row>
    <row r="276" spans="2:12" ht="15" customHeight="1">
      <c r="B276" s="34" t="s">
        <v>751</v>
      </c>
      <c r="C276" s="168" t="str">
        <f>'[3]VOVO PESSOINHA'!D68</f>
        <v>DIVERSOS</v>
      </c>
      <c r="D276" s="168"/>
      <c r="E276" s="168"/>
      <c r="F276" s="168"/>
      <c r="G276" s="168"/>
      <c r="H276" s="168"/>
      <c r="I276" s="168"/>
      <c r="J276" s="168"/>
      <c r="K276" s="168"/>
      <c r="L276" s="168"/>
    </row>
    <row r="277" spans="2:12" ht="31.2" customHeight="1">
      <c r="B277" s="19" t="s">
        <v>752</v>
      </c>
      <c r="C277" s="169" t="str">
        <f>'[3]VOVO PESSOINHA'!D69</f>
        <v>LIMPEZA GERAL</v>
      </c>
      <c r="D277" s="169"/>
      <c r="E277" s="169"/>
      <c r="F277" s="169"/>
      <c r="G277" s="169"/>
      <c r="H277" s="169"/>
      <c r="I277" s="169"/>
      <c r="J277" s="169"/>
      <c r="K277" s="36" t="str">
        <f>'[3]VOVO PESSOINHA'!E69</f>
        <v>M2</v>
      </c>
      <c r="L277" s="27">
        <f>K280</f>
        <v>561</v>
      </c>
    </row>
    <row r="278" spans="2:12">
      <c r="C278" s="167" t="s">
        <v>113</v>
      </c>
      <c r="D278" s="167"/>
      <c r="E278" s="167"/>
      <c r="F278" s="29" t="s">
        <v>102</v>
      </c>
      <c r="G278" s="28" t="s">
        <v>103</v>
      </c>
      <c r="H278" s="29" t="s">
        <v>104</v>
      </c>
      <c r="I278" s="28" t="s">
        <v>105</v>
      </c>
      <c r="J278" s="28" t="s">
        <v>115</v>
      </c>
      <c r="K278" s="30" t="s">
        <v>107</v>
      </c>
    </row>
    <row r="279" spans="2:12">
      <c r="C279" s="165" t="s">
        <v>753</v>
      </c>
      <c r="D279" s="165"/>
      <c r="E279" s="165"/>
      <c r="F279" s="31"/>
      <c r="G279" s="31"/>
      <c r="H279" s="31"/>
      <c r="I279" s="31"/>
      <c r="J279" s="31">
        <f>'[3]VOVO PESSOINHA'!F69</f>
        <v>561</v>
      </c>
      <c r="K279" s="32">
        <f>J279</f>
        <v>561</v>
      </c>
    </row>
    <row r="280" spans="2:12">
      <c r="C280" s="166" t="s">
        <v>110</v>
      </c>
      <c r="D280" s="166"/>
      <c r="E280" s="166"/>
      <c r="F280" s="166"/>
      <c r="G280" s="166"/>
      <c r="H280" s="166"/>
      <c r="I280" s="166"/>
      <c r="J280" s="166"/>
      <c r="K280" s="33">
        <f>SUM(K279:K279)</f>
        <v>561</v>
      </c>
    </row>
  </sheetData>
  <mergeCells count="230">
    <mergeCell ref="B2:C5"/>
    <mergeCell ref="D2:I2"/>
    <mergeCell ref="J2:L5"/>
    <mergeCell ref="D3:I3"/>
    <mergeCell ref="D4:I5"/>
    <mergeCell ref="C13:J13"/>
    <mergeCell ref="C14:E14"/>
    <mergeCell ref="C15:E15"/>
    <mergeCell ref="C16:E16"/>
    <mergeCell ref="C17:J17"/>
    <mergeCell ref="C19:J19"/>
    <mergeCell ref="C7:J7"/>
    <mergeCell ref="C8:J8"/>
    <mergeCell ref="C9:E9"/>
    <mergeCell ref="C10:E10"/>
    <mergeCell ref="C11:J11"/>
    <mergeCell ref="C27:E27"/>
    <mergeCell ref="C28:J28"/>
    <mergeCell ref="C30:L30"/>
    <mergeCell ref="C31:J31"/>
    <mergeCell ref="C32:E32"/>
    <mergeCell ref="C33:E33"/>
    <mergeCell ref="C20:E20"/>
    <mergeCell ref="C21:E21"/>
    <mergeCell ref="C22:E22"/>
    <mergeCell ref="C23:J23"/>
    <mergeCell ref="C25:J25"/>
    <mergeCell ref="C26:E26"/>
    <mergeCell ref="C41:E41"/>
    <mergeCell ref="C42:E42"/>
    <mergeCell ref="C43:E43"/>
    <mergeCell ref="C44:J44"/>
    <mergeCell ref="C46:L46"/>
    <mergeCell ref="C47:J47"/>
    <mergeCell ref="C34:E34"/>
    <mergeCell ref="C35:J35"/>
    <mergeCell ref="C37:J37"/>
    <mergeCell ref="C38:E38"/>
    <mergeCell ref="C39:E39"/>
    <mergeCell ref="C40:E40"/>
    <mergeCell ref="C55:J55"/>
    <mergeCell ref="C57:L57"/>
    <mergeCell ref="C58:J58"/>
    <mergeCell ref="C59:E59"/>
    <mergeCell ref="C60:E60"/>
    <mergeCell ref="C61:E61"/>
    <mergeCell ref="C48:E48"/>
    <mergeCell ref="C49:E49"/>
    <mergeCell ref="C50:J50"/>
    <mergeCell ref="C52:J52"/>
    <mergeCell ref="C53:E53"/>
    <mergeCell ref="C54:E54"/>
    <mergeCell ref="C70:J70"/>
    <mergeCell ref="C71:E71"/>
    <mergeCell ref="C72:E72"/>
    <mergeCell ref="C73:J73"/>
    <mergeCell ref="C75:J75"/>
    <mergeCell ref="C76:E76"/>
    <mergeCell ref="C62:J62"/>
    <mergeCell ref="C64:J64"/>
    <mergeCell ref="C65:E65"/>
    <mergeCell ref="C66:E66"/>
    <mergeCell ref="C67:E67"/>
    <mergeCell ref="C68:J68"/>
    <mergeCell ref="C84:J84"/>
    <mergeCell ref="C86:J86"/>
    <mergeCell ref="C87:E87"/>
    <mergeCell ref="C88:E88"/>
    <mergeCell ref="C89:J89"/>
    <mergeCell ref="C90:K90"/>
    <mergeCell ref="C77:E77"/>
    <mergeCell ref="C78:J78"/>
    <mergeCell ref="C80:L80"/>
    <mergeCell ref="C81:J81"/>
    <mergeCell ref="C82:E82"/>
    <mergeCell ref="C83:E83"/>
    <mergeCell ref="C99:E99"/>
    <mergeCell ref="C100:J100"/>
    <mergeCell ref="C102:J102"/>
    <mergeCell ref="C103:E103"/>
    <mergeCell ref="C104:E104"/>
    <mergeCell ref="C105:J105"/>
    <mergeCell ref="C92:J92"/>
    <mergeCell ref="C93:E93"/>
    <mergeCell ref="C94:E94"/>
    <mergeCell ref="C95:J95"/>
    <mergeCell ref="C97:J97"/>
    <mergeCell ref="C98:E98"/>
    <mergeCell ref="C114:E114"/>
    <mergeCell ref="C115:E115"/>
    <mergeCell ref="C116:J116"/>
    <mergeCell ref="C118:J118"/>
    <mergeCell ref="C119:E119"/>
    <mergeCell ref="C120:E120"/>
    <mergeCell ref="C107:J107"/>
    <mergeCell ref="C108:E108"/>
    <mergeCell ref="C109:E109"/>
    <mergeCell ref="C110:J110"/>
    <mergeCell ref="C112:L112"/>
    <mergeCell ref="C113:J113"/>
    <mergeCell ref="C129:E129"/>
    <mergeCell ref="C130:E130"/>
    <mergeCell ref="C131:J131"/>
    <mergeCell ref="C133:J133"/>
    <mergeCell ref="C134:E134"/>
    <mergeCell ref="C135:E135"/>
    <mergeCell ref="C121:J121"/>
    <mergeCell ref="C123:J123"/>
    <mergeCell ref="C124:E124"/>
    <mergeCell ref="C125:E125"/>
    <mergeCell ref="C126:J126"/>
    <mergeCell ref="C128:J128"/>
    <mergeCell ref="C144:J144"/>
    <mergeCell ref="C145:E145"/>
    <mergeCell ref="C146:E146"/>
    <mergeCell ref="C147:J147"/>
    <mergeCell ref="C149:J149"/>
    <mergeCell ref="C150:E150"/>
    <mergeCell ref="C136:J136"/>
    <mergeCell ref="C138:J138"/>
    <mergeCell ref="C139:E139"/>
    <mergeCell ref="C140:E140"/>
    <mergeCell ref="C141:J141"/>
    <mergeCell ref="C143:L143"/>
    <mergeCell ref="C159:J159"/>
    <mergeCell ref="C160:E160"/>
    <mergeCell ref="C161:E161"/>
    <mergeCell ref="C162:J162"/>
    <mergeCell ref="C164:J164"/>
    <mergeCell ref="C165:E165"/>
    <mergeCell ref="C151:E151"/>
    <mergeCell ref="C152:J152"/>
    <mergeCell ref="C154:J154"/>
    <mergeCell ref="C155:E155"/>
    <mergeCell ref="C156:E156"/>
    <mergeCell ref="C157:J157"/>
    <mergeCell ref="C174:J174"/>
    <mergeCell ref="C175:E175"/>
    <mergeCell ref="C176:E176"/>
    <mergeCell ref="C177:J177"/>
    <mergeCell ref="C179:J179"/>
    <mergeCell ref="C180:E180"/>
    <mergeCell ref="C166:E166"/>
    <mergeCell ref="C167:J167"/>
    <mergeCell ref="C169:J169"/>
    <mergeCell ref="C170:E170"/>
    <mergeCell ref="C171:E171"/>
    <mergeCell ref="C172:J172"/>
    <mergeCell ref="C188:E188"/>
    <mergeCell ref="C189:E189"/>
    <mergeCell ref="C190:J190"/>
    <mergeCell ref="C192:J192"/>
    <mergeCell ref="C193:E193"/>
    <mergeCell ref="C194:E194"/>
    <mergeCell ref="C181:E181"/>
    <mergeCell ref="C182:J182"/>
    <mergeCell ref="C184:L184"/>
    <mergeCell ref="C185:J185"/>
    <mergeCell ref="C186:E186"/>
    <mergeCell ref="C187:E187"/>
    <mergeCell ref="C202:J202"/>
    <mergeCell ref="C204:J204"/>
    <mergeCell ref="C205:E205"/>
    <mergeCell ref="C206:E206"/>
    <mergeCell ref="C207:J207"/>
    <mergeCell ref="C209:J209"/>
    <mergeCell ref="C195:E195"/>
    <mergeCell ref="C196:E196"/>
    <mergeCell ref="C197:J197"/>
    <mergeCell ref="C199:J199"/>
    <mergeCell ref="C200:E200"/>
    <mergeCell ref="C201:E201"/>
    <mergeCell ref="C217:J217"/>
    <mergeCell ref="C219:J219"/>
    <mergeCell ref="C220:E220"/>
    <mergeCell ref="C221:E221"/>
    <mergeCell ref="C222:J222"/>
    <mergeCell ref="C224:J224"/>
    <mergeCell ref="C210:E210"/>
    <mergeCell ref="C211:E211"/>
    <mergeCell ref="C212:J212"/>
    <mergeCell ref="C214:J214"/>
    <mergeCell ref="C215:E215"/>
    <mergeCell ref="C216:E216"/>
    <mergeCell ref="C232:E232"/>
    <mergeCell ref="C233:J233"/>
    <mergeCell ref="C235:J235"/>
    <mergeCell ref="C236:E236"/>
    <mergeCell ref="C237:E237"/>
    <mergeCell ref="C238:J238"/>
    <mergeCell ref="C225:E225"/>
    <mergeCell ref="C226:E226"/>
    <mergeCell ref="C227:J227"/>
    <mergeCell ref="C229:L229"/>
    <mergeCell ref="C230:J230"/>
    <mergeCell ref="C231:E231"/>
    <mergeCell ref="C247:E247"/>
    <mergeCell ref="C248:J248"/>
    <mergeCell ref="C250:L250"/>
    <mergeCell ref="C251:J251"/>
    <mergeCell ref="C252:E252"/>
    <mergeCell ref="C253:E253"/>
    <mergeCell ref="C240:J240"/>
    <mergeCell ref="C241:E241"/>
    <mergeCell ref="C242:E242"/>
    <mergeCell ref="C243:J243"/>
    <mergeCell ref="C245:J245"/>
    <mergeCell ref="C246:E246"/>
    <mergeCell ref="C262:E262"/>
    <mergeCell ref="C263:E263"/>
    <mergeCell ref="C264:J264"/>
    <mergeCell ref="C266:J266"/>
    <mergeCell ref="C267:E267"/>
    <mergeCell ref="C268:E268"/>
    <mergeCell ref="C254:J254"/>
    <mergeCell ref="C256:J256"/>
    <mergeCell ref="C257:E257"/>
    <mergeCell ref="C258:E258"/>
    <mergeCell ref="C259:J259"/>
    <mergeCell ref="C261:J261"/>
    <mergeCell ref="C277:J277"/>
    <mergeCell ref="C278:E278"/>
    <mergeCell ref="C279:E279"/>
    <mergeCell ref="C280:J280"/>
    <mergeCell ref="C269:J269"/>
    <mergeCell ref="C271:J271"/>
    <mergeCell ref="C272:E272"/>
    <mergeCell ref="C273:E273"/>
    <mergeCell ref="C274:J274"/>
    <mergeCell ref="C276:L27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</vt:i4>
      </vt:variant>
    </vt:vector>
  </HeadingPairs>
  <TitlesOfParts>
    <vt:vector size="16" baseType="lpstr">
      <vt:lpstr>LAFAYETE</vt:lpstr>
      <vt:lpstr>COMPOSIÇAO LAFAYETE</vt:lpstr>
      <vt:lpstr>MEMÓRIA DE CÁLCULO LAFAYETE</vt:lpstr>
      <vt:lpstr>MOCINHA BARBALHO</vt:lpstr>
      <vt:lpstr>COMPOSIÇÃO MOCINHA BARBALHO</vt:lpstr>
      <vt:lpstr>MEMÓRIA DE CÁLCULO MOCINHA BARB</vt:lpstr>
      <vt:lpstr>VOVÓ PESSOINHA</vt:lpstr>
      <vt:lpstr>COMPOSIÇÃO VOVÓ PESSOINHA</vt:lpstr>
      <vt:lpstr>MEMÓRIA DE CÁLCULO VOVÓ PESSOIN</vt:lpstr>
      <vt:lpstr>JANDUÍ</vt:lpstr>
      <vt:lpstr>COMPOSIÇÃO JANDUÍ</vt:lpstr>
      <vt:lpstr>MEMÓRIA DE CÁLCULO JANDUÍ</vt:lpstr>
      <vt:lpstr>BDI</vt:lpstr>
      <vt:lpstr>ENCARGOS SOCIAIS</vt:lpstr>
      <vt:lpstr>CRONOGRAMA</vt:lpstr>
      <vt:lpstr>CRONOGRAMA!Area_de_impressao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José Cardoso</cp:lastModifiedBy>
  <cp:revision>0</cp:revision>
  <cp:lastPrinted>2023-02-28T23:52:56Z</cp:lastPrinted>
  <dcterms:created xsi:type="dcterms:W3CDTF">2023-02-28T00:58:11Z</dcterms:created>
  <dcterms:modified xsi:type="dcterms:W3CDTF">2023-03-16T11:06:41Z</dcterms:modified>
</cp:coreProperties>
</file>