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PMI\ORÇAMETOS ESCOLAS COMPLETOS\"/>
    </mc:Choice>
  </mc:AlternateContent>
  <bookViews>
    <workbookView xWindow="0" yWindow="0" windowWidth="20490" windowHeight="7755" tabRatio="978" firstSheet="11" activeTab="21"/>
  </bookViews>
  <sheets>
    <sheet name="ESC. MUN. ANDRE VIDAL" sheetId="2" r:id="rId1"/>
    <sheet name="MEMORIA ANDRE VIDAL" sheetId="4" r:id="rId2"/>
    <sheet name="CRECHE VOVO PESSOINHA" sheetId="14" r:id="rId3"/>
    <sheet name="MEMORIA VOVO PESSOINHHA " sheetId="15" r:id="rId4"/>
    <sheet name="ESC. LAFAYETE NUNES MACHADO" sheetId="9" r:id="rId5"/>
    <sheet name="MEMORIA LAFAYETE" sheetId="11" r:id="rId6"/>
    <sheet name="ESCOLA PASCOAL" sheetId="12" r:id="rId7"/>
    <sheet name="MEMORIA PASCOAL CARRAZONI" sheetId="13" r:id="rId8"/>
    <sheet name="ESCOLA MUNICIPAL DE QUEBEC E Q" sheetId="16" r:id="rId9"/>
    <sheet name="MEMORIA DE CAL QUADRA" sheetId="29" r:id="rId10"/>
    <sheet name="MEMORIA DE CAL QUEBEC" sheetId="17" r:id="rId11"/>
    <sheet name="ESC. MOCINHA BARBALHO" sheetId="30" r:id="rId12"/>
    <sheet name="MEMORIA MOCINHA" sheetId="31" r:id="rId13"/>
    <sheet name="ESC. NIVALDO XAVIER " sheetId="32" r:id="rId14"/>
    <sheet name="MEMORIA NIVALDO" sheetId="35" r:id="rId15"/>
    <sheet name="ESC. JULIO MARIA" sheetId="48" r:id="rId16"/>
    <sheet name="MEMORIA JULIO MARIA" sheetId="49" r:id="rId17"/>
    <sheet name="COMPOSIÇÕES" sheetId="6" r:id="rId18"/>
    <sheet name="RESUMO" sheetId="21" r:id="rId19"/>
    <sheet name="CRONOGRAMA" sheetId="25" r:id="rId20"/>
    <sheet name="ENCARGOS SOCIAIS" sheetId="7" r:id="rId21"/>
    <sheet name="BDI" sheetId="5" r:id="rId22"/>
  </sheets>
  <externalReferences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\C" localSheetId="2">#REF!</definedName>
    <definedName name="\C" localSheetId="19">#REF!</definedName>
    <definedName name="\C" localSheetId="20">#REF!</definedName>
    <definedName name="\C" localSheetId="15">#REF!</definedName>
    <definedName name="\C" localSheetId="4">#REF!</definedName>
    <definedName name="\C" localSheetId="11">#REF!</definedName>
    <definedName name="\C" localSheetId="13">#REF!</definedName>
    <definedName name="\C" localSheetId="8">#REF!</definedName>
    <definedName name="\C" localSheetId="6">#REF!</definedName>
    <definedName name="\C" localSheetId="1">#REF!</definedName>
    <definedName name="\C" localSheetId="9">#REF!</definedName>
    <definedName name="\C" localSheetId="10">#REF!</definedName>
    <definedName name="\C" localSheetId="16">#REF!</definedName>
    <definedName name="\C" localSheetId="5">#REF!</definedName>
    <definedName name="\C" localSheetId="12">#REF!</definedName>
    <definedName name="\C" localSheetId="14">#REF!</definedName>
    <definedName name="\C" localSheetId="7">#REF!</definedName>
    <definedName name="\C" localSheetId="3">#REF!</definedName>
    <definedName name="\C">#REF!</definedName>
    <definedName name="\D" localSheetId="2">#REF!</definedName>
    <definedName name="\D" localSheetId="19">#REF!</definedName>
    <definedName name="\D" localSheetId="20">#REF!</definedName>
    <definedName name="\D" localSheetId="15">#REF!</definedName>
    <definedName name="\D" localSheetId="4">#REF!</definedName>
    <definedName name="\D" localSheetId="11">#REF!</definedName>
    <definedName name="\D" localSheetId="13">#REF!</definedName>
    <definedName name="\D" localSheetId="8">#REF!</definedName>
    <definedName name="\D" localSheetId="6">#REF!</definedName>
    <definedName name="\D" localSheetId="1">#REF!</definedName>
    <definedName name="\D" localSheetId="9">#REF!</definedName>
    <definedName name="\D" localSheetId="10">#REF!</definedName>
    <definedName name="\D" localSheetId="16">#REF!</definedName>
    <definedName name="\D" localSheetId="5">#REF!</definedName>
    <definedName name="\D" localSheetId="12">#REF!</definedName>
    <definedName name="\D" localSheetId="14">#REF!</definedName>
    <definedName name="\D" localSheetId="7">#REF!</definedName>
    <definedName name="\D" localSheetId="3">#REF!</definedName>
    <definedName name="\D">#REF!</definedName>
    <definedName name="\G" localSheetId="2">#REF!</definedName>
    <definedName name="\G" localSheetId="19">#REF!</definedName>
    <definedName name="\G" localSheetId="20">#REF!</definedName>
    <definedName name="\G" localSheetId="15">#REF!</definedName>
    <definedName name="\G" localSheetId="4">#REF!</definedName>
    <definedName name="\G" localSheetId="11">#REF!</definedName>
    <definedName name="\G" localSheetId="13">#REF!</definedName>
    <definedName name="\G" localSheetId="8">#REF!</definedName>
    <definedName name="\G" localSheetId="6">#REF!</definedName>
    <definedName name="\G" localSheetId="1">#REF!</definedName>
    <definedName name="\G" localSheetId="9">#REF!</definedName>
    <definedName name="\G" localSheetId="10">#REF!</definedName>
    <definedName name="\G" localSheetId="16">#REF!</definedName>
    <definedName name="\G" localSheetId="5">#REF!</definedName>
    <definedName name="\G" localSheetId="12">#REF!</definedName>
    <definedName name="\G" localSheetId="14">#REF!</definedName>
    <definedName name="\G" localSheetId="7">#REF!</definedName>
    <definedName name="\G" localSheetId="3">#REF!</definedName>
    <definedName name="\G">#REF!</definedName>
    <definedName name="\I" localSheetId="2">#REF!</definedName>
    <definedName name="\I" localSheetId="19">#REF!</definedName>
    <definedName name="\I" localSheetId="20">#REF!</definedName>
    <definedName name="\I" localSheetId="15">#REF!</definedName>
    <definedName name="\I" localSheetId="4">#REF!</definedName>
    <definedName name="\I" localSheetId="11">#REF!</definedName>
    <definedName name="\I" localSheetId="13">#REF!</definedName>
    <definedName name="\I" localSheetId="8">#REF!</definedName>
    <definedName name="\I" localSheetId="6">#REF!</definedName>
    <definedName name="\I" localSheetId="1">#REF!</definedName>
    <definedName name="\I" localSheetId="9">#REF!</definedName>
    <definedName name="\I" localSheetId="10">#REF!</definedName>
    <definedName name="\I" localSheetId="16">#REF!</definedName>
    <definedName name="\I" localSheetId="5">#REF!</definedName>
    <definedName name="\I" localSheetId="12">#REF!</definedName>
    <definedName name="\I" localSheetId="14">#REF!</definedName>
    <definedName name="\I" localSheetId="7">#REF!</definedName>
    <definedName name="\I" localSheetId="3">#REF!</definedName>
    <definedName name="\I">#REF!</definedName>
    <definedName name="\M" localSheetId="2">#REF!</definedName>
    <definedName name="\M" localSheetId="19">#REF!</definedName>
    <definedName name="\M" localSheetId="20">#REF!</definedName>
    <definedName name="\M" localSheetId="15">#REF!</definedName>
    <definedName name="\M" localSheetId="4">#REF!</definedName>
    <definedName name="\M" localSheetId="11">#REF!</definedName>
    <definedName name="\M" localSheetId="13">#REF!</definedName>
    <definedName name="\M" localSheetId="8">#REF!</definedName>
    <definedName name="\M" localSheetId="6">#REF!</definedName>
    <definedName name="\M" localSheetId="1">#REF!</definedName>
    <definedName name="\M" localSheetId="9">#REF!</definedName>
    <definedName name="\M" localSheetId="10">#REF!</definedName>
    <definedName name="\M" localSheetId="16">#REF!</definedName>
    <definedName name="\M" localSheetId="5">#REF!</definedName>
    <definedName name="\M" localSheetId="12">#REF!</definedName>
    <definedName name="\M" localSheetId="14">#REF!</definedName>
    <definedName name="\M" localSheetId="7">#REF!</definedName>
    <definedName name="\M" localSheetId="3">#REF!</definedName>
    <definedName name="\M">#REF!</definedName>
    <definedName name="\P" localSheetId="2">#REF!</definedName>
    <definedName name="\P" localSheetId="19">#REF!</definedName>
    <definedName name="\P" localSheetId="20">#REF!</definedName>
    <definedName name="\P" localSheetId="15">#REF!</definedName>
    <definedName name="\P" localSheetId="4">#REF!</definedName>
    <definedName name="\P" localSheetId="11">#REF!</definedName>
    <definedName name="\P" localSheetId="13">#REF!</definedName>
    <definedName name="\P" localSheetId="8">#REF!</definedName>
    <definedName name="\P" localSheetId="6">#REF!</definedName>
    <definedName name="\P" localSheetId="1">#REF!</definedName>
    <definedName name="\P" localSheetId="9">#REF!</definedName>
    <definedName name="\P" localSheetId="10">#REF!</definedName>
    <definedName name="\P" localSheetId="16">#REF!</definedName>
    <definedName name="\P" localSheetId="5">#REF!</definedName>
    <definedName name="\P" localSheetId="12">#REF!</definedName>
    <definedName name="\P" localSheetId="14">#REF!</definedName>
    <definedName name="\P" localSheetId="7">#REF!</definedName>
    <definedName name="\P" localSheetId="3">#REF!</definedName>
    <definedName name="\P">#REF!</definedName>
    <definedName name="\R" localSheetId="2">#REF!</definedName>
    <definedName name="\R" localSheetId="19">#REF!</definedName>
    <definedName name="\R" localSheetId="20">#REF!</definedName>
    <definedName name="\R" localSheetId="15">#REF!</definedName>
    <definedName name="\R" localSheetId="4">#REF!</definedName>
    <definedName name="\R" localSheetId="11">#REF!</definedName>
    <definedName name="\R" localSheetId="13">#REF!</definedName>
    <definedName name="\R" localSheetId="8">#REF!</definedName>
    <definedName name="\R" localSheetId="6">#REF!</definedName>
    <definedName name="\R" localSheetId="1">#REF!</definedName>
    <definedName name="\R" localSheetId="9">#REF!</definedName>
    <definedName name="\R" localSheetId="10">#REF!</definedName>
    <definedName name="\R" localSheetId="16">#REF!</definedName>
    <definedName name="\R" localSheetId="5">#REF!</definedName>
    <definedName name="\R" localSheetId="12">#REF!</definedName>
    <definedName name="\R" localSheetId="14">#REF!</definedName>
    <definedName name="\R" localSheetId="7">#REF!</definedName>
    <definedName name="\R" localSheetId="3">#REF!</definedName>
    <definedName name="\R">#REF!</definedName>
    <definedName name="\Y" localSheetId="2">#REF!</definedName>
    <definedName name="\Y" localSheetId="19">#REF!</definedName>
    <definedName name="\Y" localSheetId="20">#REF!</definedName>
    <definedName name="\Y" localSheetId="15">#REF!</definedName>
    <definedName name="\Y" localSheetId="4">#REF!</definedName>
    <definedName name="\Y" localSheetId="11">#REF!</definedName>
    <definedName name="\Y" localSheetId="13">#REF!</definedName>
    <definedName name="\Y" localSheetId="8">#REF!</definedName>
    <definedName name="\Y" localSheetId="6">#REF!</definedName>
    <definedName name="\Y" localSheetId="1">#REF!</definedName>
    <definedName name="\Y" localSheetId="9">#REF!</definedName>
    <definedName name="\Y" localSheetId="10">#REF!</definedName>
    <definedName name="\Y" localSheetId="16">#REF!</definedName>
    <definedName name="\Y" localSheetId="5">#REF!</definedName>
    <definedName name="\Y" localSheetId="12">#REF!</definedName>
    <definedName name="\Y" localSheetId="14">#REF!</definedName>
    <definedName name="\Y" localSheetId="7">#REF!</definedName>
    <definedName name="\Y" localSheetId="3">#REF!</definedName>
    <definedName name="\Y">#REF!</definedName>
    <definedName name="_" localSheetId="2">#REF!</definedName>
    <definedName name="_" localSheetId="19">#REF!</definedName>
    <definedName name="_" localSheetId="20">#REF!</definedName>
    <definedName name="_" localSheetId="15">#REF!</definedName>
    <definedName name="_" localSheetId="4">#REF!</definedName>
    <definedName name="_" localSheetId="11">#REF!</definedName>
    <definedName name="_" localSheetId="13">#REF!</definedName>
    <definedName name="_" localSheetId="8">#REF!</definedName>
    <definedName name="_" localSheetId="6">#REF!</definedName>
    <definedName name="_" localSheetId="1">#REF!</definedName>
    <definedName name="_" localSheetId="9">#REF!</definedName>
    <definedName name="_" localSheetId="10">#REF!</definedName>
    <definedName name="_" localSheetId="16">#REF!</definedName>
    <definedName name="_" localSheetId="5">#REF!</definedName>
    <definedName name="_" localSheetId="12">#REF!</definedName>
    <definedName name="_" localSheetId="14">#REF!</definedName>
    <definedName name="_" localSheetId="7">#REF!</definedName>
    <definedName name="_" localSheetId="3">#REF!</definedName>
    <definedName name="_">#REF!</definedName>
    <definedName name="__bookmark_1">[1]Sheet1!$B$3</definedName>
    <definedName name="__bookmark_10">[1]Sheet1!$E$226</definedName>
    <definedName name="__bookmark_2">[1]Sheet1!$B$4</definedName>
    <definedName name="__bookmark_3">[1]Sheet1!$B$5</definedName>
    <definedName name="__bookmark_4">[1]Sheet1!$B$6</definedName>
    <definedName name="__bookmark_5">[1]Sheet1!$D$6</definedName>
    <definedName name="__bookmark_7">[1]Sheet1!$I$223</definedName>
    <definedName name="__bookmark_8">[1]Sheet1!$E$224</definedName>
    <definedName name="__bookmark_9">[1]Sheet1!$E$225</definedName>
    <definedName name="_FCCEMED_" localSheetId="2">#REF!</definedName>
    <definedName name="_FCCEMED_" localSheetId="19">#REF!</definedName>
    <definedName name="_FCCEMED_" localSheetId="20">#REF!</definedName>
    <definedName name="_FCCEMED_" localSheetId="15">#REF!</definedName>
    <definedName name="_FCCEMED_" localSheetId="4">#REF!</definedName>
    <definedName name="_FCCEMED_" localSheetId="11">#REF!</definedName>
    <definedName name="_FCCEMED_" localSheetId="13">#REF!</definedName>
    <definedName name="_FCCEMED_" localSheetId="8">#REF!</definedName>
    <definedName name="_FCCEMED_" localSheetId="6">#REF!</definedName>
    <definedName name="_FCCEMED_" localSheetId="1">#REF!</definedName>
    <definedName name="_FCCEMED_" localSheetId="9">#REF!</definedName>
    <definedName name="_FCCEMED_" localSheetId="10">#REF!</definedName>
    <definedName name="_FCCEMED_" localSheetId="16">#REF!</definedName>
    <definedName name="_FCCEMED_" localSheetId="5">#REF!</definedName>
    <definedName name="_FCCEMED_" localSheetId="12">#REF!</definedName>
    <definedName name="_FCCEMED_" localSheetId="14">#REF!</definedName>
    <definedName name="_FCCEMED_" localSheetId="7">#REF!</definedName>
    <definedName name="_FCCEMED_" localSheetId="3">#REF!</definedName>
    <definedName name="_FCCEMED_">#REF!</definedName>
    <definedName name="_Fill" localSheetId="13" hidden="1">#REF!</definedName>
    <definedName name="_Fill" localSheetId="9" hidden="1">#REF!</definedName>
    <definedName name="_Fill" localSheetId="14" hidden="1">#REF!</definedName>
    <definedName name="_Fill" hidden="1">#REF!</definedName>
    <definedName name="_GOTO_D1_" localSheetId="2">#REF!</definedName>
    <definedName name="_GOTO_D1_" localSheetId="19">#REF!</definedName>
    <definedName name="_GOTO_D1_" localSheetId="20">#REF!</definedName>
    <definedName name="_GOTO_D1_" localSheetId="15">#REF!</definedName>
    <definedName name="_GOTO_D1_" localSheetId="4">#REF!</definedName>
    <definedName name="_GOTO_D1_" localSheetId="11">#REF!</definedName>
    <definedName name="_GOTO_D1_" localSheetId="13">#REF!</definedName>
    <definedName name="_GOTO_D1_" localSheetId="8">#REF!</definedName>
    <definedName name="_GOTO_D1_" localSheetId="6">#REF!</definedName>
    <definedName name="_GOTO_D1_" localSheetId="1">#REF!</definedName>
    <definedName name="_GOTO_D1_" localSheetId="9">#REF!</definedName>
    <definedName name="_GOTO_D1_" localSheetId="10">#REF!</definedName>
    <definedName name="_GOTO_D1_" localSheetId="16">#REF!</definedName>
    <definedName name="_GOTO_D1_" localSheetId="5">#REF!</definedName>
    <definedName name="_GOTO_D1_" localSheetId="12">#REF!</definedName>
    <definedName name="_GOTO_D1_" localSheetId="14">#REF!</definedName>
    <definedName name="_GOTO_D1_" localSheetId="7">#REF!</definedName>
    <definedName name="_GOTO_D1_" localSheetId="3">#REF!</definedName>
    <definedName name="_GOTO_D1_">#REF!</definedName>
    <definedName name="_GOTO_E1_" localSheetId="2">#REF!</definedName>
    <definedName name="_GOTO_E1_" localSheetId="19">#REF!</definedName>
    <definedName name="_GOTO_E1_" localSheetId="20">#REF!</definedName>
    <definedName name="_GOTO_E1_" localSheetId="15">#REF!</definedName>
    <definedName name="_GOTO_E1_" localSheetId="4">#REF!</definedName>
    <definedName name="_GOTO_E1_" localSheetId="11">#REF!</definedName>
    <definedName name="_GOTO_E1_" localSheetId="13">#REF!</definedName>
    <definedName name="_GOTO_E1_" localSheetId="8">#REF!</definedName>
    <definedName name="_GOTO_E1_" localSheetId="6">#REF!</definedName>
    <definedName name="_GOTO_E1_" localSheetId="1">#REF!</definedName>
    <definedName name="_GOTO_E1_" localSheetId="9">#REF!</definedName>
    <definedName name="_GOTO_E1_" localSheetId="10">#REF!</definedName>
    <definedName name="_GOTO_E1_" localSheetId="16">#REF!</definedName>
    <definedName name="_GOTO_E1_" localSheetId="5">#REF!</definedName>
    <definedName name="_GOTO_E1_" localSheetId="12">#REF!</definedName>
    <definedName name="_GOTO_E1_" localSheetId="14">#REF!</definedName>
    <definedName name="_GOTO_E1_" localSheetId="7">#REF!</definedName>
    <definedName name="_GOTO_E1_" localSheetId="3">#REF!</definedName>
    <definedName name="_GOTO_E1_">#REF!</definedName>
    <definedName name="_GOTO_N1_" localSheetId="2">#REF!</definedName>
    <definedName name="_GOTO_N1_" localSheetId="19">#REF!</definedName>
    <definedName name="_GOTO_N1_" localSheetId="20">#REF!</definedName>
    <definedName name="_GOTO_N1_" localSheetId="15">#REF!</definedName>
    <definedName name="_GOTO_N1_" localSheetId="4">#REF!</definedName>
    <definedName name="_GOTO_N1_" localSheetId="11">#REF!</definedName>
    <definedName name="_GOTO_N1_" localSheetId="13">#REF!</definedName>
    <definedName name="_GOTO_N1_" localSheetId="8">#REF!</definedName>
    <definedName name="_GOTO_N1_" localSheetId="6">#REF!</definedName>
    <definedName name="_GOTO_N1_" localSheetId="1">#REF!</definedName>
    <definedName name="_GOTO_N1_" localSheetId="9">#REF!</definedName>
    <definedName name="_GOTO_N1_" localSheetId="10">#REF!</definedName>
    <definedName name="_GOTO_N1_" localSheetId="16">#REF!</definedName>
    <definedName name="_GOTO_N1_" localSheetId="5">#REF!</definedName>
    <definedName name="_GOTO_N1_" localSheetId="12">#REF!</definedName>
    <definedName name="_GOTO_N1_" localSheetId="14">#REF!</definedName>
    <definedName name="_GOTO_N1_" localSheetId="7">#REF!</definedName>
    <definedName name="_GOTO_N1_" localSheetId="3">#REF!</definedName>
    <definedName name="_GOTO_N1_">#REF!</definedName>
    <definedName name="_HOME__" localSheetId="2">#REF!</definedName>
    <definedName name="_HOME__" localSheetId="19">#REF!</definedName>
    <definedName name="_HOME__" localSheetId="20">#REF!</definedName>
    <definedName name="_HOME__" localSheetId="15">#REF!</definedName>
    <definedName name="_HOME__" localSheetId="4">#REF!</definedName>
    <definedName name="_HOME__" localSheetId="11">#REF!</definedName>
    <definedName name="_HOME__" localSheetId="13">#REF!</definedName>
    <definedName name="_HOME__" localSheetId="8">#REF!</definedName>
    <definedName name="_HOME__" localSheetId="6">#REF!</definedName>
    <definedName name="_HOME__" localSheetId="1">#REF!</definedName>
    <definedName name="_HOME__" localSheetId="9">#REF!</definedName>
    <definedName name="_HOME__" localSheetId="10">#REF!</definedName>
    <definedName name="_HOME__" localSheetId="16">#REF!</definedName>
    <definedName name="_HOME__" localSheetId="5">#REF!</definedName>
    <definedName name="_HOME__" localSheetId="12">#REF!</definedName>
    <definedName name="_HOME__" localSheetId="14">#REF!</definedName>
    <definedName name="_HOME__" localSheetId="7">#REF!</definedName>
    <definedName name="_HOME__" localSheetId="3">#REF!</definedName>
    <definedName name="_HOME__">#REF!</definedName>
    <definedName name="_Key1" localSheetId="2" hidden="1">#REF!</definedName>
    <definedName name="_Key1" localSheetId="19" hidden="1">#REF!</definedName>
    <definedName name="_Key1" localSheetId="20" hidden="1">#REF!</definedName>
    <definedName name="_Key1" localSheetId="15" hidden="1">#REF!</definedName>
    <definedName name="_Key1" localSheetId="4" hidden="1">#REF!</definedName>
    <definedName name="_Key1" localSheetId="11" hidden="1">#REF!</definedName>
    <definedName name="_Key1" localSheetId="13" hidden="1">#REF!</definedName>
    <definedName name="_Key1" localSheetId="8" hidden="1">#REF!</definedName>
    <definedName name="_Key1" localSheetId="6" hidden="1">#REF!</definedName>
    <definedName name="_Key1" localSheetId="1" hidden="1">#REF!</definedName>
    <definedName name="_Key1" localSheetId="9" hidden="1">#REF!</definedName>
    <definedName name="_Key1" localSheetId="10" hidden="1">#REF!</definedName>
    <definedName name="_Key1" localSheetId="16" hidden="1">#REF!</definedName>
    <definedName name="_Key1" localSheetId="5" hidden="1">#REF!</definedName>
    <definedName name="_Key1" localSheetId="12" hidden="1">#REF!</definedName>
    <definedName name="_Key1" localSheetId="14" hidden="1">#REF!</definedName>
    <definedName name="_Key1" localSheetId="7" hidden="1">#REF!</definedName>
    <definedName name="_Key1" localSheetId="3" hidden="1">#REF!</definedName>
    <definedName name="_Key1" hidden="1">#REF!</definedName>
    <definedName name="_Key2" localSheetId="13" hidden="1">#REF!</definedName>
    <definedName name="_Key2" localSheetId="9" hidden="1">#REF!</definedName>
    <definedName name="_Key2" localSheetId="14" hidden="1">#REF!</definedName>
    <definedName name="_Key2" hidden="1">#REF!</definedName>
    <definedName name="_Order1" hidden="1">255</definedName>
    <definedName name="_Order2" hidden="1">255</definedName>
    <definedName name="_PPOS015Q_AGPQ_" localSheetId="2">#REF!</definedName>
    <definedName name="_PPOS015Q_AGPQ_" localSheetId="19">#REF!</definedName>
    <definedName name="_PPOS015Q_AGPQ_" localSheetId="20">#REF!</definedName>
    <definedName name="_PPOS015Q_AGPQ_" localSheetId="15">#REF!</definedName>
    <definedName name="_PPOS015Q_AGPQ_" localSheetId="4">#REF!</definedName>
    <definedName name="_PPOS015Q_AGPQ_" localSheetId="11">#REF!</definedName>
    <definedName name="_PPOS015Q_AGPQ_" localSheetId="13">#REF!</definedName>
    <definedName name="_PPOS015Q_AGPQ_" localSheetId="8">#REF!</definedName>
    <definedName name="_PPOS015Q_AGPQ_" localSheetId="6">#REF!</definedName>
    <definedName name="_PPOS015Q_AGPQ_" localSheetId="1">#REF!</definedName>
    <definedName name="_PPOS015Q_AGPQ_" localSheetId="9">#REF!</definedName>
    <definedName name="_PPOS015Q_AGPQ_" localSheetId="10">#REF!</definedName>
    <definedName name="_PPOS015Q_AGPQ_" localSheetId="16">#REF!</definedName>
    <definedName name="_PPOS015Q_AGPQ_" localSheetId="5">#REF!</definedName>
    <definedName name="_PPOS015Q_AGPQ_" localSheetId="12">#REF!</definedName>
    <definedName name="_PPOS015Q_AGPQ_" localSheetId="14">#REF!</definedName>
    <definedName name="_PPOS015Q_AGPQ_" localSheetId="7">#REF!</definedName>
    <definedName name="_PPOS015Q_AGPQ_" localSheetId="3">#REF!</definedName>
    <definedName name="_PPOS015Q_AGPQ_">#REF!</definedName>
    <definedName name="_REA1.N10_" localSheetId="2">#REF!</definedName>
    <definedName name="_REA1.N10_" localSheetId="19">#REF!</definedName>
    <definedName name="_REA1.N10_" localSheetId="20">#REF!</definedName>
    <definedName name="_REA1.N10_" localSheetId="15">#REF!</definedName>
    <definedName name="_REA1.N10_" localSheetId="4">#REF!</definedName>
    <definedName name="_REA1.N10_" localSheetId="11">#REF!</definedName>
    <definedName name="_REA1.N10_" localSheetId="13">#REF!</definedName>
    <definedName name="_REA1.N10_" localSheetId="8">#REF!</definedName>
    <definedName name="_REA1.N10_" localSheetId="6">#REF!</definedName>
    <definedName name="_REA1.N10_" localSheetId="1">#REF!</definedName>
    <definedName name="_REA1.N10_" localSheetId="9">#REF!</definedName>
    <definedName name="_REA1.N10_" localSheetId="10">#REF!</definedName>
    <definedName name="_REA1.N10_" localSheetId="16">#REF!</definedName>
    <definedName name="_REA1.N10_" localSheetId="5">#REF!</definedName>
    <definedName name="_REA1.N10_" localSheetId="12">#REF!</definedName>
    <definedName name="_REA1.N10_" localSheetId="14">#REF!</definedName>
    <definedName name="_REA1.N10_" localSheetId="7">#REF!</definedName>
    <definedName name="_REA1.N10_" localSheetId="3">#REF!</definedName>
    <definedName name="_REA1.N10_">#REF!</definedName>
    <definedName name="_Sort" localSheetId="2" hidden="1">#REF!</definedName>
    <definedName name="_Sort" localSheetId="19" hidden="1">#REF!</definedName>
    <definedName name="_Sort" localSheetId="20" hidden="1">#REF!</definedName>
    <definedName name="_Sort" localSheetId="15" hidden="1">#REF!</definedName>
    <definedName name="_Sort" localSheetId="4" hidden="1">#REF!</definedName>
    <definedName name="_Sort" localSheetId="11" hidden="1">#REF!</definedName>
    <definedName name="_Sort" localSheetId="13" hidden="1">#REF!</definedName>
    <definedName name="_Sort" localSheetId="8" hidden="1">#REF!</definedName>
    <definedName name="_Sort" localSheetId="6" hidden="1">#REF!</definedName>
    <definedName name="_Sort" localSheetId="1" hidden="1">#REF!</definedName>
    <definedName name="_Sort" localSheetId="9" hidden="1">#REF!</definedName>
    <definedName name="_Sort" localSheetId="10" hidden="1">#REF!</definedName>
    <definedName name="_Sort" localSheetId="16" hidden="1">#REF!</definedName>
    <definedName name="_Sort" localSheetId="5" hidden="1">#REF!</definedName>
    <definedName name="_Sort" localSheetId="12" hidden="1">#REF!</definedName>
    <definedName name="_Sort" localSheetId="14" hidden="1">#REF!</definedName>
    <definedName name="_Sort" localSheetId="7" hidden="1">#REF!</definedName>
    <definedName name="_Sort" localSheetId="3" hidden="1">#REF!</definedName>
    <definedName name="_Sort" hidden="1">#REF!</definedName>
    <definedName name="_WCS13_" localSheetId="2">#REF!</definedName>
    <definedName name="_WCS13_" localSheetId="19">#REF!</definedName>
    <definedName name="_WCS13_" localSheetId="20">#REF!</definedName>
    <definedName name="_WCS13_" localSheetId="15">#REF!</definedName>
    <definedName name="_WCS13_" localSheetId="4">#REF!</definedName>
    <definedName name="_WCS13_" localSheetId="11">#REF!</definedName>
    <definedName name="_WCS13_" localSheetId="13">#REF!</definedName>
    <definedName name="_WCS13_" localSheetId="8">#REF!</definedName>
    <definedName name="_WCS13_" localSheetId="6">#REF!</definedName>
    <definedName name="_WCS13_" localSheetId="1">#REF!</definedName>
    <definedName name="_WCS13_" localSheetId="9">#REF!</definedName>
    <definedName name="_WCS13_" localSheetId="10">#REF!</definedName>
    <definedName name="_WCS13_" localSheetId="16">#REF!</definedName>
    <definedName name="_WCS13_" localSheetId="5">#REF!</definedName>
    <definedName name="_WCS13_" localSheetId="12">#REF!</definedName>
    <definedName name="_WCS13_" localSheetId="14">#REF!</definedName>
    <definedName name="_WCS13_" localSheetId="7">#REF!</definedName>
    <definedName name="_WCS13_" localSheetId="3">#REF!</definedName>
    <definedName name="_WCS13_">#REF!</definedName>
    <definedName name="_WCS43_" localSheetId="2">#REF!</definedName>
    <definedName name="_WCS43_" localSheetId="19">#REF!</definedName>
    <definedName name="_WCS43_" localSheetId="20">#REF!</definedName>
    <definedName name="_WCS43_" localSheetId="15">#REF!</definedName>
    <definedName name="_WCS43_" localSheetId="4">#REF!</definedName>
    <definedName name="_WCS43_" localSheetId="11">#REF!</definedName>
    <definedName name="_WCS43_" localSheetId="13">#REF!</definedName>
    <definedName name="_WCS43_" localSheetId="8">#REF!</definedName>
    <definedName name="_WCS43_" localSheetId="6">#REF!</definedName>
    <definedName name="_WCS43_" localSheetId="1">#REF!</definedName>
    <definedName name="_WCS43_" localSheetId="9">#REF!</definedName>
    <definedName name="_WCS43_" localSheetId="10">#REF!</definedName>
    <definedName name="_WCS43_" localSheetId="16">#REF!</definedName>
    <definedName name="_WCS43_" localSheetId="5">#REF!</definedName>
    <definedName name="_WCS43_" localSheetId="12">#REF!</definedName>
    <definedName name="_WCS43_" localSheetId="14">#REF!</definedName>
    <definedName name="_WCS43_" localSheetId="7">#REF!</definedName>
    <definedName name="_WCS43_" localSheetId="3">#REF!</definedName>
    <definedName name="_WCS43_">#REF!</definedName>
    <definedName name="_WDCN1.S1_" localSheetId="2">#REF!</definedName>
    <definedName name="_WDCN1.S1_" localSheetId="19">#REF!</definedName>
    <definedName name="_WDCN1.S1_" localSheetId="20">#REF!</definedName>
    <definedName name="_WDCN1.S1_" localSheetId="15">#REF!</definedName>
    <definedName name="_WDCN1.S1_" localSheetId="4">#REF!</definedName>
    <definedName name="_WDCN1.S1_" localSheetId="11">#REF!</definedName>
    <definedName name="_WDCN1.S1_" localSheetId="13">#REF!</definedName>
    <definedName name="_WDCN1.S1_" localSheetId="8">#REF!</definedName>
    <definedName name="_WDCN1.S1_" localSheetId="6">#REF!</definedName>
    <definedName name="_WDCN1.S1_" localSheetId="1">#REF!</definedName>
    <definedName name="_WDCN1.S1_" localSheetId="9">#REF!</definedName>
    <definedName name="_WDCN1.S1_" localSheetId="10">#REF!</definedName>
    <definedName name="_WDCN1.S1_" localSheetId="16">#REF!</definedName>
    <definedName name="_WDCN1.S1_" localSheetId="5">#REF!</definedName>
    <definedName name="_WDCN1.S1_" localSheetId="12">#REF!</definedName>
    <definedName name="_WDCN1.S1_" localSheetId="14">#REF!</definedName>
    <definedName name="_WDCN1.S1_" localSheetId="7">#REF!</definedName>
    <definedName name="_WDCN1.S1_" localSheetId="3">#REF!</definedName>
    <definedName name="_WDCN1.S1_">#REF!</definedName>
    <definedName name="_WGZY_" localSheetId="2">#REF!</definedName>
    <definedName name="_WGZY_" localSheetId="19">#REF!</definedName>
    <definedName name="_WGZY_" localSheetId="20">#REF!</definedName>
    <definedName name="_WGZY_" localSheetId="15">#REF!</definedName>
    <definedName name="_WGZY_" localSheetId="4">#REF!</definedName>
    <definedName name="_WGZY_" localSheetId="11">#REF!</definedName>
    <definedName name="_WGZY_" localSheetId="13">#REF!</definedName>
    <definedName name="_WGZY_" localSheetId="8">#REF!</definedName>
    <definedName name="_WGZY_" localSheetId="6">#REF!</definedName>
    <definedName name="_WGZY_" localSheetId="1">#REF!</definedName>
    <definedName name="_WGZY_" localSheetId="9">#REF!</definedName>
    <definedName name="_WGZY_" localSheetId="10">#REF!</definedName>
    <definedName name="_WGZY_" localSheetId="16">#REF!</definedName>
    <definedName name="_WGZY_" localSheetId="5">#REF!</definedName>
    <definedName name="_WGZY_" localSheetId="12">#REF!</definedName>
    <definedName name="_WGZY_" localSheetId="14">#REF!</definedName>
    <definedName name="_WGZY_" localSheetId="7">#REF!</definedName>
    <definedName name="_WGZY_" localSheetId="3">#REF!</definedName>
    <definedName name="_WGZY_">#REF!</definedName>
    <definedName name="_WICE1_" localSheetId="2">#REF!</definedName>
    <definedName name="_WICE1_" localSheetId="19">#REF!</definedName>
    <definedName name="_WICE1_" localSheetId="20">#REF!</definedName>
    <definedName name="_WICE1_" localSheetId="15">#REF!</definedName>
    <definedName name="_WICE1_" localSheetId="4">#REF!</definedName>
    <definedName name="_WICE1_" localSheetId="11">#REF!</definedName>
    <definedName name="_WICE1_" localSheetId="13">#REF!</definedName>
    <definedName name="_WICE1_" localSheetId="8">#REF!</definedName>
    <definedName name="_WICE1_" localSheetId="6">#REF!</definedName>
    <definedName name="_WICE1_" localSheetId="1">#REF!</definedName>
    <definedName name="_WICE1_" localSheetId="9">#REF!</definedName>
    <definedName name="_WICE1_" localSheetId="10">#REF!</definedName>
    <definedName name="_WICE1_" localSheetId="16">#REF!</definedName>
    <definedName name="_WICE1_" localSheetId="5">#REF!</definedName>
    <definedName name="_WICE1_" localSheetId="12">#REF!</definedName>
    <definedName name="_WICE1_" localSheetId="14">#REF!</definedName>
    <definedName name="_WICE1_" localSheetId="7">#REF!</definedName>
    <definedName name="_WICE1_" localSheetId="3">#REF!</definedName>
    <definedName name="_WICE1_">#REF!</definedName>
    <definedName name="_WIRA1.A8_" localSheetId="2">#REF!</definedName>
    <definedName name="_WIRA1.A8_" localSheetId="19">#REF!</definedName>
    <definedName name="_WIRA1.A8_" localSheetId="20">#REF!</definedName>
    <definedName name="_WIRA1.A8_" localSheetId="15">#REF!</definedName>
    <definedName name="_WIRA1.A8_" localSheetId="4">#REF!</definedName>
    <definedName name="_WIRA1.A8_" localSheetId="11">#REF!</definedName>
    <definedName name="_WIRA1.A8_" localSheetId="13">#REF!</definedName>
    <definedName name="_WIRA1.A8_" localSheetId="8">#REF!</definedName>
    <definedName name="_WIRA1.A8_" localSheetId="6">#REF!</definedName>
    <definedName name="_WIRA1.A8_" localSheetId="1">#REF!</definedName>
    <definedName name="_WIRA1.A8_" localSheetId="9">#REF!</definedName>
    <definedName name="_WIRA1.A8_" localSheetId="10">#REF!</definedName>
    <definedName name="_WIRA1.A8_" localSheetId="16">#REF!</definedName>
    <definedName name="_WIRA1.A8_" localSheetId="5">#REF!</definedName>
    <definedName name="_WIRA1.A8_" localSheetId="12">#REF!</definedName>
    <definedName name="_WIRA1.A8_" localSheetId="14">#REF!</definedName>
    <definedName name="_WIRA1.A8_" localSheetId="7">#REF!</definedName>
    <definedName name="_WIRA1.A8_" localSheetId="3">#REF!</definedName>
    <definedName name="_WIRA1.A8_">#REF!</definedName>
    <definedName name="ACRE" localSheetId="13" hidden="1">#REF!</definedName>
    <definedName name="ACRE" localSheetId="9" hidden="1">#REF!</definedName>
    <definedName name="ACRE" localSheetId="14" hidden="1">#REF!</definedName>
    <definedName name="ACRE" hidden="1">#REF!</definedName>
    <definedName name="ademir" hidden="1">{#N/A,#N/A,FALSE,"Cronograma";#N/A,#N/A,FALSE,"Cronogr. 2"}</definedName>
    <definedName name="ANA" localSheetId="2">'[2]Refor Out. 2001 - BDI=20% Ajust'!#REF!</definedName>
    <definedName name="ANA" localSheetId="19">'[2]Refor Out. 2001 - BDI=20% Ajust'!#REF!</definedName>
    <definedName name="ANA" localSheetId="20">'[2]Refor Out. 2001 - BDI=20% Ajust'!#REF!</definedName>
    <definedName name="ANA" localSheetId="15">'[2]Refor Out. 2001 - BDI=20% Ajust'!#REF!</definedName>
    <definedName name="ANA" localSheetId="4">'[2]Refor Out. 2001 - BDI=20% Ajust'!#REF!</definedName>
    <definedName name="ANA" localSheetId="11">'[2]Refor Out. 2001 - BDI=20% Ajust'!#REF!</definedName>
    <definedName name="ANA" localSheetId="13">'[2]Refor Out. 2001 - BDI=20% Ajust'!#REF!</definedName>
    <definedName name="ANA" localSheetId="8">'[2]Refor Out. 2001 - BDI=20% Ajust'!#REF!</definedName>
    <definedName name="ANA" localSheetId="6">'[2]Refor Out. 2001 - BDI=20% Ajust'!#REF!</definedName>
    <definedName name="ANA" localSheetId="1">'[2]Refor Out. 2001 - BDI=20% Ajust'!#REF!</definedName>
    <definedName name="ANA" localSheetId="9">'[2]Refor Out. 2001 - BDI=20% Ajust'!#REF!</definedName>
    <definedName name="ANA" localSheetId="10">'[2]Refor Out. 2001 - BDI=20% Ajust'!#REF!</definedName>
    <definedName name="ANA" localSheetId="16">'[2]Refor Out. 2001 - BDI=20% Ajust'!#REF!</definedName>
    <definedName name="ANA" localSheetId="5">'[2]Refor Out. 2001 - BDI=20% Ajust'!#REF!</definedName>
    <definedName name="ANA" localSheetId="12">'[2]Refor Out. 2001 - BDI=20% Ajust'!#REF!</definedName>
    <definedName name="ANA" localSheetId="14">'[2]Refor Out. 2001 - BDI=20% Ajust'!#REF!</definedName>
    <definedName name="ANA" localSheetId="7">'[2]Refor Out. 2001 - BDI=20% Ajust'!#REF!</definedName>
    <definedName name="ANA" localSheetId="3">'[2]Refor Out. 2001 - BDI=20% Ajust'!#REF!</definedName>
    <definedName name="ANA">'[2]Refor Out. 2001 - BDI=20% Ajust'!#REF!</definedName>
    <definedName name="_xlnm.Print_Area" localSheetId="21">BDI!$B$1:$O$49</definedName>
    <definedName name="_xlnm.Print_Area" localSheetId="17">COMPOSIÇÕES!$B$1:$G$804</definedName>
    <definedName name="_xlnm.Print_Area" localSheetId="2">'CRECHE VOVO PESSOINHA'!$A$1:$H$73</definedName>
    <definedName name="_xlnm.Print_Area" localSheetId="19">CRONOGRAMA!$B$2:$K$36</definedName>
    <definedName name="_xlnm.Print_Area" localSheetId="20">'ENCARGOS SOCIAIS'!$B$2:$E$47</definedName>
    <definedName name="_xlnm.Print_Area" localSheetId="15">'ESC. JULIO MARIA'!$A$1:$H$80</definedName>
    <definedName name="_xlnm.Print_Area" localSheetId="4">'ESC. LAFAYETE NUNES MACHADO'!$A$1:$H$71</definedName>
    <definedName name="_xlnm.Print_Area" localSheetId="11">'ESC. MOCINHA BARBALHO'!$A$1:$H$50</definedName>
    <definedName name="_xlnm.Print_Area" localSheetId="0">'ESC. MUN. ANDRE VIDAL'!$A$1:$H$59</definedName>
    <definedName name="_xlnm.Print_Area" localSheetId="13">'ESC. NIVALDO XAVIER '!$A$1:$H$72</definedName>
    <definedName name="_xlnm.Print_Area" localSheetId="8">'ESCOLA MUNICIPAL DE QUEBEC E Q'!$A$1:$H$198</definedName>
    <definedName name="_xlnm.Print_Area" localSheetId="6">'ESCOLA PASCOAL'!$A$1:$H$69</definedName>
    <definedName name="_xlnm.Print_Area" localSheetId="1">'MEMORIA ANDRE VIDAL'!$B$2:$L$830</definedName>
    <definedName name="_xlnm.Print_Area" localSheetId="9">'MEMORIA DE CAL QUADRA'!$B$2:$L$982</definedName>
    <definedName name="_xlnm.Print_Area" localSheetId="10">'MEMORIA DE CAL QUEBEC'!$B$2:$L$794</definedName>
    <definedName name="_xlnm.Print_Area" localSheetId="16">'MEMORIA JULIO MARIA'!$B$2:$L$983</definedName>
    <definedName name="_xlnm.Print_Area" localSheetId="5">'MEMORIA LAFAYETE'!$B$2:$L$934</definedName>
    <definedName name="_xlnm.Print_Area" localSheetId="12">'MEMORIA MOCINHA'!$B$2:$L$772</definedName>
    <definedName name="_xlnm.Print_Area" localSheetId="14">'MEMORIA NIVALDO'!$B$1:$L$891</definedName>
    <definedName name="_xlnm.Print_Area" localSheetId="7">'MEMORIA PASCOAL CARRAZONI'!$B$2:$L$860</definedName>
    <definedName name="_xlnm.Print_Area" localSheetId="3">'MEMORIA VOVO PESSOINHHA '!$B$1:$L$880</definedName>
    <definedName name="Ass" localSheetId="2">[3]COMPOSIÇÃO!#REF!</definedName>
    <definedName name="Ass" localSheetId="19">[3]COMPOSIÇÃO!#REF!</definedName>
    <definedName name="Ass" localSheetId="20">[3]COMPOSIÇÃO!#REF!</definedName>
    <definedName name="Ass" localSheetId="15">[3]COMPOSIÇÃO!#REF!</definedName>
    <definedName name="Ass" localSheetId="4">[3]COMPOSIÇÃO!#REF!</definedName>
    <definedName name="Ass" localSheetId="11">[3]COMPOSIÇÃO!#REF!</definedName>
    <definedName name="Ass" localSheetId="13">[3]COMPOSIÇÃO!#REF!</definedName>
    <definedName name="Ass" localSheetId="8">[3]COMPOSIÇÃO!#REF!</definedName>
    <definedName name="Ass" localSheetId="6">[3]COMPOSIÇÃO!#REF!</definedName>
    <definedName name="Ass" localSheetId="1">[3]COMPOSIÇÃO!#REF!</definedName>
    <definedName name="Ass" localSheetId="9">[3]COMPOSIÇÃO!#REF!</definedName>
    <definedName name="Ass" localSheetId="10">[3]COMPOSIÇÃO!#REF!</definedName>
    <definedName name="Ass" localSheetId="16">[3]COMPOSIÇÃO!#REF!</definedName>
    <definedName name="Ass" localSheetId="5">[3]COMPOSIÇÃO!#REF!</definedName>
    <definedName name="Ass" localSheetId="12">[3]COMPOSIÇÃO!#REF!</definedName>
    <definedName name="Ass" localSheetId="14">[3]COMPOSIÇÃO!#REF!</definedName>
    <definedName name="Ass" localSheetId="7">[3]COMPOSIÇÃO!#REF!</definedName>
    <definedName name="Ass" localSheetId="3">[3]COMPOSIÇÃO!#REF!</definedName>
    <definedName name="Ass">[3]COMPOSIÇÃO!#REF!</definedName>
    <definedName name="bosta" hidden="1">{#N/A,#N/A,FALSE,"Cronograma";#N/A,#N/A,FALSE,"Cronogr. 2"}</definedName>
    <definedName name="CA´L" hidden="1">{#N/A,#N/A,FALSE,"Cronograma";#N/A,#N/A,FALSE,"Cronogr. 2"}</definedName>
    <definedName name="cbn" localSheetId="2">[4]Reforma!#REF!</definedName>
    <definedName name="cbn" localSheetId="19">[4]Reforma!#REF!</definedName>
    <definedName name="cbn" localSheetId="20">[4]Reforma!#REF!</definedName>
    <definedName name="cbn" localSheetId="15">[4]Reforma!#REF!</definedName>
    <definedName name="cbn" localSheetId="4">[4]Reforma!#REF!</definedName>
    <definedName name="cbn" localSheetId="11">[4]Reforma!#REF!</definedName>
    <definedName name="cbn" localSheetId="13">[4]Reforma!#REF!</definedName>
    <definedName name="cbn" localSheetId="8">[4]Reforma!#REF!</definedName>
    <definedName name="cbn" localSheetId="6">[4]Reforma!#REF!</definedName>
    <definedName name="cbn" localSheetId="1">[4]Reforma!#REF!</definedName>
    <definedName name="cbn" localSheetId="9">[4]Reforma!#REF!</definedName>
    <definedName name="cbn" localSheetId="10">[4]Reforma!#REF!</definedName>
    <definedName name="cbn" localSheetId="16">[4]Reforma!#REF!</definedName>
    <definedName name="cbn" localSheetId="5">[4]Reforma!#REF!</definedName>
    <definedName name="cbn" localSheetId="12">[4]Reforma!#REF!</definedName>
    <definedName name="cbn" localSheetId="14">[4]Reforma!#REF!</definedName>
    <definedName name="cbn" localSheetId="7">[4]Reforma!#REF!</definedName>
    <definedName name="cbn" localSheetId="3">[4]Reforma!#REF!</definedName>
    <definedName name="cbn">[4]Reforma!#REF!</definedName>
    <definedName name="concorrentes" hidden="1">{#N/A,#N/A,FALSE,"Cronograma";#N/A,#N/A,FALSE,"Cronogr. 2"}</definedName>
    <definedName name="DadosGrafico" localSheetId="2">INDIRECT("$A$"&amp;MATCH(LARGE(#REF!,15),#REF!,0)&amp;":$A$"&amp;MATCH(LARGE(#REF!,1),#REF!,0))</definedName>
    <definedName name="DadosGrafico" localSheetId="19">INDIRECT("$A$"&amp;MATCH(LARGE(#REF!,15),#REF!,0)&amp;":$A$"&amp;MATCH(LARGE(#REF!,1),#REF!,0))</definedName>
    <definedName name="DadosGrafico" localSheetId="20">INDIRECT("$A$"&amp;MATCH(LARGE(#REF!,15),#REF!,0)&amp;":$A$"&amp;MATCH(LARGE(#REF!,1),#REF!,0))</definedName>
    <definedName name="DadosGrafico" localSheetId="15">INDIRECT("$A$"&amp;MATCH(LARGE(#REF!,15),#REF!,0)&amp;":$A$"&amp;MATCH(LARGE(#REF!,1),#REF!,0))</definedName>
    <definedName name="DadosGrafico" localSheetId="4">INDIRECT("$A$"&amp;MATCH(LARGE(#REF!,15),#REF!,0)&amp;":$A$"&amp;MATCH(LARGE(#REF!,1),#REF!,0))</definedName>
    <definedName name="DadosGrafico" localSheetId="11">INDIRECT("$A$"&amp;MATCH(LARGE(#REF!,15),#REF!,0)&amp;":$A$"&amp;MATCH(LARGE(#REF!,1),#REF!,0))</definedName>
    <definedName name="DadosGrafico" localSheetId="13">INDIRECT("$A$"&amp;MATCH(LARGE(#REF!,15),#REF!,0)&amp;":$A$"&amp;MATCH(LARGE(#REF!,1),#REF!,0))</definedName>
    <definedName name="DadosGrafico" localSheetId="8">INDIRECT("$A$"&amp;MATCH(LARGE(#REF!,15),#REF!,0)&amp;":$A$"&amp;MATCH(LARGE(#REF!,1),#REF!,0))</definedName>
    <definedName name="DadosGrafico" localSheetId="6">INDIRECT("$A$"&amp;MATCH(LARGE(#REF!,15),#REF!,0)&amp;":$A$"&amp;MATCH(LARGE(#REF!,1),#REF!,0))</definedName>
    <definedName name="DadosGrafico" localSheetId="1">INDIRECT("$A$"&amp;MATCH(LARGE(#REF!,15),#REF!,0)&amp;":$A$"&amp;MATCH(LARGE(#REF!,1),#REF!,0))</definedName>
    <definedName name="DadosGrafico" localSheetId="9">INDIRECT("$A$"&amp;MATCH(LARGE(#REF!,15),#REF!,0)&amp;":$A$"&amp;MATCH(LARGE(#REF!,1),#REF!,0))</definedName>
    <definedName name="DadosGrafico" localSheetId="10">INDIRECT("$A$"&amp;MATCH(LARGE(#REF!,15),#REF!,0)&amp;":$A$"&amp;MATCH(LARGE(#REF!,1),#REF!,0))</definedName>
    <definedName name="DadosGrafico" localSheetId="16">INDIRECT("$A$"&amp;MATCH(LARGE(#REF!,15),#REF!,0)&amp;":$A$"&amp;MATCH(LARGE(#REF!,1),#REF!,0))</definedName>
    <definedName name="DadosGrafico" localSheetId="5">INDIRECT("$A$"&amp;MATCH(LARGE(#REF!,15),#REF!,0)&amp;":$A$"&amp;MATCH(LARGE(#REF!,1),#REF!,0))</definedName>
    <definedName name="DadosGrafico" localSheetId="12">INDIRECT("$A$"&amp;MATCH(LARGE(#REF!,15),#REF!,0)&amp;":$A$"&amp;MATCH(LARGE(#REF!,1),#REF!,0))</definedName>
    <definedName name="DadosGrafico" localSheetId="14">INDIRECT("$A$"&amp;MATCH(LARGE(#REF!,15),#REF!,0)&amp;":$A$"&amp;MATCH(LARGE(#REF!,1),#REF!,0))</definedName>
    <definedName name="DadosGrafico" localSheetId="7">INDIRECT("$A$"&amp;MATCH(LARGE(#REF!,15),#REF!,0)&amp;":$A$"&amp;MATCH(LARGE(#REF!,1),#REF!,0))</definedName>
    <definedName name="DadosGrafico" localSheetId="3">INDIRECT("$A$"&amp;MATCH(LARGE(#REF!,15),#REF!,0)&amp;":$A$"&amp;MATCH(LARGE(#REF!,1),#REF!,0))</definedName>
    <definedName name="DadosGrafico">INDIRECT("$A$"&amp;MATCH(LARGE(#REF!,15),#REF!,0)&amp;":$A$"&amp;MATCH(LARGE(#REF!,1),#REF!,0))</definedName>
    <definedName name="DESCRIÇÃO_DO_ITEM" localSheetId="2">#REF!</definedName>
    <definedName name="DESCRIÇÃO_DO_ITEM" localSheetId="15">#REF!</definedName>
    <definedName name="DESCRIÇÃO_DO_ITEM" localSheetId="4">#REF!</definedName>
    <definedName name="DESCRIÇÃO_DO_ITEM" localSheetId="11">#REF!</definedName>
    <definedName name="DESCRIÇÃO_DO_ITEM" localSheetId="13">#REF!</definedName>
    <definedName name="DESCRIÇÃO_DO_ITEM" localSheetId="8">#REF!</definedName>
    <definedName name="DESCRIÇÃO_DO_ITEM" localSheetId="6">#REF!</definedName>
    <definedName name="DESCRIÇÃO_DO_ITEM" localSheetId="9">#REF!</definedName>
    <definedName name="DESCRIÇÃO_DO_ITEM" localSheetId="10">#REF!</definedName>
    <definedName name="DESCRIÇÃO_DO_ITEM" localSheetId="16">#REF!</definedName>
    <definedName name="DESCRIÇÃO_DO_ITEM" localSheetId="5">#REF!</definedName>
    <definedName name="DESCRIÇÃO_DO_ITEM" localSheetId="12">#REF!</definedName>
    <definedName name="DESCRIÇÃO_DO_ITEM" localSheetId="14">#REF!</definedName>
    <definedName name="DESCRIÇÃO_DO_ITEM" localSheetId="7">#REF!</definedName>
    <definedName name="DESCRIÇÃO_DO_ITEM" localSheetId="3">#REF!</definedName>
    <definedName name="DESCRIÇÃO_DO_ITEM">#REF!</definedName>
    <definedName name="DFGT" localSheetId="2">[4]Reforma!#REF!</definedName>
    <definedName name="DFGT" localSheetId="19">[4]Reforma!#REF!</definedName>
    <definedName name="DFGT" localSheetId="20">[4]Reforma!#REF!</definedName>
    <definedName name="DFGT" localSheetId="15">[4]Reforma!#REF!</definedName>
    <definedName name="DFGT" localSheetId="4">[4]Reforma!#REF!</definedName>
    <definedName name="DFGT" localSheetId="11">[4]Reforma!#REF!</definedName>
    <definedName name="DFGT" localSheetId="13">[4]Reforma!#REF!</definedName>
    <definedName name="DFGT" localSheetId="8">[4]Reforma!#REF!</definedName>
    <definedName name="DFGT" localSheetId="6">[4]Reforma!#REF!</definedName>
    <definedName name="DFGT" localSheetId="1">[4]Reforma!#REF!</definedName>
    <definedName name="DFGT" localSheetId="9">[4]Reforma!#REF!</definedName>
    <definedName name="DFGT" localSheetId="10">[4]Reforma!#REF!</definedName>
    <definedName name="DFGT" localSheetId="16">[4]Reforma!#REF!</definedName>
    <definedName name="DFGT" localSheetId="5">[4]Reforma!#REF!</definedName>
    <definedName name="DFGT" localSheetId="12">[4]Reforma!#REF!</definedName>
    <definedName name="DFGT" localSheetId="14">[4]Reforma!#REF!</definedName>
    <definedName name="DFGT" localSheetId="7">[4]Reforma!#REF!</definedName>
    <definedName name="DFGT" localSheetId="3">[4]Reforma!#REF!</definedName>
    <definedName name="DFGT">[4]Reforma!#REF!</definedName>
    <definedName name="DFT" localSheetId="2">[4]Reforma!#REF!</definedName>
    <definedName name="DFT" localSheetId="19">[4]Reforma!#REF!</definedName>
    <definedName name="DFT" localSheetId="20">[4]Reforma!#REF!</definedName>
    <definedName name="DFT" localSheetId="15">[4]Reforma!#REF!</definedName>
    <definedName name="DFT" localSheetId="4">[4]Reforma!#REF!</definedName>
    <definedName name="DFT" localSheetId="11">[4]Reforma!#REF!</definedName>
    <definedName name="DFT" localSheetId="13">[4]Reforma!#REF!</definedName>
    <definedName name="DFT" localSheetId="8">[4]Reforma!#REF!</definedName>
    <definedName name="DFT" localSheetId="6">[4]Reforma!#REF!</definedName>
    <definedName name="DFT" localSheetId="1">[4]Reforma!#REF!</definedName>
    <definedName name="DFT" localSheetId="9">[4]Reforma!#REF!</definedName>
    <definedName name="DFT" localSheetId="10">[4]Reforma!#REF!</definedName>
    <definedName name="DFT" localSheetId="16">[4]Reforma!#REF!</definedName>
    <definedName name="DFT" localSheetId="5">[4]Reforma!#REF!</definedName>
    <definedName name="DFT" localSheetId="12">[4]Reforma!#REF!</definedName>
    <definedName name="DFT" localSheetId="14">[4]Reforma!#REF!</definedName>
    <definedName name="DFT" localSheetId="7">[4]Reforma!#REF!</definedName>
    <definedName name="DFT" localSheetId="3">[4]Reforma!#REF!</definedName>
    <definedName name="DFT">[4]Reforma!#REF!</definedName>
    <definedName name="e" localSheetId="2">#REF!</definedName>
    <definedName name="e" localSheetId="19">#REF!</definedName>
    <definedName name="e" localSheetId="20">#REF!</definedName>
    <definedName name="e" localSheetId="15">#REF!</definedName>
    <definedName name="e" localSheetId="4">#REF!</definedName>
    <definedName name="e" localSheetId="11">#REF!</definedName>
    <definedName name="e" localSheetId="13">#REF!</definedName>
    <definedName name="e" localSheetId="8">#REF!</definedName>
    <definedName name="e" localSheetId="6">#REF!</definedName>
    <definedName name="e" localSheetId="1">#REF!</definedName>
    <definedName name="e" localSheetId="9">#REF!</definedName>
    <definedName name="e" localSheetId="10">#REF!</definedName>
    <definedName name="e" localSheetId="16">#REF!</definedName>
    <definedName name="e" localSheetId="5">#REF!</definedName>
    <definedName name="e" localSheetId="12">#REF!</definedName>
    <definedName name="e" localSheetId="14">#REF!</definedName>
    <definedName name="e" localSheetId="7">#REF!</definedName>
    <definedName name="e" localSheetId="3">#REF!</definedName>
    <definedName name="e">#REF!</definedName>
    <definedName name="ert" localSheetId="2">[4]Reforma!#REF!</definedName>
    <definedName name="ert" localSheetId="19">[4]Reforma!#REF!</definedName>
    <definedName name="ert" localSheetId="20">[4]Reforma!#REF!</definedName>
    <definedName name="ert" localSheetId="15">[4]Reforma!#REF!</definedName>
    <definedName name="ert" localSheetId="4">[4]Reforma!#REF!</definedName>
    <definedName name="ert" localSheetId="11">[4]Reforma!#REF!</definedName>
    <definedName name="ert" localSheetId="13">[4]Reforma!#REF!</definedName>
    <definedName name="ert" localSheetId="8">[4]Reforma!#REF!</definedName>
    <definedName name="ert" localSheetId="6">[4]Reforma!#REF!</definedName>
    <definedName name="ert" localSheetId="1">[4]Reforma!#REF!</definedName>
    <definedName name="ert" localSheetId="9">[4]Reforma!#REF!</definedName>
    <definedName name="ert" localSheetId="10">[4]Reforma!#REF!</definedName>
    <definedName name="ert" localSheetId="16">[4]Reforma!#REF!</definedName>
    <definedName name="ert" localSheetId="5">[4]Reforma!#REF!</definedName>
    <definedName name="ert" localSheetId="12">[4]Reforma!#REF!</definedName>
    <definedName name="ert" localSheetId="14">[4]Reforma!#REF!</definedName>
    <definedName name="ert" localSheetId="7">[4]Reforma!#REF!</definedName>
    <definedName name="ert" localSheetId="3">[4]Reforma!#REF!</definedName>
    <definedName name="ert">[4]Reforma!#REF!</definedName>
    <definedName name="fgt" localSheetId="2">[4]Reforma!#REF!</definedName>
    <definedName name="fgt" localSheetId="19">[4]Reforma!#REF!</definedName>
    <definedName name="fgt" localSheetId="20">[4]Reforma!#REF!</definedName>
    <definedName name="fgt" localSheetId="15">[4]Reforma!#REF!</definedName>
    <definedName name="fgt" localSheetId="4">[4]Reforma!#REF!</definedName>
    <definedName name="fgt" localSheetId="11">[4]Reforma!#REF!</definedName>
    <definedName name="fgt" localSheetId="13">[4]Reforma!#REF!</definedName>
    <definedName name="fgt" localSheetId="8">[4]Reforma!#REF!</definedName>
    <definedName name="fgt" localSheetId="6">[4]Reforma!#REF!</definedName>
    <definedName name="fgt" localSheetId="1">[4]Reforma!#REF!</definedName>
    <definedName name="fgt" localSheetId="9">[4]Reforma!#REF!</definedName>
    <definedName name="fgt" localSheetId="10">[4]Reforma!#REF!</definedName>
    <definedName name="fgt" localSheetId="16">[4]Reforma!#REF!</definedName>
    <definedName name="fgt" localSheetId="5">[4]Reforma!#REF!</definedName>
    <definedName name="fgt" localSheetId="12">[4]Reforma!#REF!</definedName>
    <definedName name="fgt" localSheetId="14">[4]Reforma!#REF!</definedName>
    <definedName name="fgt" localSheetId="7">[4]Reforma!#REF!</definedName>
    <definedName name="fgt" localSheetId="3">[4]Reforma!#REF!</definedName>
    <definedName name="fgt">[4]Reforma!#REF!</definedName>
    <definedName name="FONTES" localSheetId="2">#REF!</definedName>
    <definedName name="FONTES" localSheetId="19">#REF!</definedName>
    <definedName name="FONTES" localSheetId="20">#REF!</definedName>
    <definedName name="FONTES" localSheetId="15">#REF!</definedName>
    <definedName name="FONTES" localSheetId="4">#REF!</definedName>
    <definedName name="FONTES" localSheetId="11">#REF!</definedName>
    <definedName name="FONTES" localSheetId="13">#REF!</definedName>
    <definedName name="FONTES" localSheetId="8">#REF!</definedName>
    <definedName name="FONTES" localSheetId="6">#REF!</definedName>
    <definedName name="FONTES" localSheetId="1">#REF!</definedName>
    <definedName name="FONTES" localSheetId="9">#REF!</definedName>
    <definedName name="FONTES" localSheetId="10">#REF!</definedName>
    <definedName name="FONTES" localSheetId="16">#REF!</definedName>
    <definedName name="FONTES" localSheetId="5">#REF!</definedName>
    <definedName name="FONTES" localSheetId="12">#REF!</definedName>
    <definedName name="FONTES" localSheetId="14">#REF!</definedName>
    <definedName name="FONTES" localSheetId="7">#REF!</definedName>
    <definedName name="FONTES" localSheetId="3">#REF!</definedName>
    <definedName name="FONTES">#REF!</definedName>
    <definedName name="ghj" localSheetId="2">[4]Reforma!#REF!</definedName>
    <definedName name="ghj" localSheetId="19">[4]Reforma!#REF!</definedName>
    <definedName name="ghj" localSheetId="20">[4]Reforma!#REF!</definedName>
    <definedName name="ghj" localSheetId="15">[4]Reforma!#REF!</definedName>
    <definedName name="ghj" localSheetId="4">[4]Reforma!#REF!</definedName>
    <definedName name="ghj" localSheetId="11">[4]Reforma!#REF!</definedName>
    <definedName name="ghj" localSheetId="13">[4]Reforma!#REF!</definedName>
    <definedName name="ghj" localSheetId="8">[4]Reforma!#REF!</definedName>
    <definedName name="ghj" localSheetId="6">[4]Reforma!#REF!</definedName>
    <definedName name="ghj" localSheetId="1">[4]Reforma!#REF!</definedName>
    <definedName name="ghj" localSheetId="9">[4]Reforma!#REF!</definedName>
    <definedName name="ghj" localSheetId="10">[4]Reforma!#REF!</definedName>
    <definedName name="ghj" localSheetId="16">[4]Reforma!#REF!</definedName>
    <definedName name="ghj" localSheetId="5">[4]Reforma!#REF!</definedName>
    <definedName name="ghj" localSheetId="12">[4]Reforma!#REF!</definedName>
    <definedName name="ghj" localSheetId="14">[4]Reforma!#REF!</definedName>
    <definedName name="ghj" localSheetId="7">[4]Reforma!#REF!</definedName>
    <definedName name="ghj" localSheetId="3">[4]Reforma!#REF!</definedName>
    <definedName name="ghj">[4]Reforma!#REF!</definedName>
    <definedName name="HJU" localSheetId="2">[4]Reforma!#REF!</definedName>
    <definedName name="HJU" localSheetId="19">[4]Reforma!#REF!</definedName>
    <definedName name="HJU" localSheetId="20">[4]Reforma!#REF!</definedName>
    <definedName name="HJU" localSheetId="15">[4]Reforma!#REF!</definedName>
    <definedName name="HJU" localSheetId="4">[4]Reforma!#REF!</definedName>
    <definedName name="HJU" localSheetId="11">[4]Reforma!#REF!</definedName>
    <definedName name="HJU" localSheetId="13">[4]Reforma!#REF!</definedName>
    <definedName name="HJU" localSheetId="8">[4]Reforma!#REF!</definedName>
    <definedName name="HJU" localSheetId="6">[4]Reforma!#REF!</definedName>
    <definedName name="HJU" localSheetId="1">[4]Reforma!#REF!</definedName>
    <definedName name="HJU" localSheetId="9">[4]Reforma!#REF!</definedName>
    <definedName name="HJU" localSheetId="10">[4]Reforma!#REF!</definedName>
    <definedName name="HJU" localSheetId="16">[4]Reforma!#REF!</definedName>
    <definedName name="HJU" localSheetId="5">[4]Reforma!#REF!</definedName>
    <definedName name="HJU" localSheetId="12">[4]Reforma!#REF!</definedName>
    <definedName name="HJU" localSheetId="14">[4]Reforma!#REF!</definedName>
    <definedName name="HJU" localSheetId="7">[4]Reforma!#REF!</definedName>
    <definedName name="HJU" localSheetId="3">[4]Reforma!#REF!</definedName>
    <definedName name="HJU">[4]Reforma!#REF!</definedName>
    <definedName name="JESUS" localSheetId="2">'[2]Refor Out. 2001 - BDI=20% Ajust'!#REF!</definedName>
    <definedName name="JESUS" localSheetId="19">'[2]Refor Out. 2001 - BDI=20% Ajust'!#REF!</definedName>
    <definedName name="JESUS" localSheetId="20">'[2]Refor Out. 2001 - BDI=20% Ajust'!#REF!</definedName>
    <definedName name="JESUS" localSheetId="15">'[2]Refor Out. 2001 - BDI=20% Ajust'!#REF!</definedName>
    <definedName name="JESUS" localSheetId="4">'[2]Refor Out. 2001 - BDI=20% Ajust'!#REF!</definedName>
    <definedName name="JESUS" localSheetId="11">'[2]Refor Out. 2001 - BDI=20% Ajust'!#REF!</definedName>
    <definedName name="JESUS" localSheetId="13">'[2]Refor Out. 2001 - BDI=20% Ajust'!#REF!</definedName>
    <definedName name="JESUS" localSheetId="8">'[2]Refor Out. 2001 - BDI=20% Ajust'!#REF!</definedName>
    <definedName name="JESUS" localSheetId="6">'[2]Refor Out. 2001 - BDI=20% Ajust'!#REF!</definedName>
    <definedName name="JESUS" localSheetId="1">'[2]Refor Out. 2001 - BDI=20% Ajust'!#REF!</definedName>
    <definedName name="JESUS" localSheetId="9">'[2]Refor Out. 2001 - BDI=20% Ajust'!#REF!</definedName>
    <definedName name="JESUS" localSheetId="10">'[2]Refor Out. 2001 - BDI=20% Ajust'!#REF!</definedName>
    <definedName name="JESUS" localSheetId="16">'[2]Refor Out. 2001 - BDI=20% Ajust'!#REF!</definedName>
    <definedName name="JESUS" localSheetId="5">'[2]Refor Out. 2001 - BDI=20% Ajust'!#REF!</definedName>
    <definedName name="JESUS" localSheetId="12">'[2]Refor Out. 2001 - BDI=20% Ajust'!#REF!</definedName>
    <definedName name="JESUS" localSheetId="14">'[2]Refor Out. 2001 - BDI=20% Ajust'!#REF!</definedName>
    <definedName name="JESUS" localSheetId="7">'[2]Refor Out. 2001 - BDI=20% Ajust'!#REF!</definedName>
    <definedName name="JESUS" localSheetId="3">'[2]Refor Out. 2001 - BDI=20% Ajust'!#REF!</definedName>
    <definedName name="JESUS">'[2]Refor Out. 2001 - BDI=20% Ajust'!#REF!</definedName>
    <definedName name="JUG" localSheetId="2">[4]Reforma!#REF!</definedName>
    <definedName name="JUG" localSheetId="19">[4]Reforma!#REF!</definedName>
    <definedName name="JUG" localSheetId="20">[4]Reforma!#REF!</definedName>
    <definedName name="JUG" localSheetId="15">[4]Reforma!#REF!</definedName>
    <definedName name="JUG" localSheetId="4">[4]Reforma!#REF!</definedName>
    <definedName name="JUG" localSheetId="11">[4]Reforma!#REF!</definedName>
    <definedName name="JUG" localSheetId="13">[4]Reforma!#REF!</definedName>
    <definedName name="JUG" localSheetId="8">[4]Reforma!#REF!</definedName>
    <definedName name="JUG" localSheetId="6">[4]Reforma!#REF!</definedName>
    <definedName name="JUG" localSheetId="1">[4]Reforma!#REF!</definedName>
    <definedName name="JUG" localSheetId="9">[4]Reforma!#REF!</definedName>
    <definedName name="JUG" localSheetId="10">[4]Reforma!#REF!</definedName>
    <definedName name="JUG" localSheetId="16">[4]Reforma!#REF!</definedName>
    <definedName name="JUG" localSheetId="5">[4]Reforma!#REF!</definedName>
    <definedName name="JUG" localSheetId="12">[4]Reforma!#REF!</definedName>
    <definedName name="JUG" localSheetId="14">[4]Reforma!#REF!</definedName>
    <definedName name="JUG" localSheetId="7">[4]Reforma!#REF!</definedName>
    <definedName name="JUG" localSheetId="3">[4]Reforma!#REF!</definedName>
    <definedName name="JUG">[4]Reforma!#REF!</definedName>
    <definedName name="mes" localSheetId="2">OFFSET(#REF!,COUNTA(#REF!)-12,0)</definedName>
    <definedName name="mes" localSheetId="19">OFFSET(#REF!,COUNTA(#REF!)-12,0)</definedName>
    <definedName name="mes" localSheetId="20">OFFSET(#REF!,COUNTA(#REF!)-12,0)</definedName>
    <definedName name="mes" localSheetId="15">OFFSET(#REF!,COUNTA(#REF!)-12,0)</definedName>
    <definedName name="mes" localSheetId="4">OFFSET(#REF!,COUNTA(#REF!)-12,0)</definedName>
    <definedName name="mes" localSheetId="11">OFFSET(#REF!,COUNTA(#REF!)-12,0)</definedName>
    <definedName name="mes" localSheetId="13">OFFSET(#REF!,COUNTA(#REF!)-12,0)</definedName>
    <definedName name="mes" localSheetId="8">OFFSET(#REF!,COUNTA(#REF!)-12,0)</definedName>
    <definedName name="mes" localSheetId="6">OFFSET(#REF!,COUNTA(#REF!)-12,0)</definedName>
    <definedName name="mes" localSheetId="1">OFFSET(#REF!,COUNTA(#REF!)-12,0)</definedName>
    <definedName name="mes" localSheetId="9">OFFSET(#REF!,COUNTA(#REF!)-12,0)</definedName>
    <definedName name="mes" localSheetId="10">OFFSET(#REF!,COUNTA(#REF!)-12,0)</definedName>
    <definedName name="mes" localSheetId="16">OFFSET(#REF!,COUNTA(#REF!)-12,0)</definedName>
    <definedName name="mes" localSheetId="5">OFFSET(#REF!,COUNTA(#REF!)-12,0)</definedName>
    <definedName name="mes" localSheetId="12">OFFSET(#REF!,COUNTA(#REF!)-12,0)</definedName>
    <definedName name="mes" localSheetId="14">OFFSET(#REF!,COUNTA(#REF!)-12,0)</definedName>
    <definedName name="mes" localSheetId="7">OFFSET(#REF!,COUNTA(#REF!)-12,0)</definedName>
    <definedName name="mes" localSheetId="3">OFFSET(#REF!,COUNTA(#REF!)-12,0)</definedName>
    <definedName name="mes">OFFSET(#REF!,COUNTA(#REF!)-12,0)</definedName>
    <definedName name="MKJI" localSheetId="2">[4]Reforma!#REF!</definedName>
    <definedName name="MKJI" localSheetId="19">[4]Reforma!#REF!</definedName>
    <definedName name="MKJI" localSheetId="20">[4]Reforma!#REF!</definedName>
    <definedName name="MKJI" localSheetId="15">[4]Reforma!#REF!</definedName>
    <definedName name="MKJI" localSheetId="4">[4]Reforma!#REF!</definedName>
    <definedName name="MKJI" localSheetId="11">[4]Reforma!#REF!</definedName>
    <definedName name="MKJI" localSheetId="13">[4]Reforma!#REF!</definedName>
    <definedName name="MKJI" localSheetId="8">[4]Reforma!#REF!</definedName>
    <definedName name="MKJI" localSheetId="6">[4]Reforma!#REF!</definedName>
    <definedName name="MKJI" localSheetId="1">[4]Reforma!#REF!</definedName>
    <definedName name="MKJI" localSheetId="9">[4]Reforma!#REF!</definedName>
    <definedName name="MKJI" localSheetId="10">[4]Reforma!#REF!</definedName>
    <definedName name="MKJI" localSheetId="16">[4]Reforma!#REF!</definedName>
    <definedName name="MKJI" localSheetId="5">[4]Reforma!#REF!</definedName>
    <definedName name="MKJI" localSheetId="12">[4]Reforma!#REF!</definedName>
    <definedName name="MKJI" localSheetId="14">[4]Reforma!#REF!</definedName>
    <definedName name="MKJI" localSheetId="7">[4]Reforma!#REF!</definedName>
    <definedName name="MKJI" localSheetId="3">[4]Reforma!#REF!</definedName>
    <definedName name="MKJI">[4]Reforma!#REF!</definedName>
    <definedName name="MNK" localSheetId="2">[4]Reforma!#REF!</definedName>
    <definedName name="MNK" localSheetId="19">[4]Reforma!#REF!</definedName>
    <definedName name="MNK" localSheetId="20">[4]Reforma!#REF!</definedName>
    <definedName name="MNK" localSheetId="15">[4]Reforma!#REF!</definedName>
    <definedName name="MNK" localSheetId="4">[4]Reforma!#REF!</definedName>
    <definedName name="MNK" localSheetId="11">[4]Reforma!#REF!</definedName>
    <definedName name="MNK" localSheetId="13">[4]Reforma!#REF!</definedName>
    <definedName name="MNK" localSheetId="8">[4]Reforma!#REF!</definedName>
    <definedName name="MNK" localSheetId="6">[4]Reforma!#REF!</definedName>
    <definedName name="MNK" localSheetId="1">[4]Reforma!#REF!</definedName>
    <definedName name="MNK" localSheetId="9">[4]Reforma!#REF!</definedName>
    <definedName name="MNK" localSheetId="10">[4]Reforma!#REF!</definedName>
    <definedName name="MNK" localSheetId="16">[4]Reforma!#REF!</definedName>
    <definedName name="MNK" localSheetId="5">[4]Reforma!#REF!</definedName>
    <definedName name="MNK" localSheetId="12">[4]Reforma!#REF!</definedName>
    <definedName name="MNK" localSheetId="14">[4]Reforma!#REF!</definedName>
    <definedName name="MNK" localSheetId="7">[4]Reforma!#REF!</definedName>
    <definedName name="MNK" localSheetId="3">[4]Reforma!#REF!</definedName>
    <definedName name="MNK">[4]Reforma!#REF!</definedName>
    <definedName name="NOME1" localSheetId="2">#REF!</definedName>
    <definedName name="NOME1" localSheetId="19">#REF!</definedName>
    <definedName name="NOME1" localSheetId="20">#REF!</definedName>
    <definedName name="NOME1" localSheetId="15">#REF!</definedName>
    <definedName name="NOME1" localSheetId="4">#REF!</definedName>
    <definedName name="NOME1" localSheetId="11">#REF!</definedName>
    <definedName name="NOME1" localSheetId="13">#REF!</definedName>
    <definedName name="NOME1" localSheetId="8">#REF!</definedName>
    <definedName name="NOME1" localSheetId="6">#REF!</definedName>
    <definedName name="NOME1" localSheetId="1">#REF!</definedName>
    <definedName name="NOME1" localSheetId="9">#REF!</definedName>
    <definedName name="NOME1" localSheetId="10">#REF!</definedName>
    <definedName name="NOME1" localSheetId="16">#REF!</definedName>
    <definedName name="NOME1" localSheetId="5">#REF!</definedName>
    <definedName name="NOME1" localSheetId="12">#REF!</definedName>
    <definedName name="NOME1" localSheetId="14">#REF!</definedName>
    <definedName name="NOME1" localSheetId="7">#REF!</definedName>
    <definedName name="NOME1" localSheetId="3">#REF!</definedName>
    <definedName name="NOME1">#REF!</definedName>
    <definedName name="Popular" hidden="1">{#N/A,#N/A,FALSE,"Cronograma";#N/A,#N/A,FALSE,"Cronogr. 2"}</definedName>
    <definedName name="rio" hidden="1">{#N/A,#N/A,FALSE,"Cronograma";#N/A,#N/A,FALSE,"Cronogr. 2"}</definedName>
    <definedName name="SINAPI_AC" localSheetId="13" hidden="1">#REF!</definedName>
    <definedName name="SINAPI_AC" localSheetId="9" hidden="1">#REF!</definedName>
    <definedName name="SINAPI_AC" localSheetId="14" hidden="1">#REF!</definedName>
    <definedName name="SINAPI_AC" hidden="1">#REF!</definedName>
    <definedName name="ss" hidden="1">{#N/A,#N/A,FALSE,"Cronograma";#N/A,#N/A,FALSE,"Cronogr. 2"}</definedName>
    <definedName name="TIPO_BDI" localSheetId="2">#REF!</definedName>
    <definedName name="TIPO_BDI" localSheetId="19">#REF!</definedName>
    <definedName name="TIPO_BDI" localSheetId="20">#REF!</definedName>
    <definedName name="TIPO_BDI" localSheetId="15">#REF!</definedName>
    <definedName name="TIPO_BDI" localSheetId="4">#REF!</definedName>
    <definedName name="TIPO_BDI" localSheetId="11">#REF!</definedName>
    <definedName name="TIPO_BDI" localSheetId="13">#REF!</definedName>
    <definedName name="TIPO_BDI" localSheetId="8">#REF!</definedName>
    <definedName name="TIPO_BDI" localSheetId="6">#REF!</definedName>
    <definedName name="TIPO_BDI" localSheetId="1">#REF!</definedName>
    <definedName name="TIPO_BDI" localSheetId="9">#REF!</definedName>
    <definedName name="TIPO_BDI" localSheetId="10">#REF!</definedName>
    <definedName name="TIPO_BDI" localSheetId="16">#REF!</definedName>
    <definedName name="TIPO_BDI" localSheetId="5">#REF!</definedName>
    <definedName name="TIPO_BDI" localSheetId="12">#REF!</definedName>
    <definedName name="TIPO_BDI" localSheetId="14">#REF!</definedName>
    <definedName name="TIPO_BDI" localSheetId="7">#REF!</definedName>
    <definedName name="TIPO_BDI" localSheetId="3">#REF!</definedName>
    <definedName name="TIPO_BDI">#REF!</definedName>
    <definedName name="TIPO2_BDI" localSheetId="2">#REF!</definedName>
    <definedName name="TIPO2_BDI" localSheetId="19">#REF!</definedName>
    <definedName name="TIPO2_BDI" localSheetId="20">#REF!</definedName>
    <definedName name="TIPO2_BDI" localSheetId="15">#REF!</definedName>
    <definedName name="TIPO2_BDI" localSheetId="4">#REF!</definedName>
    <definedName name="TIPO2_BDI" localSheetId="11">#REF!</definedName>
    <definedName name="TIPO2_BDI" localSheetId="13">#REF!</definedName>
    <definedName name="TIPO2_BDI" localSheetId="8">#REF!</definedName>
    <definedName name="TIPO2_BDI" localSheetId="6">#REF!</definedName>
    <definedName name="TIPO2_BDI" localSheetId="1">#REF!</definedName>
    <definedName name="TIPO2_BDI" localSheetId="9">#REF!</definedName>
    <definedName name="TIPO2_BDI" localSheetId="10">#REF!</definedName>
    <definedName name="TIPO2_BDI" localSheetId="16">#REF!</definedName>
    <definedName name="TIPO2_BDI" localSheetId="5">#REF!</definedName>
    <definedName name="TIPO2_BDI" localSheetId="12">#REF!</definedName>
    <definedName name="TIPO2_BDI" localSheetId="14">#REF!</definedName>
    <definedName name="TIPO2_BDI" localSheetId="7">#REF!</definedName>
    <definedName name="TIPO2_BDI" localSheetId="3">#REF!</definedName>
    <definedName name="TIPO2_BDI">#REF!</definedName>
    <definedName name="_xlnm.Print_Titles" localSheetId="17">COMPOSIÇÕES!$1:$4</definedName>
    <definedName name="_xlnm.Print_Titles" localSheetId="2">'CRECHE VOVO PESSOINHA'!$1:$10</definedName>
    <definedName name="_xlnm.Print_Titles" localSheetId="15">'ESC. JULIO MARIA'!$1:$12</definedName>
    <definedName name="_xlnm.Print_Titles" localSheetId="4">'ESC. LAFAYETE NUNES MACHADO'!$1:$10</definedName>
    <definedName name="_xlnm.Print_Titles" localSheetId="11">'ESC. MOCINHA BARBALHO'!$1:$14</definedName>
    <definedName name="_xlnm.Print_Titles" localSheetId="0">'ESC. MUN. ANDRE VIDAL'!$1:$10</definedName>
    <definedName name="_xlnm.Print_Titles" localSheetId="13">'ESC. NIVALDO XAVIER '!$1:$12</definedName>
    <definedName name="_xlnm.Print_Titles" localSheetId="6">'ESCOLA PASCOAL'!$1:$10</definedName>
    <definedName name="_xlnm.Print_Titles" localSheetId="1">'MEMORIA ANDRE VIDAL'!$2:$5</definedName>
    <definedName name="_xlnm.Print_Titles" localSheetId="9">'MEMORIA DE CAL QUADRA'!$2:$188</definedName>
    <definedName name="_xlnm.Print_Titles" localSheetId="10">'MEMORIA DE CAL QUEBEC'!$2:$5</definedName>
    <definedName name="_xlnm.Print_Titles" localSheetId="16">'MEMORIA JULIO MARIA'!$2:$5</definedName>
    <definedName name="_xlnm.Print_Titles" localSheetId="5">'MEMORIA LAFAYETE'!$2:$5</definedName>
    <definedName name="_xlnm.Print_Titles" localSheetId="12">'MEMORIA MOCINHA'!$2:$5</definedName>
    <definedName name="_xlnm.Print_Titles" localSheetId="14">'MEMORIA NIVALDO'!$1:$188</definedName>
    <definedName name="_xlnm.Print_Titles" localSheetId="7">'MEMORIA PASCOAL CARRAZONI'!$2:$5</definedName>
    <definedName name="_xlnm.Print_Titles" localSheetId="3">'MEMORIA VOVO PESSOINHHA '!$1:$188</definedName>
    <definedName name="TRFE" localSheetId="2">[4]Reforma!#REF!</definedName>
    <definedName name="TRFE" localSheetId="19">[4]Reforma!#REF!</definedName>
    <definedName name="TRFE" localSheetId="20">[4]Reforma!#REF!</definedName>
    <definedName name="TRFE" localSheetId="15">[4]Reforma!#REF!</definedName>
    <definedName name="TRFE" localSheetId="4">[4]Reforma!#REF!</definedName>
    <definedName name="TRFE" localSheetId="11">[4]Reforma!#REF!</definedName>
    <definedName name="TRFE" localSheetId="13">[4]Reforma!#REF!</definedName>
    <definedName name="TRFE" localSheetId="8">[4]Reforma!#REF!</definedName>
    <definedName name="TRFE" localSheetId="6">[4]Reforma!#REF!</definedName>
    <definedName name="TRFE" localSheetId="1">[4]Reforma!#REF!</definedName>
    <definedName name="TRFE" localSheetId="9">[4]Reforma!#REF!</definedName>
    <definedName name="TRFE" localSheetId="10">[4]Reforma!#REF!</definedName>
    <definedName name="TRFE" localSheetId="16">[4]Reforma!#REF!</definedName>
    <definedName name="TRFE" localSheetId="5">[4]Reforma!#REF!</definedName>
    <definedName name="TRFE" localSheetId="12">[4]Reforma!#REF!</definedName>
    <definedName name="TRFE" localSheetId="14">[4]Reforma!#REF!</definedName>
    <definedName name="TRFE" localSheetId="7">[4]Reforma!#REF!</definedName>
    <definedName name="TRFE" localSheetId="3">[4]Reforma!#REF!</definedName>
    <definedName name="TRFE">[4]Reforma!#REF!</definedName>
    <definedName name="tyu" localSheetId="2">[4]Reforma!#REF!</definedName>
    <definedName name="tyu" localSheetId="19">[4]Reforma!#REF!</definedName>
    <definedName name="tyu" localSheetId="20">[4]Reforma!#REF!</definedName>
    <definedName name="tyu" localSheetId="15">[4]Reforma!#REF!</definedName>
    <definedName name="tyu" localSheetId="4">[4]Reforma!#REF!</definedName>
    <definedName name="tyu" localSheetId="11">[4]Reforma!#REF!</definedName>
    <definedName name="tyu" localSheetId="13">[4]Reforma!#REF!</definedName>
    <definedName name="tyu" localSheetId="8">[4]Reforma!#REF!</definedName>
    <definedName name="tyu" localSheetId="6">[4]Reforma!#REF!</definedName>
    <definedName name="tyu" localSheetId="1">[4]Reforma!#REF!</definedName>
    <definedName name="tyu" localSheetId="9">[4]Reforma!#REF!</definedName>
    <definedName name="tyu" localSheetId="10">[4]Reforma!#REF!</definedName>
    <definedName name="tyu" localSheetId="16">[4]Reforma!#REF!</definedName>
    <definedName name="tyu" localSheetId="5">[4]Reforma!#REF!</definedName>
    <definedName name="tyu" localSheetId="12">[4]Reforma!#REF!</definedName>
    <definedName name="tyu" localSheetId="14">[4]Reforma!#REF!</definedName>
    <definedName name="tyu" localSheetId="7">[4]Reforma!#REF!</definedName>
    <definedName name="tyu" localSheetId="3">[4]Reforma!#REF!</definedName>
    <definedName name="tyu">[4]Reforma!#REF!</definedName>
    <definedName name="ujk" localSheetId="2">[4]Reforma!#REF!</definedName>
    <definedName name="ujk" localSheetId="19">[4]Reforma!#REF!</definedName>
    <definedName name="ujk" localSheetId="20">[4]Reforma!#REF!</definedName>
    <definedName name="ujk" localSheetId="15">[4]Reforma!#REF!</definedName>
    <definedName name="ujk" localSheetId="4">[4]Reforma!#REF!</definedName>
    <definedName name="ujk" localSheetId="11">[4]Reforma!#REF!</definedName>
    <definedName name="ujk" localSheetId="13">[4]Reforma!#REF!</definedName>
    <definedName name="ujk" localSheetId="8">[4]Reforma!#REF!</definedName>
    <definedName name="ujk" localSheetId="6">[4]Reforma!#REF!</definedName>
    <definedName name="ujk" localSheetId="1">[4]Reforma!#REF!</definedName>
    <definedName name="ujk" localSheetId="9">[4]Reforma!#REF!</definedName>
    <definedName name="ujk" localSheetId="10">[4]Reforma!#REF!</definedName>
    <definedName name="ujk" localSheetId="16">[4]Reforma!#REF!</definedName>
    <definedName name="ujk" localSheetId="5">[4]Reforma!#REF!</definedName>
    <definedName name="ujk" localSheetId="12">[4]Reforma!#REF!</definedName>
    <definedName name="ujk" localSheetId="14">[4]Reforma!#REF!</definedName>
    <definedName name="ujk" localSheetId="7">[4]Reforma!#REF!</definedName>
    <definedName name="ujk" localSheetId="3">[4]Reforma!#REF!</definedName>
    <definedName name="ujk">[4]Reforma!#REF!</definedName>
    <definedName name="UYT" localSheetId="2">[4]Reforma!#REF!</definedName>
    <definedName name="UYT" localSheetId="19">[4]Reforma!#REF!</definedName>
    <definedName name="UYT" localSheetId="20">[4]Reforma!#REF!</definedName>
    <definedName name="UYT" localSheetId="15">[4]Reforma!#REF!</definedName>
    <definedName name="UYT" localSheetId="4">[4]Reforma!#REF!</definedName>
    <definedName name="UYT" localSheetId="11">[4]Reforma!#REF!</definedName>
    <definedName name="UYT" localSheetId="13">[4]Reforma!#REF!</definedName>
    <definedName name="UYT" localSheetId="8">[4]Reforma!#REF!</definedName>
    <definedName name="UYT" localSheetId="6">[4]Reforma!#REF!</definedName>
    <definedName name="UYT" localSheetId="1">[4]Reforma!#REF!</definedName>
    <definedName name="UYT" localSheetId="9">[4]Reforma!#REF!</definedName>
    <definedName name="UYT" localSheetId="10">[4]Reforma!#REF!</definedName>
    <definedName name="UYT" localSheetId="16">[4]Reforma!#REF!</definedName>
    <definedName name="UYT" localSheetId="5">[4]Reforma!#REF!</definedName>
    <definedName name="UYT" localSheetId="12">[4]Reforma!#REF!</definedName>
    <definedName name="UYT" localSheetId="14">[4]Reforma!#REF!</definedName>
    <definedName name="UYT" localSheetId="7">[4]Reforma!#REF!</definedName>
    <definedName name="UYT" localSheetId="3">[4]Reforma!#REF!</definedName>
    <definedName name="UYT">[4]Reforma!#REF!</definedName>
    <definedName name="valor" localSheetId="2">OFFSET(#REF!,COUNTA(#REF!)-12,0)</definedName>
    <definedName name="valor" localSheetId="19">OFFSET(#REF!,COUNTA(#REF!)-12,0)</definedName>
    <definedName name="valor" localSheetId="20">OFFSET(#REF!,COUNTA(#REF!)-12,0)</definedName>
    <definedName name="valor" localSheetId="15">OFFSET(#REF!,COUNTA(#REF!)-12,0)</definedName>
    <definedName name="valor" localSheetId="4">OFFSET(#REF!,COUNTA(#REF!)-12,0)</definedName>
    <definedName name="valor" localSheetId="11">OFFSET(#REF!,COUNTA(#REF!)-12,0)</definedName>
    <definedName name="valor" localSheetId="13">OFFSET(#REF!,COUNTA(#REF!)-12,0)</definedName>
    <definedName name="valor" localSheetId="8">OFFSET(#REF!,COUNTA(#REF!)-12,0)</definedName>
    <definedName name="valor" localSheetId="6">OFFSET(#REF!,COUNTA(#REF!)-12,0)</definedName>
    <definedName name="valor" localSheetId="1">OFFSET(#REF!,COUNTA(#REF!)-12,0)</definedName>
    <definedName name="valor" localSheetId="9">OFFSET(#REF!,COUNTA(#REF!)-12,0)</definedName>
    <definedName name="valor" localSheetId="10">OFFSET(#REF!,COUNTA(#REF!)-12,0)</definedName>
    <definedName name="valor" localSheetId="16">OFFSET(#REF!,COUNTA(#REF!)-12,0)</definedName>
    <definedName name="valor" localSheetId="5">OFFSET(#REF!,COUNTA(#REF!)-12,0)</definedName>
    <definedName name="valor" localSheetId="12">OFFSET(#REF!,COUNTA(#REF!)-12,0)</definedName>
    <definedName name="valor" localSheetId="14">OFFSET(#REF!,COUNTA(#REF!)-12,0)</definedName>
    <definedName name="valor" localSheetId="7">OFFSET(#REF!,COUNTA(#REF!)-12,0)</definedName>
    <definedName name="valor" localSheetId="3">OFFSET(#REF!,COUNTA(#REF!)-12,0)</definedName>
    <definedName name="valor">OFFSET(#REF!,COUNTA(#REF!)-12,0)</definedName>
    <definedName name="vbg" localSheetId="2">[4]Reforma!#REF!</definedName>
    <definedName name="vbg" localSheetId="19">[4]Reforma!#REF!</definedName>
    <definedName name="vbg" localSheetId="20">[4]Reforma!#REF!</definedName>
    <definedName name="vbg" localSheetId="15">[4]Reforma!#REF!</definedName>
    <definedName name="vbg" localSheetId="4">[4]Reforma!#REF!</definedName>
    <definedName name="vbg" localSheetId="11">[4]Reforma!#REF!</definedName>
    <definedName name="vbg" localSheetId="13">[4]Reforma!#REF!</definedName>
    <definedName name="vbg" localSheetId="8">[4]Reforma!#REF!</definedName>
    <definedName name="vbg" localSheetId="6">[4]Reforma!#REF!</definedName>
    <definedName name="vbg" localSheetId="1">[4]Reforma!#REF!</definedName>
    <definedName name="vbg" localSheetId="9">[4]Reforma!#REF!</definedName>
    <definedName name="vbg" localSheetId="10">[4]Reforma!#REF!</definedName>
    <definedName name="vbg" localSheetId="16">[4]Reforma!#REF!</definedName>
    <definedName name="vbg" localSheetId="5">[4]Reforma!#REF!</definedName>
    <definedName name="vbg" localSheetId="12">[4]Reforma!#REF!</definedName>
    <definedName name="vbg" localSheetId="14">[4]Reforma!#REF!</definedName>
    <definedName name="vbg" localSheetId="7">[4]Reforma!#REF!</definedName>
    <definedName name="vbg" localSheetId="3">[4]Reforma!#REF!</definedName>
    <definedName name="vbg">[4]Reforma!#REF!</definedName>
    <definedName name="wrn.Cronograma." hidden="1">{#N/A,#N/A,FALSE,"Cronograma";#N/A,#N/A,FALSE,"Cronogr. 2"}</definedName>
    <definedName name="wrn.GERAL." hidden="1">{#N/A,#N/A,FALSE,"ET-CAPA";#N/A,#N/A,FALSE,"ET-PAG1";#N/A,#N/A,FALSE,"ET-PAG2";#N/A,#N/A,FALSE,"ET-PAG3";#N/A,#N/A,FALSE,"ET-PAG4";#N/A,#N/A,FALSE,"ET-PAG5"}</definedName>
    <definedName name="wrn.PENDENCIAS.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zxc" localSheetId="2">[4]Reforma!#REF!</definedName>
    <definedName name="zxc" localSheetId="19">[4]Reforma!#REF!</definedName>
    <definedName name="zxc" localSheetId="20">[4]Reforma!#REF!</definedName>
    <definedName name="zxc" localSheetId="15">[4]Reforma!#REF!</definedName>
    <definedName name="zxc" localSheetId="4">[4]Reforma!#REF!</definedName>
    <definedName name="zxc" localSheetId="11">[4]Reforma!#REF!</definedName>
    <definedName name="zxc" localSheetId="13">[4]Reforma!#REF!</definedName>
    <definedName name="zxc" localSheetId="8">[4]Reforma!#REF!</definedName>
    <definedName name="zxc" localSheetId="6">[4]Reforma!#REF!</definedName>
    <definedName name="zxc" localSheetId="1">[4]Reforma!#REF!</definedName>
    <definedName name="zxc" localSheetId="9">[4]Reforma!#REF!</definedName>
    <definedName name="zxc" localSheetId="10">[4]Reforma!#REF!</definedName>
    <definedName name="zxc" localSheetId="16">[4]Reforma!#REF!</definedName>
    <definedName name="zxc" localSheetId="5">[4]Reforma!#REF!</definedName>
    <definedName name="zxc" localSheetId="12">[4]Reforma!#REF!</definedName>
    <definedName name="zxc" localSheetId="14">[4]Reforma!#REF!</definedName>
    <definedName name="zxc" localSheetId="7">[4]Reforma!#REF!</definedName>
    <definedName name="zxc" localSheetId="3">[4]Reforma!#REF!</definedName>
    <definedName name="zxc">[4]Reforma!#REF!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639" i="13" l="1"/>
  <c r="C722" i="11"/>
  <c r="C677" i="11"/>
  <c r="C652" i="15"/>
  <c r="C810" i="4"/>
  <c r="C638" i="4"/>
  <c r="C218" i="4"/>
  <c r="C207" i="4"/>
  <c r="C202" i="4"/>
  <c r="C196" i="4"/>
  <c r="C190" i="4"/>
  <c r="A49" i="2"/>
  <c r="C789" i="49" l="1"/>
  <c r="C48" i="30"/>
  <c r="C47" i="30"/>
  <c r="C42" i="30"/>
  <c r="C38" i="30"/>
  <c r="A38" i="30"/>
  <c r="C27" i="30"/>
  <c r="A27" i="30"/>
  <c r="C24" i="30"/>
  <c r="C69" i="32"/>
  <c r="A69" i="32"/>
  <c r="C57" i="32"/>
  <c r="A57" i="32"/>
  <c r="C45" i="32"/>
  <c r="A45" i="32"/>
  <c r="C39" i="32"/>
  <c r="A39" i="32"/>
  <c r="C30" i="32"/>
  <c r="A30" i="32"/>
  <c r="C29" i="32"/>
  <c r="C28" i="32"/>
  <c r="A28" i="32"/>
  <c r="A23" i="32"/>
  <c r="C20" i="32"/>
  <c r="A20" i="32"/>
  <c r="C19" i="32"/>
  <c r="A19" i="32"/>
  <c r="C128" i="16"/>
  <c r="C73" i="16"/>
  <c r="A73" i="16"/>
  <c r="C64" i="16"/>
  <c r="C56" i="16"/>
  <c r="C44" i="16"/>
  <c r="C43" i="16"/>
  <c r="C41" i="16"/>
  <c r="A41" i="16"/>
  <c r="C32" i="16"/>
  <c r="C30" i="16"/>
  <c r="C29" i="16"/>
  <c r="A29" i="16"/>
  <c r="C20" i="16"/>
  <c r="A20" i="16"/>
  <c r="C19" i="16"/>
  <c r="A19" i="16"/>
  <c r="C18" i="16"/>
  <c r="A18" i="16"/>
  <c r="C67" i="12"/>
  <c r="A67" i="12"/>
  <c r="C66" i="12"/>
  <c r="A66" i="12"/>
  <c r="C52" i="12"/>
  <c r="A52" i="12"/>
  <c r="C43" i="12"/>
  <c r="A43" i="12"/>
  <c r="C42" i="12"/>
  <c r="C41" i="12"/>
  <c r="A41" i="12"/>
  <c r="C39" i="12"/>
  <c r="A39" i="12"/>
  <c r="C29" i="12"/>
  <c r="A29" i="12"/>
  <c r="C27" i="12"/>
  <c r="C26" i="12"/>
  <c r="A26" i="12"/>
  <c r="C21" i="12"/>
  <c r="A21" i="12"/>
  <c r="C20" i="12"/>
  <c r="A20" i="12"/>
  <c r="C19" i="12"/>
  <c r="A19" i="12"/>
  <c r="C57" i="2"/>
  <c r="A57" i="2"/>
  <c r="C49" i="2"/>
  <c r="A48" i="2"/>
  <c r="C41" i="2"/>
  <c r="A41" i="2"/>
  <c r="C40" i="2"/>
  <c r="C38" i="2"/>
  <c r="A38" i="2"/>
  <c r="C28" i="2"/>
  <c r="A28" i="2"/>
  <c r="C26" i="2"/>
  <c r="C25" i="2"/>
  <c r="A25" i="2"/>
  <c r="C20" i="2"/>
  <c r="A20" i="2"/>
  <c r="C16" i="2"/>
  <c r="C71" i="14"/>
  <c r="A71" i="14"/>
  <c r="C57" i="14"/>
  <c r="A57" i="14"/>
  <c r="C46" i="14"/>
  <c r="A46" i="14"/>
  <c r="C45" i="14"/>
  <c r="A45" i="14"/>
  <c r="C42" i="14"/>
  <c r="A42" i="14"/>
  <c r="C32" i="14"/>
  <c r="A32" i="14"/>
  <c r="C30" i="14"/>
  <c r="C29" i="14"/>
  <c r="A29" i="14"/>
  <c r="C21" i="14"/>
  <c r="A21" i="14"/>
  <c r="C20" i="14"/>
  <c r="A20" i="14"/>
  <c r="C17" i="14"/>
  <c r="A17" i="14"/>
  <c r="C30" i="48"/>
  <c r="C25" i="48"/>
  <c r="A25" i="48"/>
  <c r="C16" i="48"/>
  <c r="A16" i="48"/>
  <c r="A69" i="9"/>
  <c r="C68" i="9"/>
  <c r="A68" i="9"/>
  <c r="C67" i="9"/>
  <c r="A67" i="9"/>
  <c r="C57" i="9"/>
  <c r="A57" i="9"/>
  <c r="C53" i="9"/>
  <c r="A53" i="9"/>
  <c r="C51" i="9"/>
  <c r="A51" i="9"/>
  <c r="C41" i="9"/>
  <c r="A41" i="9"/>
  <c r="C40" i="9"/>
  <c r="A40" i="9"/>
  <c r="C38" i="9"/>
  <c r="A38" i="9"/>
  <c r="C29" i="9"/>
  <c r="A29" i="9"/>
  <c r="C28" i="9"/>
  <c r="A28" i="9"/>
  <c r="C27" i="9"/>
  <c r="A27" i="9"/>
  <c r="C19" i="9"/>
  <c r="A19" i="9"/>
  <c r="C18" i="9"/>
  <c r="A18" i="9"/>
  <c r="A41" i="48"/>
  <c r="G776" i="6"/>
  <c r="G801" i="6" s="1"/>
  <c r="G777" i="6"/>
  <c r="G778" i="6"/>
  <c r="G803" i="6" s="1"/>
  <c r="G779" i="6"/>
  <c r="G780" i="6"/>
  <c r="G781" i="6"/>
  <c r="G782" i="6"/>
  <c r="G783" i="6"/>
  <c r="G784" i="6"/>
  <c r="G785" i="6"/>
  <c r="G786" i="6"/>
  <c r="G787" i="6"/>
  <c r="G788" i="6"/>
  <c r="G789" i="6"/>
  <c r="G790" i="6"/>
  <c r="G802" i="6" s="1"/>
  <c r="G775" i="6"/>
  <c r="G800" i="6"/>
  <c r="G799" i="6"/>
  <c r="G798" i="6"/>
  <c r="G797" i="6"/>
  <c r="G793" i="6"/>
  <c r="G791" i="6"/>
  <c r="G794" i="6" s="1"/>
  <c r="G792" i="6"/>
  <c r="G763" i="6"/>
  <c r="G764" i="6"/>
  <c r="G765" i="6"/>
  <c r="G766" i="6"/>
  <c r="G755" i="6"/>
  <c r="G758" i="6" s="1"/>
  <c r="G756" i="6"/>
  <c r="G757" i="6" s="1"/>
  <c r="G415" i="6"/>
  <c r="G419" i="6" s="1"/>
  <c r="G804" i="6" l="1"/>
  <c r="F41" i="48" s="1"/>
  <c r="G795" i="6"/>
  <c r="C23" i="2"/>
  <c r="C612" i="4" s="1"/>
  <c r="C621" i="15"/>
  <c r="C611" i="11"/>
  <c r="A145" i="16"/>
  <c r="A135" i="16"/>
  <c r="A16" i="2"/>
  <c r="A48" i="30"/>
  <c r="A47" i="30"/>
  <c r="A42" i="30"/>
  <c r="A24" i="30"/>
  <c r="C55" i="32"/>
  <c r="A55" i="32"/>
  <c r="A50" i="32"/>
  <c r="A41" i="32"/>
  <c r="A29" i="32"/>
  <c r="A188" i="16"/>
  <c r="A181" i="16"/>
  <c r="A177" i="16"/>
  <c r="A154" i="16"/>
  <c r="A146" i="16"/>
  <c r="A138" i="16"/>
  <c r="A129" i="16"/>
  <c r="A128" i="16"/>
  <c r="A99" i="16"/>
  <c r="C89" i="16"/>
  <c r="A89" i="16"/>
  <c r="A64" i="16"/>
  <c r="A56" i="16"/>
  <c r="A44" i="16"/>
  <c r="A43" i="16"/>
  <c r="A32" i="16"/>
  <c r="A30" i="16"/>
  <c r="A42" i="12"/>
  <c r="A27" i="12"/>
  <c r="A40" i="2"/>
  <c r="A26" i="2"/>
  <c r="A30" i="14"/>
  <c r="A76" i="48"/>
  <c r="A30" i="48"/>
  <c r="C24" i="12" l="1"/>
  <c r="C613" i="17" s="1"/>
  <c r="C613" i="13"/>
  <c r="C27" i="16"/>
  <c r="G89" i="6"/>
  <c r="G88" i="6"/>
  <c r="G87" i="6"/>
  <c r="G86" i="6"/>
  <c r="G85" i="6"/>
  <c r="G84" i="6"/>
  <c r="G83" i="6"/>
  <c r="G769" i="6"/>
  <c r="G768" i="6"/>
  <c r="G767" i="6"/>
  <c r="G748" i="6"/>
  <c r="G749" i="6" s="1"/>
  <c r="G747" i="6"/>
  <c r="G750" i="6" s="1"/>
  <c r="C26" i="32" l="1"/>
  <c r="C613" i="35" s="1"/>
  <c r="G91" i="6"/>
  <c r="G90" i="6"/>
  <c r="G760" i="6"/>
  <c r="G771" i="6"/>
  <c r="G770" i="6"/>
  <c r="G93" i="6" l="1"/>
  <c r="G773" i="6"/>
  <c r="C41" i="32"/>
  <c r="C906" i="11" l="1"/>
  <c r="C721" i="29"/>
  <c r="G739" i="6"/>
  <c r="G740" i="6" s="1"/>
  <c r="G743" i="6" s="1"/>
  <c r="F99" i="16" s="1"/>
  <c r="C219" i="17"/>
  <c r="K711" i="13" l="1"/>
  <c r="L708" i="13" s="1"/>
  <c r="C708" i="13"/>
  <c r="C703" i="13"/>
  <c r="C697" i="13"/>
  <c r="K608" i="13"/>
  <c r="C606" i="13"/>
  <c r="K792" i="4"/>
  <c r="K791" i="4"/>
  <c r="K745" i="35"/>
  <c r="H745" i="35"/>
  <c r="C777" i="49"/>
  <c r="K779" i="49"/>
  <c r="K780" i="49" s="1"/>
  <c r="L777" i="49" s="1"/>
  <c r="E38" i="48" s="1"/>
  <c r="C783" i="49"/>
  <c r="C784" i="49"/>
  <c r="C925" i="11"/>
  <c r="J853" i="11"/>
  <c r="K853" i="11" s="1"/>
  <c r="C851" i="11"/>
  <c r="C218" i="11"/>
  <c r="C767" i="31"/>
  <c r="K769" i="31"/>
  <c r="K770" i="31" s="1"/>
  <c r="L767" i="31" s="1"/>
  <c r="E48" i="30" s="1"/>
  <c r="C23" i="32"/>
  <c r="C50" i="32"/>
  <c r="C650" i="17"/>
  <c r="C747" i="17"/>
  <c r="K749" i="17"/>
  <c r="K750" i="17" s="1"/>
  <c r="L747" i="17" s="1"/>
  <c r="C742" i="17"/>
  <c r="C737" i="17"/>
  <c r="C857" i="13"/>
  <c r="C852" i="13"/>
  <c r="C878" i="11"/>
  <c r="K880" i="11"/>
  <c r="K881" i="11" s="1"/>
  <c r="L878" i="11" s="1"/>
  <c r="C873" i="11"/>
  <c r="C868" i="11"/>
  <c r="L637" i="29" l="1"/>
  <c r="C504" i="6" l="1"/>
  <c r="G730" i="6"/>
  <c r="G729" i="6"/>
  <c r="G728" i="6"/>
  <c r="G731" i="6" s="1"/>
  <c r="G727" i="6"/>
  <c r="G732" i="6" s="1"/>
  <c r="G713" i="6"/>
  <c r="G714" i="6"/>
  <c r="G715" i="6"/>
  <c r="G716" i="6"/>
  <c r="G717" i="6"/>
  <c r="G718" i="6"/>
  <c r="G712" i="6"/>
  <c r="G719" i="6"/>
  <c r="G720" i="6" l="1"/>
  <c r="G721" i="6"/>
  <c r="G733" i="6"/>
  <c r="G734" i="6" s="1"/>
  <c r="C704" i="6"/>
  <c r="C705" i="6" s="1"/>
  <c r="G705" i="6"/>
  <c r="G707" i="6" s="1"/>
  <c r="G709" i="6" s="1"/>
  <c r="F188" i="16" s="1"/>
  <c r="C696" i="6"/>
  <c r="C698" i="6" s="1"/>
  <c r="G698" i="6"/>
  <c r="G700" i="6" s="1"/>
  <c r="G697" i="6"/>
  <c r="G699" i="6" s="1"/>
  <c r="G688" i="6"/>
  <c r="G690" i="6" s="1"/>
  <c r="C687" i="6"/>
  <c r="C689" i="6" s="1"/>
  <c r="G689" i="6"/>
  <c r="G691" i="6" s="1"/>
  <c r="G680" i="6"/>
  <c r="G682" i="6" s="1"/>
  <c r="G681" i="6"/>
  <c r="G683" i="6" s="1"/>
  <c r="C679" i="6"/>
  <c r="C681" i="6" s="1"/>
  <c r="G673" i="6"/>
  <c r="G675" i="6" s="1"/>
  <c r="G672" i="6"/>
  <c r="G674" i="6" s="1"/>
  <c r="G664" i="6"/>
  <c r="G666" i="6" s="1"/>
  <c r="C663" i="6"/>
  <c r="C665" i="6" s="1"/>
  <c r="G665" i="6"/>
  <c r="G667" i="6" s="1"/>
  <c r="G653" i="6"/>
  <c r="G654" i="6"/>
  <c r="G649" i="6"/>
  <c r="G650" i="6"/>
  <c r="G651" i="6"/>
  <c r="G655" i="6"/>
  <c r="G652" i="6"/>
  <c r="G642" i="6"/>
  <c r="G644" i="6" s="1"/>
  <c r="G641" i="6"/>
  <c r="G643" i="6" s="1"/>
  <c r="G677" i="6" l="1"/>
  <c r="F146" i="16" s="1"/>
  <c r="G723" i="6"/>
  <c r="G656" i="6"/>
  <c r="G657" i="6"/>
  <c r="G658" i="6"/>
  <c r="G702" i="6"/>
  <c r="F181" i="16" s="1"/>
  <c r="G693" i="6"/>
  <c r="F177" i="16" s="1"/>
  <c r="G685" i="6"/>
  <c r="F154" i="16" s="1"/>
  <c r="G669" i="6"/>
  <c r="F145" i="16" s="1"/>
  <c r="G646" i="6"/>
  <c r="F129" i="16" s="1"/>
  <c r="G634" i="6"/>
  <c r="G636" i="6" s="1"/>
  <c r="G633" i="6"/>
  <c r="G635" i="6" s="1"/>
  <c r="C885" i="11"/>
  <c r="K887" i="11"/>
  <c r="K888" i="11" s="1"/>
  <c r="L885" i="11" s="1"/>
  <c r="E57" i="9" s="1"/>
  <c r="C846" i="11"/>
  <c r="G659" i="6" l="1"/>
  <c r="F135" i="16" s="1"/>
  <c r="G638" i="6"/>
  <c r="F48" i="2" s="1"/>
  <c r="G623" i="6"/>
  <c r="G628" i="6" s="1"/>
  <c r="G624" i="6"/>
  <c r="G627" i="6" s="1"/>
  <c r="G626" i="6"/>
  <c r="G625" i="6"/>
  <c r="G629" i="6" l="1"/>
  <c r="G630" i="6" s="1"/>
  <c r="C644" i="49"/>
  <c r="C681" i="49"/>
  <c r="K739" i="31"/>
  <c r="K740" i="31" s="1"/>
  <c r="L737" i="31" s="1"/>
  <c r="L21" i="25"/>
  <c r="C978" i="29"/>
  <c r="C976" i="29"/>
  <c r="C971" i="29"/>
  <c r="K973" i="29"/>
  <c r="K974" i="29" s="1"/>
  <c r="L971" i="29" s="1"/>
  <c r="C966" i="29"/>
  <c r="K968" i="29"/>
  <c r="K969" i="29" s="1"/>
  <c r="L966" i="29" s="1"/>
  <c r="C961" i="29"/>
  <c r="K963" i="29"/>
  <c r="K964" i="29" s="1"/>
  <c r="L961" i="29" s="1"/>
  <c r="C956" i="29"/>
  <c r="C951" i="29"/>
  <c r="C946" i="29"/>
  <c r="C941" i="29"/>
  <c r="C936" i="29"/>
  <c r="C931" i="29"/>
  <c r="C926" i="29"/>
  <c r="C921" i="29"/>
  <c r="C919" i="29"/>
  <c r="C914" i="29"/>
  <c r="C909" i="29"/>
  <c r="C907" i="29"/>
  <c r="C902" i="29"/>
  <c r="C897" i="29"/>
  <c r="C895" i="29"/>
  <c r="C890" i="29"/>
  <c r="C885" i="29"/>
  <c r="C880" i="29"/>
  <c r="C875" i="29"/>
  <c r="C870" i="29"/>
  <c r="C865" i="29"/>
  <c r="C823" i="29"/>
  <c r="K760" i="29"/>
  <c r="K761" i="29" s="1"/>
  <c r="L758" i="29" s="1"/>
  <c r="E139" i="16" s="1"/>
  <c r="K765" i="29"/>
  <c r="K766" i="29" s="1"/>
  <c r="L763" i="29" s="1"/>
  <c r="C216" i="29"/>
  <c r="K218" i="29"/>
  <c r="K219" i="29" s="1"/>
  <c r="L216" i="29" s="1"/>
  <c r="C860" i="29"/>
  <c r="C146" i="16"/>
  <c r="C671" i="6" s="1"/>
  <c r="C673" i="6" s="1"/>
  <c r="F30" i="16" l="1"/>
  <c r="F28" i="9"/>
  <c r="F30" i="14"/>
  <c r="F29" i="32"/>
  <c r="F27" i="12"/>
  <c r="F26" i="2"/>
  <c r="G616" i="6" l="1"/>
  <c r="G618" i="6" s="1"/>
  <c r="G615" i="6"/>
  <c r="G617" i="6" s="1"/>
  <c r="G620" i="6" l="1"/>
  <c r="F89" i="16" l="1"/>
  <c r="F16" i="48"/>
  <c r="G16" i="48"/>
  <c r="H16" i="48" s="1"/>
  <c r="G604" i="6"/>
  <c r="G605" i="6"/>
  <c r="G606" i="6"/>
  <c r="G607" i="6"/>
  <c r="G608" i="6"/>
  <c r="G603" i="6"/>
  <c r="K980" i="49"/>
  <c r="K981" i="49" s="1"/>
  <c r="L978" i="49" s="1"/>
  <c r="C978" i="49"/>
  <c r="C976" i="49"/>
  <c r="K973" i="49"/>
  <c r="K974" i="49" s="1"/>
  <c r="C971" i="49"/>
  <c r="K967" i="49"/>
  <c r="K966" i="49"/>
  <c r="K969" i="49" s="1"/>
  <c r="C964" i="49"/>
  <c r="C961" i="49"/>
  <c r="K958" i="49"/>
  <c r="K959" i="49" s="1"/>
  <c r="L956" i="49" s="1"/>
  <c r="C956" i="49"/>
  <c r="K953" i="49"/>
  <c r="K952" i="49"/>
  <c r="C950" i="49"/>
  <c r="K947" i="49"/>
  <c r="K946" i="49"/>
  <c r="C944" i="49"/>
  <c r="K941" i="49"/>
  <c r="K940" i="49"/>
  <c r="C938" i="49"/>
  <c r="K935" i="49"/>
  <c r="K934" i="49"/>
  <c r="C932" i="49"/>
  <c r="K929" i="49"/>
  <c r="K928" i="49"/>
  <c r="K923" i="49"/>
  <c r="K922" i="49"/>
  <c r="C920" i="49"/>
  <c r="K917" i="49"/>
  <c r="K916" i="49"/>
  <c r="C914" i="49"/>
  <c r="C913" i="49"/>
  <c r="K910" i="49"/>
  <c r="K909" i="49"/>
  <c r="K908" i="49"/>
  <c r="K907" i="49"/>
  <c r="K906" i="49"/>
  <c r="K905" i="49"/>
  <c r="C903" i="49"/>
  <c r="K900" i="49"/>
  <c r="K899" i="49"/>
  <c r="K898" i="49"/>
  <c r="K897" i="49"/>
  <c r="K896" i="49"/>
  <c r="K895" i="49"/>
  <c r="C893" i="49"/>
  <c r="K890" i="49"/>
  <c r="K889" i="49"/>
  <c r="K888" i="49"/>
  <c r="K887" i="49"/>
  <c r="K886" i="49"/>
  <c r="K885" i="49"/>
  <c r="C883" i="49"/>
  <c r="K880" i="49"/>
  <c r="K881" i="49" s="1"/>
  <c r="L878" i="49" s="1"/>
  <c r="C878" i="49"/>
  <c r="C877" i="49"/>
  <c r="K874" i="49"/>
  <c r="K875" i="49" s="1"/>
  <c r="L872" i="49" s="1"/>
  <c r="C872" i="49"/>
  <c r="K869" i="49"/>
  <c r="K868" i="49"/>
  <c r="C866" i="49"/>
  <c r="K863" i="49"/>
  <c r="K862" i="49"/>
  <c r="K861" i="49"/>
  <c r="K860" i="49"/>
  <c r="K859" i="49"/>
  <c r="C857" i="49"/>
  <c r="C856" i="49"/>
  <c r="K852" i="49"/>
  <c r="K851" i="49"/>
  <c r="K850" i="49"/>
  <c r="C848" i="49"/>
  <c r="K845" i="49"/>
  <c r="K844" i="49"/>
  <c r="K843" i="49"/>
  <c r="C841" i="49"/>
  <c r="C839" i="49"/>
  <c r="K836" i="49"/>
  <c r="K837" i="49" s="1"/>
  <c r="L834" i="49" s="1"/>
  <c r="C834" i="49"/>
  <c r="K831" i="49"/>
  <c r="K832" i="49" s="1"/>
  <c r="L829" i="49" s="1"/>
  <c r="C829" i="49"/>
  <c r="C827" i="49"/>
  <c r="K823" i="49"/>
  <c r="K824" i="49" s="1"/>
  <c r="L821" i="49" s="1"/>
  <c r="C821" i="49"/>
  <c r="K818" i="49"/>
  <c r="K819" i="49" s="1"/>
  <c r="L816" i="49" s="1"/>
  <c r="C816" i="49"/>
  <c r="C815" i="49"/>
  <c r="F812" i="49"/>
  <c r="K812" i="49" s="1"/>
  <c r="K813" i="49" s="1"/>
  <c r="L810" i="49" s="1"/>
  <c r="C810" i="49"/>
  <c r="K807" i="49"/>
  <c r="K808" i="49" s="1"/>
  <c r="L805" i="49" s="1"/>
  <c r="C805" i="49"/>
  <c r="K802" i="49"/>
  <c r="K803" i="49" s="1"/>
  <c r="L800" i="49" s="1"/>
  <c r="C800" i="49"/>
  <c r="C799" i="49"/>
  <c r="K796" i="49"/>
  <c r="K797" i="49" s="1"/>
  <c r="L794" i="49" s="1"/>
  <c r="C794" i="49"/>
  <c r="K791" i="49"/>
  <c r="K792" i="49" s="1"/>
  <c r="L789" i="49" s="1"/>
  <c r="K786" i="49"/>
  <c r="K787" i="49" s="1"/>
  <c r="L784" i="49" s="1"/>
  <c r="K774" i="49"/>
  <c r="K775" i="49" s="1"/>
  <c r="L772" i="49" s="1"/>
  <c r="E37" i="48" s="1"/>
  <c r="C772" i="49"/>
  <c r="C770" i="49"/>
  <c r="K766" i="49"/>
  <c r="K767" i="49" s="1"/>
  <c r="L764" i="49" s="1"/>
  <c r="E33" i="48" s="1"/>
  <c r="C764" i="49"/>
  <c r="K760" i="49"/>
  <c r="K761" i="49" s="1"/>
  <c r="K753" i="49"/>
  <c r="K752" i="49"/>
  <c r="K751" i="49"/>
  <c r="K750" i="49"/>
  <c r="K749" i="49"/>
  <c r="K748" i="49"/>
  <c r="K747" i="49"/>
  <c r="K746" i="49"/>
  <c r="K745" i="49"/>
  <c r="K744" i="49"/>
  <c r="K743" i="49"/>
  <c r="K742" i="49"/>
  <c r="K741" i="49"/>
  <c r="K740" i="49"/>
  <c r="K739" i="49"/>
  <c r="K738" i="49"/>
  <c r="K737" i="49"/>
  <c r="K736" i="49"/>
  <c r="K735" i="49"/>
  <c r="K734" i="49"/>
  <c r="K733" i="49"/>
  <c r="K732" i="49"/>
  <c r="K731" i="49"/>
  <c r="K730" i="49"/>
  <c r="K729" i="49"/>
  <c r="K728" i="49"/>
  <c r="K727" i="49"/>
  <c r="K726" i="49"/>
  <c r="K725" i="49"/>
  <c r="K724" i="49"/>
  <c r="K723" i="49"/>
  <c r="K722" i="49"/>
  <c r="K721" i="49"/>
  <c r="K720" i="49"/>
  <c r="K719" i="49"/>
  <c r="K718" i="49"/>
  <c r="K717" i="49"/>
  <c r="K716" i="49"/>
  <c r="K715" i="49"/>
  <c r="K714" i="49"/>
  <c r="K713" i="49"/>
  <c r="K712" i="49"/>
  <c r="K711" i="49"/>
  <c r="K710" i="49"/>
  <c r="K709" i="49"/>
  <c r="K708" i="49"/>
  <c r="C706" i="49"/>
  <c r="K702" i="49"/>
  <c r="K701" i="49"/>
  <c r="K700" i="49"/>
  <c r="K699" i="49"/>
  <c r="C697" i="49"/>
  <c r="C692" i="49"/>
  <c r="K689" i="49"/>
  <c r="K688" i="49"/>
  <c r="K687" i="49"/>
  <c r="K686" i="49"/>
  <c r="K685" i="49"/>
  <c r="K684" i="49"/>
  <c r="K683" i="49"/>
  <c r="K678" i="49"/>
  <c r="K677" i="49"/>
  <c r="K676" i="49"/>
  <c r="K675" i="49"/>
  <c r="K674" i="49"/>
  <c r="K673" i="49"/>
  <c r="K672" i="49"/>
  <c r="K671" i="49"/>
  <c r="K670" i="49"/>
  <c r="K669" i="49"/>
  <c r="K668" i="49"/>
  <c r="K667" i="49"/>
  <c r="K666" i="49"/>
  <c r="K665" i="49"/>
  <c r="K664" i="49"/>
  <c r="K663" i="49"/>
  <c r="K662" i="49"/>
  <c r="K661" i="49"/>
  <c r="K660" i="49"/>
  <c r="K659" i="49"/>
  <c r="K658" i="49"/>
  <c r="K657" i="49"/>
  <c r="K656" i="49"/>
  <c r="K655" i="49"/>
  <c r="K654" i="49"/>
  <c r="K653" i="49"/>
  <c r="K652" i="49"/>
  <c r="K651" i="49"/>
  <c r="K650" i="49"/>
  <c r="K649" i="49"/>
  <c r="K648" i="49"/>
  <c r="K647" i="49"/>
  <c r="K646" i="49"/>
  <c r="K640" i="49"/>
  <c r="K639" i="49"/>
  <c r="K638" i="49"/>
  <c r="K637" i="49"/>
  <c r="K636" i="49"/>
  <c r="K635" i="49"/>
  <c r="K634" i="49"/>
  <c r="K629" i="49"/>
  <c r="K628" i="49"/>
  <c r="K627" i="49"/>
  <c r="K626" i="49"/>
  <c r="K625" i="49"/>
  <c r="K624" i="49"/>
  <c r="K623" i="49"/>
  <c r="K622" i="49"/>
  <c r="K621" i="49"/>
  <c r="K620" i="49"/>
  <c r="K619" i="49"/>
  <c r="K618" i="49"/>
  <c r="K617" i="49"/>
  <c r="K616" i="49"/>
  <c r="K615" i="49"/>
  <c r="K614" i="49"/>
  <c r="K613" i="49"/>
  <c r="K612" i="49"/>
  <c r="K611" i="49"/>
  <c r="K610" i="49"/>
  <c r="K609" i="49"/>
  <c r="K608" i="49"/>
  <c r="K607" i="49"/>
  <c r="K606" i="49"/>
  <c r="K605" i="49"/>
  <c r="K604" i="49"/>
  <c r="K603" i="49"/>
  <c r="K602" i="49"/>
  <c r="K601" i="49"/>
  <c r="K600" i="49"/>
  <c r="K599" i="49"/>
  <c r="K598" i="49"/>
  <c r="K597" i="49"/>
  <c r="K590" i="49"/>
  <c r="K591" i="49" s="1"/>
  <c r="L588" i="49" s="1"/>
  <c r="K588" i="49"/>
  <c r="C588" i="49"/>
  <c r="B588" i="49"/>
  <c r="K585" i="49"/>
  <c r="K584" i="49"/>
  <c r="K582" i="49"/>
  <c r="C582" i="49"/>
  <c r="B582" i="49"/>
  <c r="K578" i="49"/>
  <c r="K579" i="49" s="1"/>
  <c r="L576" i="49" s="1"/>
  <c r="K576" i="49"/>
  <c r="C576" i="49"/>
  <c r="B576" i="49"/>
  <c r="C575" i="49"/>
  <c r="B575" i="49"/>
  <c r="K572" i="49"/>
  <c r="K573" i="49" s="1"/>
  <c r="L570" i="49" s="1"/>
  <c r="K570" i="49"/>
  <c r="C570" i="49"/>
  <c r="B570" i="49"/>
  <c r="C569" i="49"/>
  <c r="B569" i="49"/>
  <c r="K566" i="49"/>
  <c r="K565" i="49"/>
  <c r="K563" i="49"/>
  <c r="C563" i="49"/>
  <c r="B563" i="49"/>
  <c r="K560" i="49"/>
  <c r="K559" i="49"/>
  <c r="K557" i="49"/>
  <c r="C557" i="49"/>
  <c r="B557" i="49"/>
  <c r="K554" i="49"/>
  <c r="K555" i="49" s="1"/>
  <c r="L552" i="49" s="1"/>
  <c r="K552" i="49"/>
  <c r="C552" i="49"/>
  <c r="B552" i="49"/>
  <c r="K549" i="49"/>
  <c r="K550" i="49" s="1"/>
  <c r="L547" i="49" s="1"/>
  <c r="K547" i="49"/>
  <c r="C547" i="49"/>
  <c r="B547" i="49"/>
  <c r="K544" i="49"/>
  <c r="K545" i="49" s="1"/>
  <c r="L542" i="49" s="1"/>
  <c r="K542" i="49"/>
  <c r="C542" i="49"/>
  <c r="B542" i="49"/>
  <c r="C541" i="49"/>
  <c r="B541" i="49"/>
  <c r="K538" i="49"/>
  <c r="K537" i="49"/>
  <c r="K535" i="49"/>
  <c r="C535" i="49"/>
  <c r="B535" i="49"/>
  <c r="K532" i="49"/>
  <c r="K531" i="49"/>
  <c r="K529" i="49"/>
  <c r="C529" i="49"/>
  <c r="B529" i="49"/>
  <c r="K526" i="49"/>
  <c r="K527" i="49" s="1"/>
  <c r="L524" i="49" s="1"/>
  <c r="K524" i="49"/>
  <c r="C524" i="49"/>
  <c r="B524" i="49"/>
  <c r="K521" i="49"/>
  <c r="K522" i="49" s="1"/>
  <c r="L519" i="49" s="1"/>
  <c r="K519" i="49"/>
  <c r="C519" i="49"/>
  <c r="B519" i="49"/>
  <c r="K516" i="49"/>
  <c r="K517" i="49" s="1"/>
  <c r="L514" i="49" s="1"/>
  <c r="K514" i="49"/>
  <c r="C514" i="49"/>
  <c r="B514" i="49"/>
  <c r="C513" i="49"/>
  <c r="B513" i="49"/>
  <c r="K510" i="49"/>
  <c r="K509" i="49"/>
  <c r="K507" i="49"/>
  <c r="C507" i="49"/>
  <c r="B507" i="49"/>
  <c r="K504" i="49"/>
  <c r="K503" i="49"/>
  <c r="K501" i="49"/>
  <c r="C501" i="49"/>
  <c r="B501" i="49"/>
  <c r="K498" i="49"/>
  <c r="K497" i="49"/>
  <c r="K496" i="49"/>
  <c r="K494" i="49"/>
  <c r="C494" i="49"/>
  <c r="B494" i="49"/>
  <c r="K491" i="49"/>
  <c r="K492" i="49" s="1"/>
  <c r="L489" i="49" s="1"/>
  <c r="K489" i="49"/>
  <c r="C489" i="49"/>
  <c r="B489" i="49"/>
  <c r="K486" i="49"/>
  <c r="K485" i="49"/>
  <c r="K484" i="49"/>
  <c r="K482" i="49"/>
  <c r="C482" i="49"/>
  <c r="B482" i="49"/>
  <c r="C481" i="49"/>
  <c r="B481" i="49"/>
  <c r="I478" i="49"/>
  <c r="K478" i="49" s="1"/>
  <c r="I477" i="49"/>
  <c r="K477" i="49" s="1"/>
  <c r="I476" i="49"/>
  <c r="K476" i="49" s="1"/>
  <c r="K474" i="49"/>
  <c r="C474" i="49"/>
  <c r="B474" i="49"/>
  <c r="K471" i="49"/>
  <c r="K470" i="49"/>
  <c r="K469" i="49"/>
  <c r="K467" i="49"/>
  <c r="C467" i="49"/>
  <c r="B467" i="49"/>
  <c r="K464" i="49"/>
  <c r="K465" i="49" s="1"/>
  <c r="L462" i="49" s="1"/>
  <c r="K462" i="49"/>
  <c r="C462" i="49"/>
  <c r="B462" i="49"/>
  <c r="K459" i="49"/>
  <c r="K460" i="49" s="1"/>
  <c r="L457" i="49" s="1"/>
  <c r="K457" i="49"/>
  <c r="C457" i="49"/>
  <c r="B457" i="49"/>
  <c r="K454" i="49"/>
  <c r="K455" i="49" s="1"/>
  <c r="L452" i="49" s="1"/>
  <c r="K452" i="49"/>
  <c r="C452" i="49"/>
  <c r="B452" i="49"/>
  <c r="C451" i="49"/>
  <c r="B451" i="49"/>
  <c r="K448" i="49"/>
  <c r="K447" i="49"/>
  <c r="K446" i="49"/>
  <c r="K444" i="49"/>
  <c r="C444" i="49"/>
  <c r="B444" i="49"/>
  <c r="K441" i="49"/>
  <c r="K440" i="49"/>
  <c r="K438" i="49"/>
  <c r="C438" i="49"/>
  <c r="B438" i="49"/>
  <c r="K435" i="49"/>
  <c r="K436" i="49" s="1"/>
  <c r="L433" i="49" s="1"/>
  <c r="K433" i="49"/>
  <c r="C433" i="49"/>
  <c r="B433" i="49"/>
  <c r="K430" i="49"/>
  <c r="K431" i="49" s="1"/>
  <c r="L428" i="49" s="1"/>
  <c r="K428" i="49"/>
  <c r="C428" i="49"/>
  <c r="B428" i="49"/>
  <c r="K425" i="49"/>
  <c r="K426" i="49" s="1"/>
  <c r="L423" i="49" s="1"/>
  <c r="K423" i="49"/>
  <c r="C423" i="49"/>
  <c r="B423" i="49"/>
  <c r="C422" i="49"/>
  <c r="B422" i="49"/>
  <c r="C421" i="49"/>
  <c r="B421" i="49"/>
  <c r="K418" i="49"/>
  <c r="K417" i="49"/>
  <c r="K415" i="49"/>
  <c r="C415" i="49"/>
  <c r="B415" i="49"/>
  <c r="K412" i="49"/>
  <c r="K411" i="49"/>
  <c r="K409" i="49"/>
  <c r="C409" i="49"/>
  <c r="B409" i="49"/>
  <c r="K406" i="49"/>
  <c r="K405" i="49"/>
  <c r="K403" i="49"/>
  <c r="C403" i="49"/>
  <c r="B403" i="49"/>
  <c r="K400" i="49"/>
  <c r="K399" i="49"/>
  <c r="K398" i="49"/>
  <c r="K397" i="49"/>
  <c r="K396" i="49"/>
  <c r="K394" i="49"/>
  <c r="C394" i="49"/>
  <c r="B394" i="49"/>
  <c r="K391" i="49"/>
  <c r="K390" i="49"/>
  <c r="K389" i="49"/>
  <c r="K388" i="49"/>
  <c r="K387" i="49"/>
  <c r="K385" i="49"/>
  <c r="C385" i="49"/>
  <c r="B385" i="49"/>
  <c r="K382" i="49"/>
  <c r="K381" i="49"/>
  <c r="K380" i="49"/>
  <c r="K379" i="49"/>
  <c r="K378" i="49"/>
  <c r="K376" i="49"/>
  <c r="C376" i="49"/>
  <c r="B376" i="49"/>
  <c r="C375" i="49"/>
  <c r="B375" i="49"/>
  <c r="I372" i="49"/>
  <c r="K372" i="49" s="1"/>
  <c r="K373" i="49" s="1"/>
  <c r="L370" i="49" s="1"/>
  <c r="K370" i="49"/>
  <c r="C370" i="49"/>
  <c r="B370" i="49"/>
  <c r="I367" i="49"/>
  <c r="K367" i="49" s="1"/>
  <c r="K368" i="49" s="1"/>
  <c r="L365" i="49" s="1"/>
  <c r="K365" i="49"/>
  <c r="C365" i="49"/>
  <c r="B365" i="49"/>
  <c r="K362" i="49"/>
  <c r="K363" i="49" s="1"/>
  <c r="L360" i="49" s="1"/>
  <c r="F362" i="49"/>
  <c r="K360" i="49"/>
  <c r="C360" i="49"/>
  <c r="B360" i="49"/>
  <c r="F357" i="49"/>
  <c r="K357" i="49" s="1"/>
  <c r="K358" i="49" s="1"/>
  <c r="L355" i="49" s="1"/>
  <c r="K355" i="49"/>
  <c r="C355" i="49"/>
  <c r="B355" i="49"/>
  <c r="I352" i="49"/>
  <c r="K352" i="49" s="1"/>
  <c r="K353" i="49" s="1"/>
  <c r="L350" i="49" s="1"/>
  <c r="K350" i="49"/>
  <c r="C350" i="49"/>
  <c r="B350" i="49"/>
  <c r="F347" i="49"/>
  <c r="K347" i="49" s="1"/>
  <c r="K348" i="49" s="1"/>
  <c r="L345" i="49" s="1"/>
  <c r="K345" i="49"/>
  <c r="C345" i="49"/>
  <c r="B345" i="49"/>
  <c r="F342" i="49"/>
  <c r="K342" i="49" s="1"/>
  <c r="K343" i="49" s="1"/>
  <c r="L340" i="49" s="1"/>
  <c r="K340" i="49"/>
  <c r="C340" i="49"/>
  <c r="B340" i="49"/>
  <c r="F337" i="49"/>
  <c r="K337" i="49" s="1"/>
  <c r="K338" i="49" s="1"/>
  <c r="L335" i="49" s="1"/>
  <c r="K335" i="49"/>
  <c r="C335" i="49"/>
  <c r="B335" i="49"/>
  <c r="F332" i="49"/>
  <c r="K332" i="49" s="1"/>
  <c r="K333" i="49" s="1"/>
  <c r="L330" i="49" s="1"/>
  <c r="K330" i="49"/>
  <c r="C330" i="49"/>
  <c r="B330" i="49"/>
  <c r="F327" i="49"/>
  <c r="K327" i="49" s="1"/>
  <c r="K328" i="49" s="1"/>
  <c r="L325" i="49" s="1"/>
  <c r="K325" i="49"/>
  <c r="C325" i="49"/>
  <c r="B325" i="49"/>
  <c r="F322" i="49"/>
  <c r="K322" i="49" s="1"/>
  <c r="K323" i="49" s="1"/>
  <c r="L320" i="49" s="1"/>
  <c r="K320" i="49"/>
  <c r="C320" i="49"/>
  <c r="B320" i="49"/>
  <c r="F317" i="49"/>
  <c r="K317" i="49" s="1"/>
  <c r="K318" i="49" s="1"/>
  <c r="L315" i="49" s="1"/>
  <c r="K315" i="49"/>
  <c r="C315" i="49"/>
  <c r="B315" i="49"/>
  <c r="F312" i="49"/>
  <c r="K312" i="49" s="1"/>
  <c r="K313" i="49" s="1"/>
  <c r="L310" i="49" s="1"/>
  <c r="K310" i="49"/>
  <c r="C310" i="49"/>
  <c r="B310" i="49"/>
  <c r="F307" i="49"/>
  <c r="K307" i="49" s="1"/>
  <c r="K308" i="49" s="1"/>
  <c r="L305" i="49" s="1"/>
  <c r="K305" i="49"/>
  <c r="C305" i="49"/>
  <c r="B305" i="49"/>
  <c r="F302" i="49"/>
  <c r="K302" i="49" s="1"/>
  <c r="K303" i="49" s="1"/>
  <c r="L300" i="49" s="1"/>
  <c r="K300" i="49"/>
  <c r="C300" i="49"/>
  <c r="B300" i="49"/>
  <c r="C299" i="49"/>
  <c r="B299" i="49"/>
  <c r="K296" i="49"/>
  <c r="K297" i="49" s="1"/>
  <c r="L294" i="49" s="1"/>
  <c r="K294" i="49"/>
  <c r="C294" i="49"/>
  <c r="B294" i="49"/>
  <c r="K291" i="49"/>
  <c r="K292" i="49" s="1"/>
  <c r="L289" i="49" s="1"/>
  <c r="K289" i="49"/>
  <c r="C289" i="49"/>
  <c r="B289" i="49"/>
  <c r="K286" i="49"/>
  <c r="K287" i="49" s="1"/>
  <c r="L284" i="49" s="1"/>
  <c r="K284" i="49"/>
  <c r="C284" i="49"/>
  <c r="B284" i="49"/>
  <c r="K281" i="49"/>
  <c r="K282" i="49" s="1"/>
  <c r="L279" i="49" s="1"/>
  <c r="K279" i="49"/>
  <c r="C279" i="49"/>
  <c r="B279" i="49"/>
  <c r="K276" i="49"/>
  <c r="K277" i="49" s="1"/>
  <c r="L274" i="49" s="1"/>
  <c r="K274" i="49"/>
  <c r="C274" i="49"/>
  <c r="B274" i="49"/>
  <c r="K271" i="49"/>
  <c r="K272" i="49" s="1"/>
  <c r="L269" i="49" s="1"/>
  <c r="K269" i="49"/>
  <c r="C269" i="49"/>
  <c r="B269" i="49"/>
  <c r="K266" i="49"/>
  <c r="K267" i="49" s="1"/>
  <c r="L264" i="49" s="1"/>
  <c r="K264" i="49"/>
  <c r="C264" i="49"/>
  <c r="B264" i="49"/>
  <c r="K261" i="49"/>
  <c r="K262" i="49" s="1"/>
  <c r="L259" i="49" s="1"/>
  <c r="K259" i="49"/>
  <c r="C259" i="49"/>
  <c r="B259" i="49"/>
  <c r="K256" i="49"/>
  <c r="K257" i="49" s="1"/>
  <c r="L254" i="49" s="1"/>
  <c r="K254" i="49"/>
  <c r="C254" i="49"/>
  <c r="B254" i="49"/>
  <c r="K251" i="49"/>
  <c r="K252" i="49" s="1"/>
  <c r="L249" i="49" s="1"/>
  <c r="K249" i="49"/>
  <c r="C249" i="49"/>
  <c r="B249" i="49"/>
  <c r="K246" i="49"/>
  <c r="K247" i="49" s="1"/>
  <c r="K244" i="49"/>
  <c r="K245" i="49" s="1"/>
  <c r="L243" i="49"/>
  <c r="K243" i="49"/>
  <c r="C243" i="49"/>
  <c r="B243" i="49"/>
  <c r="K240" i="49"/>
  <c r="K241" i="49" s="1"/>
  <c r="L238" i="49"/>
  <c r="K238" i="49"/>
  <c r="C238" i="49"/>
  <c r="B238" i="49"/>
  <c r="K236" i="49"/>
  <c r="K235" i="49"/>
  <c r="L233" i="49"/>
  <c r="K233" i="49"/>
  <c r="C233" i="49"/>
  <c r="B233" i="49"/>
  <c r="L230" i="49"/>
  <c r="K230" i="49"/>
  <c r="C230" i="49"/>
  <c r="B230" i="49"/>
  <c r="K229" i="49"/>
  <c r="K227" i="49"/>
  <c r="K226" i="49"/>
  <c r="K225" i="49"/>
  <c r="K224" i="49"/>
  <c r="K222" i="49"/>
  <c r="K219" i="49"/>
  <c r="I218" i="49"/>
  <c r="K218" i="49" s="1"/>
  <c r="K217" i="49"/>
  <c r="I216" i="49"/>
  <c r="K216" i="49" s="1"/>
  <c r="K214" i="49"/>
  <c r="C214" i="49"/>
  <c r="B214" i="49"/>
  <c r="K211" i="49"/>
  <c r="I210" i="49"/>
  <c r="K210" i="49" s="1"/>
  <c r="K209" i="49"/>
  <c r="I208" i="49"/>
  <c r="K208" i="49" s="1"/>
  <c r="F204" i="49"/>
  <c r="K204" i="49" s="1"/>
  <c r="K205" i="49" s="1"/>
  <c r="L202" i="49" s="1"/>
  <c r="C202" i="49"/>
  <c r="K198" i="49"/>
  <c r="K199" i="49" s="1"/>
  <c r="L196" i="49" s="1"/>
  <c r="C196" i="49"/>
  <c r="K193" i="49"/>
  <c r="K194" i="49" s="1"/>
  <c r="L191" i="49" s="1"/>
  <c r="C191" i="49"/>
  <c r="K186" i="49"/>
  <c r="I185" i="49"/>
  <c r="K185" i="49" s="1"/>
  <c r="I184" i="49"/>
  <c r="K184" i="49" s="1"/>
  <c r="K182" i="49"/>
  <c r="C182" i="49"/>
  <c r="B182" i="49"/>
  <c r="C181" i="49"/>
  <c r="B181" i="49"/>
  <c r="K178" i="49"/>
  <c r="K179" i="49" s="1"/>
  <c r="L176" i="49" s="1"/>
  <c r="K176" i="49"/>
  <c r="C176" i="49"/>
  <c r="B176" i="49"/>
  <c r="K173" i="49"/>
  <c r="K174" i="49" s="1"/>
  <c r="L171" i="49" s="1"/>
  <c r="K171" i="49"/>
  <c r="C171" i="49"/>
  <c r="B171" i="49"/>
  <c r="K168" i="49"/>
  <c r="K169" i="49" s="1"/>
  <c r="L166" i="49" s="1"/>
  <c r="K166" i="49"/>
  <c r="C166" i="49"/>
  <c r="B166" i="49"/>
  <c r="K163" i="49"/>
  <c r="K164" i="49" s="1"/>
  <c r="L161" i="49" s="1"/>
  <c r="K161" i="49"/>
  <c r="C161" i="49"/>
  <c r="B161" i="49"/>
  <c r="K158" i="49"/>
  <c r="K159" i="49" s="1"/>
  <c r="L156" i="49" s="1"/>
  <c r="K156" i="49"/>
  <c r="C156" i="49"/>
  <c r="B156" i="49"/>
  <c r="K153" i="49"/>
  <c r="K152" i="49"/>
  <c r="K150" i="49"/>
  <c r="C150" i="49"/>
  <c r="B150" i="49"/>
  <c r="K147" i="49"/>
  <c r="K146" i="49"/>
  <c r="K144" i="49"/>
  <c r="C144" i="49"/>
  <c r="B144" i="49"/>
  <c r="K141" i="49"/>
  <c r="K140" i="49"/>
  <c r="K142" i="49" s="1"/>
  <c r="L138" i="49" s="1"/>
  <c r="K138" i="49"/>
  <c r="C138" i="49"/>
  <c r="B138" i="49"/>
  <c r="K135" i="49"/>
  <c r="K134" i="49"/>
  <c r="K133" i="49"/>
  <c r="K131" i="49"/>
  <c r="C131" i="49"/>
  <c r="B131" i="49"/>
  <c r="H128" i="49"/>
  <c r="G128" i="49"/>
  <c r="H127" i="49"/>
  <c r="G127" i="49"/>
  <c r="H126" i="49"/>
  <c r="G126" i="49"/>
  <c r="H125" i="49"/>
  <c r="G125" i="49"/>
  <c r="H124" i="49"/>
  <c r="G124" i="49"/>
  <c r="K122" i="49"/>
  <c r="C122" i="49"/>
  <c r="B122" i="49"/>
  <c r="G119" i="49"/>
  <c r="K119" i="49" s="1"/>
  <c r="G118" i="49"/>
  <c r="K118" i="49" s="1"/>
  <c r="G117" i="49"/>
  <c r="K117" i="49" s="1"/>
  <c r="G116" i="49"/>
  <c r="K116" i="49" s="1"/>
  <c r="G115" i="49"/>
  <c r="K115" i="49" s="1"/>
  <c r="K113" i="49"/>
  <c r="C113" i="49"/>
  <c r="B113" i="49"/>
  <c r="K110" i="49"/>
  <c r="K109" i="49"/>
  <c r="K108" i="49"/>
  <c r="K106" i="49"/>
  <c r="C106" i="49"/>
  <c r="B106" i="49"/>
  <c r="K103" i="49"/>
  <c r="K104" i="49" s="1"/>
  <c r="L101" i="49" s="1"/>
  <c r="K101" i="49"/>
  <c r="C101" i="49"/>
  <c r="B101" i="49"/>
  <c r="C100" i="49"/>
  <c r="B100" i="49"/>
  <c r="K97" i="49"/>
  <c r="K98" i="49" s="1"/>
  <c r="L95" i="49" s="1"/>
  <c r="K95" i="49"/>
  <c r="C95" i="49"/>
  <c r="B95" i="49"/>
  <c r="K92" i="49"/>
  <c r="K93" i="49" s="1"/>
  <c r="L90" i="49" s="1"/>
  <c r="K90" i="49"/>
  <c r="C90" i="49"/>
  <c r="B90" i="49"/>
  <c r="K87" i="49"/>
  <c r="K88" i="49" s="1"/>
  <c r="L85" i="49" s="1"/>
  <c r="K85" i="49"/>
  <c r="C85" i="49"/>
  <c r="B85" i="49"/>
  <c r="K82" i="49"/>
  <c r="I81" i="49"/>
  <c r="K81" i="49" s="1"/>
  <c r="K80" i="49"/>
  <c r="K79" i="49"/>
  <c r="K78" i="49"/>
  <c r="K76" i="49"/>
  <c r="C76" i="49"/>
  <c r="B76" i="49"/>
  <c r="K73" i="49"/>
  <c r="I72" i="49"/>
  <c r="K72" i="49" s="1"/>
  <c r="K71" i="49"/>
  <c r="K70" i="49"/>
  <c r="K69" i="49"/>
  <c r="K67" i="49"/>
  <c r="C67" i="49"/>
  <c r="B67" i="49"/>
  <c r="K64" i="49"/>
  <c r="I63" i="49"/>
  <c r="K63" i="49" s="1"/>
  <c r="K62" i="49"/>
  <c r="K61" i="49"/>
  <c r="K60" i="49"/>
  <c r="K59" i="49"/>
  <c r="K57" i="49"/>
  <c r="C57" i="49"/>
  <c r="B57" i="49"/>
  <c r="C56" i="49"/>
  <c r="B56" i="49"/>
  <c r="K51" i="49"/>
  <c r="C51" i="49"/>
  <c r="B51" i="49"/>
  <c r="K48" i="49"/>
  <c r="I47" i="49"/>
  <c r="K47" i="49" s="1"/>
  <c r="K46" i="49"/>
  <c r="K45" i="49"/>
  <c r="K44" i="49"/>
  <c r="K43" i="49"/>
  <c r="K41" i="49"/>
  <c r="C41" i="49"/>
  <c r="B41" i="49"/>
  <c r="F38" i="49"/>
  <c r="K38" i="49" s="1"/>
  <c r="K39" i="49" s="1"/>
  <c r="L36" i="49" s="1"/>
  <c r="K36" i="49"/>
  <c r="C36" i="49"/>
  <c r="B36" i="49"/>
  <c r="C35" i="49"/>
  <c r="B35" i="49"/>
  <c r="K32" i="49"/>
  <c r="K33" i="49" s="1"/>
  <c r="L30" i="49" s="1"/>
  <c r="K30" i="49"/>
  <c r="C30" i="49"/>
  <c r="B30" i="49"/>
  <c r="C29" i="49"/>
  <c r="B29" i="49"/>
  <c r="K26" i="49"/>
  <c r="K25" i="49"/>
  <c r="K23" i="49"/>
  <c r="C23" i="49"/>
  <c r="B23" i="49"/>
  <c r="K20" i="49"/>
  <c r="K21" i="49" s="1"/>
  <c r="L18" i="49" s="1"/>
  <c r="K18" i="49"/>
  <c r="C18" i="49"/>
  <c r="B18" i="49"/>
  <c r="K15" i="49"/>
  <c r="K16" i="49" s="1"/>
  <c r="L13" i="49" s="1"/>
  <c r="K13" i="49"/>
  <c r="C13" i="49"/>
  <c r="B13" i="49"/>
  <c r="C12" i="49"/>
  <c r="B12" i="49"/>
  <c r="G8" i="49"/>
  <c r="C8" i="49"/>
  <c r="J7" i="49"/>
  <c r="G7" i="49"/>
  <c r="D7" i="49"/>
  <c r="D2" i="49"/>
  <c r="G78" i="48"/>
  <c r="H78" i="48" s="1"/>
  <c r="H77" i="48" s="1"/>
  <c r="G75" i="48"/>
  <c r="G73" i="48"/>
  <c r="H73" i="48" s="1"/>
  <c r="G72" i="48"/>
  <c r="H72" i="48" s="1"/>
  <c r="G71" i="48"/>
  <c r="H71" i="48" s="1"/>
  <c r="G70" i="48"/>
  <c r="H70" i="48" s="1"/>
  <c r="G69" i="48"/>
  <c r="H69" i="48" s="1"/>
  <c r="G68" i="48"/>
  <c r="H68" i="48" s="1"/>
  <c r="G67" i="48"/>
  <c r="H67" i="48" s="1"/>
  <c r="G66" i="48"/>
  <c r="H66" i="48" s="1"/>
  <c r="G64" i="48"/>
  <c r="H64" i="48" s="1"/>
  <c r="G63" i="48"/>
  <c r="H63" i="48" s="1"/>
  <c r="G62" i="48"/>
  <c r="H62" i="48" s="1"/>
  <c r="G61" i="48"/>
  <c r="H61" i="48" s="1"/>
  <c r="G59" i="48"/>
  <c r="H59" i="48" s="1"/>
  <c r="G58" i="48"/>
  <c r="H58" i="48" s="1"/>
  <c r="G57" i="48"/>
  <c r="H57" i="48" s="1"/>
  <c r="G55" i="48"/>
  <c r="E55" i="48"/>
  <c r="G54" i="48"/>
  <c r="E54" i="48"/>
  <c r="G52" i="48"/>
  <c r="H52" i="48" s="1"/>
  <c r="G51" i="48"/>
  <c r="E51" i="48"/>
  <c r="G49" i="48"/>
  <c r="H49" i="48" s="1"/>
  <c r="G48" i="48"/>
  <c r="H48" i="48" s="1"/>
  <c r="G46" i="48"/>
  <c r="H46" i="48" s="1"/>
  <c r="G45" i="48"/>
  <c r="H45" i="48" s="1"/>
  <c r="G44" i="48"/>
  <c r="H44" i="48" s="1"/>
  <c r="G42" i="48"/>
  <c r="H42" i="48" s="1"/>
  <c r="G41" i="48"/>
  <c r="H41" i="48" s="1"/>
  <c r="G40" i="48"/>
  <c r="H40" i="48" s="1"/>
  <c r="G38" i="48"/>
  <c r="H38" i="48" s="1"/>
  <c r="G37" i="48"/>
  <c r="H37" i="48" s="1"/>
  <c r="G33" i="48"/>
  <c r="E30" i="48"/>
  <c r="G27" i="48"/>
  <c r="E27" i="48"/>
  <c r="G26" i="48"/>
  <c r="E26" i="48"/>
  <c r="E25" i="48"/>
  <c r="G24" i="48"/>
  <c r="E24" i="48"/>
  <c r="G23" i="48"/>
  <c r="E23" i="48"/>
  <c r="G22" i="48"/>
  <c r="E22" i="48"/>
  <c r="G21" i="48"/>
  <c r="E21" i="48"/>
  <c r="G19" i="48"/>
  <c r="H19" i="48" s="1"/>
  <c r="H18" i="48" s="1"/>
  <c r="G17" i="48"/>
  <c r="H17" i="48" s="1"/>
  <c r="L964" i="49" l="1"/>
  <c r="E75" i="48"/>
  <c r="H75" i="48" s="1"/>
  <c r="K942" i="49"/>
  <c r="L938" i="49" s="1"/>
  <c r="H33" i="48"/>
  <c r="H32" i="48" s="1"/>
  <c r="I125" i="49"/>
  <c r="K125" i="49" s="1"/>
  <c r="I127" i="49"/>
  <c r="K127" i="49" s="1"/>
  <c r="K870" i="49"/>
  <c r="L866" i="49" s="1"/>
  <c r="K891" i="49"/>
  <c r="L883" i="49" s="1"/>
  <c r="K111" i="49"/>
  <c r="L106" i="49" s="1"/>
  <c r="H54" i="48"/>
  <c r="H23" i="48"/>
  <c r="H27" i="48"/>
  <c r="H22" i="48"/>
  <c r="K918" i="49"/>
  <c r="L914" i="49" s="1"/>
  <c r="K479" i="49"/>
  <c r="L474" i="49" s="1"/>
  <c r="K49" i="49"/>
  <c r="L41" i="49" s="1"/>
  <c r="F53" i="49" s="1"/>
  <c r="K499" i="49"/>
  <c r="L494" i="49" s="1"/>
  <c r="K586" i="49"/>
  <c r="L582" i="49" s="1"/>
  <c r="K930" i="49"/>
  <c r="L926" i="49" s="1"/>
  <c r="K954" i="49"/>
  <c r="L950" i="49" s="1"/>
  <c r="G609" i="6"/>
  <c r="G610" i="6"/>
  <c r="H56" i="48"/>
  <c r="H51" i="48"/>
  <c r="H43" i="48"/>
  <c r="H39" i="48"/>
  <c r="H15" i="48"/>
  <c r="K641" i="49"/>
  <c r="L632" i="49" s="1"/>
  <c r="K690" i="49"/>
  <c r="L681" i="49" s="1"/>
  <c r="H24" i="48"/>
  <c r="H65" i="48"/>
  <c r="H55" i="48"/>
  <c r="K27" i="49"/>
  <c r="L23" i="49" s="1"/>
  <c r="K65" i="49"/>
  <c r="L57" i="49" s="1"/>
  <c r="K864" i="49"/>
  <c r="L857" i="49" s="1"/>
  <c r="K911" i="49"/>
  <c r="L903" i="49" s="1"/>
  <c r="H26" i="48"/>
  <c r="H36" i="48"/>
  <c r="H47" i="48"/>
  <c r="K148" i="49"/>
  <c r="L144" i="49" s="1"/>
  <c r="K487" i="49"/>
  <c r="L482" i="49" s="1"/>
  <c r="K505" i="49"/>
  <c r="L501" i="49" s="1"/>
  <c r="K533" i="49"/>
  <c r="L529" i="49" s="1"/>
  <c r="K561" i="49"/>
  <c r="L557" i="49" s="1"/>
  <c r="K630" i="49"/>
  <c r="L595" i="49" s="1"/>
  <c r="K679" i="49"/>
  <c r="L644" i="49" s="1"/>
  <c r="K755" i="49"/>
  <c r="L706" i="49" s="1"/>
  <c r="K187" i="49"/>
  <c r="L182" i="49" s="1"/>
  <c r="K74" i="49"/>
  <c r="L67" i="49" s="1"/>
  <c r="G53" i="49" s="1"/>
  <c r="K120" i="49"/>
  <c r="L113" i="49" s="1"/>
  <c r="K136" i="49"/>
  <c r="L131" i="49" s="1"/>
  <c r="K154" i="49"/>
  <c r="L150" i="49" s="1"/>
  <c r="K212" i="49"/>
  <c r="K383" i="49"/>
  <c r="L376" i="49" s="1"/>
  <c r="K392" i="49"/>
  <c r="L385" i="49" s="1"/>
  <c r="K401" i="49"/>
  <c r="L394" i="49" s="1"/>
  <c r="K413" i="49"/>
  <c r="L409" i="49" s="1"/>
  <c r="K442" i="49"/>
  <c r="L438" i="49" s="1"/>
  <c r="K449" i="49"/>
  <c r="L444" i="49" s="1"/>
  <c r="K472" i="49"/>
  <c r="L467" i="49" s="1"/>
  <c r="K846" i="49"/>
  <c r="L841" i="49" s="1"/>
  <c r="K853" i="49"/>
  <c r="L848" i="49" s="1"/>
  <c r="K901" i="49"/>
  <c r="L893" i="49" s="1"/>
  <c r="H50" i="48"/>
  <c r="H60" i="48"/>
  <c r="H21" i="48"/>
  <c r="K83" i="49"/>
  <c r="L76" i="49" s="1"/>
  <c r="H53" i="49" s="1"/>
  <c r="I124" i="49"/>
  <c r="K124" i="49" s="1"/>
  <c r="I126" i="49"/>
  <c r="K126" i="49" s="1"/>
  <c r="I128" i="49"/>
  <c r="K128" i="49" s="1"/>
  <c r="K220" i="49"/>
  <c r="L214" i="49" s="1"/>
  <c r="K924" i="49"/>
  <c r="L920" i="49" s="1"/>
  <c r="K936" i="49"/>
  <c r="L932" i="49" s="1"/>
  <c r="K948" i="49"/>
  <c r="L944" i="49" s="1"/>
  <c r="K407" i="49"/>
  <c r="L403" i="49" s="1"/>
  <c r="K419" i="49"/>
  <c r="L415" i="49" s="1"/>
  <c r="K511" i="49"/>
  <c r="L507" i="49" s="1"/>
  <c r="K539" i="49"/>
  <c r="L535" i="49" s="1"/>
  <c r="K567" i="49"/>
  <c r="L563" i="49" s="1"/>
  <c r="K703" i="49"/>
  <c r="L697" i="49" s="1"/>
  <c r="H53" i="48" l="1"/>
  <c r="K53" i="49"/>
  <c r="K54" i="49" s="1"/>
  <c r="L51" i="49" s="1"/>
  <c r="F694" i="49"/>
  <c r="K694" i="49" s="1"/>
  <c r="K695" i="49" s="1"/>
  <c r="L692" i="49" s="1"/>
  <c r="G612" i="6"/>
  <c r="K129" i="49"/>
  <c r="L122" i="49" s="1"/>
  <c r="F76" i="48" l="1"/>
  <c r="G76" i="48" s="1"/>
  <c r="H76" i="48" s="1"/>
  <c r="H74" i="48" s="1"/>
  <c r="H35" i="48" s="1"/>
  <c r="C30" i="25"/>
  <c r="G593" i="6" l="1"/>
  <c r="G592" i="6"/>
  <c r="G591" i="6"/>
  <c r="G595" i="6" s="1"/>
  <c r="G594" i="6" l="1"/>
  <c r="G597" i="6" s="1"/>
  <c r="F138" i="16" s="1"/>
  <c r="G583" i="6"/>
  <c r="G582" i="6"/>
  <c r="G581" i="6"/>
  <c r="G580" i="6"/>
  <c r="G572" i="6"/>
  <c r="G571" i="6"/>
  <c r="G570" i="6"/>
  <c r="G569" i="6"/>
  <c r="G568" i="6"/>
  <c r="G560" i="6"/>
  <c r="G559" i="6"/>
  <c r="G558" i="6"/>
  <c r="G557" i="6"/>
  <c r="G556" i="6"/>
  <c r="G548" i="6"/>
  <c r="G547" i="6"/>
  <c r="G546" i="6"/>
  <c r="G545" i="6"/>
  <c r="G544" i="6"/>
  <c r="G543" i="6"/>
  <c r="C887" i="35"/>
  <c r="K889" i="35"/>
  <c r="K890" i="35" s="1"/>
  <c r="L887" i="35" s="1"/>
  <c r="E70" i="32" s="1"/>
  <c r="K715" i="35"/>
  <c r="K716" i="35"/>
  <c r="K717" i="35"/>
  <c r="K718" i="35"/>
  <c r="K719" i="35"/>
  <c r="K720" i="35"/>
  <c r="K721" i="35"/>
  <c r="K722" i="35"/>
  <c r="K723" i="35"/>
  <c r="K724" i="35"/>
  <c r="K725" i="35"/>
  <c r="K726" i="35"/>
  <c r="K727" i="35"/>
  <c r="K728" i="35"/>
  <c r="K729" i="35"/>
  <c r="K730" i="35"/>
  <c r="K731" i="35"/>
  <c r="K732" i="35"/>
  <c r="K733" i="35"/>
  <c r="K734" i="35"/>
  <c r="J714" i="35"/>
  <c r="K714" i="35" s="1"/>
  <c r="K703" i="35"/>
  <c r="K704" i="35"/>
  <c r="K705" i="35"/>
  <c r="K706" i="35"/>
  <c r="K707" i="35"/>
  <c r="G550" i="6" l="1"/>
  <c r="G561" i="6"/>
  <c r="G574" i="6"/>
  <c r="G549" i="6"/>
  <c r="G562" i="6"/>
  <c r="G573" i="6"/>
  <c r="G585" i="6"/>
  <c r="G584" i="6"/>
  <c r="K616" i="35"/>
  <c r="K617" i="35"/>
  <c r="K618" i="35"/>
  <c r="K619" i="35"/>
  <c r="K620" i="35"/>
  <c r="K621" i="35"/>
  <c r="K622" i="35"/>
  <c r="K623" i="35"/>
  <c r="K624" i="35"/>
  <c r="K625" i="35"/>
  <c r="K626" i="35"/>
  <c r="K627" i="35"/>
  <c r="K628" i="35"/>
  <c r="K629" i="35"/>
  <c r="K630" i="35"/>
  <c r="K631" i="35"/>
  <c r="K632" i="35"/>
  <c r="K633" i="35"/>
  <c r="K634" i="35"/>
  <c r="K635" i="35"/>
  <c r="K636" i="35"/>
  <c r="K637" i="35"/>
  <c r="K638" i="35"/>
  <c r="K639" i="35"/>
  <c r="K640" i="35"/>
  <c r="K641" i="35"/>
  <c r="J615" i="35"/>
  <c r="K615" i="35" s="1"/>
  <c r="K681" i="35"/>
  <c r="K682" i="35"/>
  <c r="K683" i="35"/>
  <c r="K684" i="35"/>
  <c r="K685" i="35"/>
  <c r="K686" i="35"/>
  <c r="K687" i="35"/>
  <c r="K688" i="35"/>
  <c r="K689" i="35"/>
  <c r="K690" i="35"/>
  <c r="K691" i="35"/>
  <c r="K692" i="35"/>
  <c r="K693" i="35"/>
  <c r="K694" i="35"/>
  <c r="K695" i="35"/>
  <c r="K696" i="35"/>
  <c r="K697" i="35"/>
  <c r="K698" i="35"/>
  <c r="K699" i="35"/>
  <c r="K700" i="35"/>
  <c r="K701" i="35"/>
  <c r="K702" i="35"/>
  <c r="J680" i="35"/>
  <c r="K680" i="35" s="1"/>
  <c r="I679" i="35"/>
  <c r="K679" i="35" s="1"/>
  <c r="J649" i="35"/>
  <c r="I649" i="35"/>
  <c r="J678" i="35"/>
  <c r="I678" i="35"/>
  <c r="J648" i="35"/>
  <c r="K648" i="35" s="1"/>
  <c r="K650" i="35"/>
  <c r="K651" i="35"/>
  <c r="K652" i="35"/>
  <c r="K653" i="35"/>
  <c r="K654" i="35"/>
  <c r="K655" i="35"/>
  <c r="K656" i="35"/>
  <c r="K657" i="35"/>
  <c r="K658" i="35"/>
  <c r="K659" i="35"/>
  <c r="K660" i="35"/>
  <c r="K661" i="35"/>
  <c r="K662" i="35"/>
  <c r="K663" i="35"/>
  <c r="K664" i="35"/>
  <c r="K665" i="35"/>
  <c r="K666" i="35"/>
  <c r="K667" i="35"/>
  <c r="K668" i="35"/>
  <c r="K669" i="35"/>
  <c r="K670" i="35"/>
  <c r="K671" i="35"/>
  <c r="K672" i="35"/>
  <c r="K673" i="35"/>
  <c r="J647" i="35"/>
  <c r="K647" i="35" s="1"/>
  <c r="J646" i="35"/>
  <c r="K646" i="35" s="1"/>
  <c r="G552" i="6" l="1"/>
  <c r="F23" i="32" s="1"/>
  <c r="G576" i="6"/>
  <c r="F55" i="32" s="1"/>
  <c r="G564" i="6"/>
  <c r="F41" i="32" s="1"/>
  <c r="G587" i="6"/>
  <c r="F50" i="32" s="1"/>
  <c r="K678" i="35"/>
  <c r="K708" i="35" s="1"/>
  <c r="K649" i="35"/>
  <c r="C847" i="35"/>
  <c r="C842" i="35"/>
  <c r="C832" i="35"/>
  <c r="C796" i="35"/>
  <c r="C790" i="35"/>
  <c r="K785" i="35"/>
  <c r="K786" i="35" s="1"/>
  <c r="L783" i="35" s="1"/>
  <c r="K780" i="35"/>
  <c r="K781" i="35" s="1"/>
  <c r="L778" i="35" s="1"/>
  <c r="K775" i="35"/>
  <c r="K776" i="35" s="1"/>
  <c r="L773" i="35" s="1"/>
  <c r="E40" i="32" s="1"/>
  <c r="C773" i="35"/>
  <c r="K884" i="35"/>
  <c r="K885" i="35" s="1"/>
  <c r="L882" i="35" s="1"/>
  <c r="E69" i="32" s="1"/>
  <c r="K878" i="35"/>
  <c r="K879" i="35" s="1"/>
  <c r="L876" i="35" s="1"/>
  <c r="E66" i="32" s="1"/>
  <c r="K871" i="35"/>
  <c r="K872" i="35" s="1"/>
  <c r="L869" i="35" s="1"/>
  <c r="K866" i="35"/>
  <c r="K867" i="35" s="1"/>
  <c r="L864" i="35" s="1"/>
  <c r="E62" i="32" s="1"/>
  <c r="K861" i="35"/>
  <c r="K862" i="35" s="1"/>
  <c r="L859" i="35" s="1"/>
  <c r="E61" i="32" s="1"/>
  <c r="K854" i="35"/>
  <c r="K855" i="35" s="1"/>
  <c r="L852" i="35" s="1"/>
  <c r="E58" i="32" s="1"/>
  <c r="K849" i="35"/>
  <c r="K850" i="35" s="1"/>
  <c r="L847" i="35" s="1"/>
  <c r="E57" i="32" s="1"/>
  <c r="K844" i="35"/>
  <c r="K845" i="35" s="1"/>
  <c r="L842" i="35" s="1"/>
  <c r="E56" i="32" s="1"/>
  <c r="K839" i="35"/>
  <c r="K840" i="35" s="1"/>
  <c r="L837" i="35" s="1"/>
  <c r="E55" i="32" s="1"/>
  <c r="K834" i="35"/>
  <c r="K835" i="35" s="1"/>
  <c r="L832" i="35" s="1"/>
  <c r="E54" i="32" s="1"/>
  <c r="K826" i="35"/>
  <c r="K827" i="35" s="1"/>
  <c r="L824" i="35" s="1"/>
  <c r="K821" i="35"/>
  <c r="K816" i="35"/>
  <c r="K817" i="35" s="1"/>
  <c r="L814" i="35" s="1"/>
  <c r="E49" i="32" s="1"/>
  <c r="K809" i="35"/>
  <c r="K810" i="35" s="1"/>
  <c r="L807" i="35" s="1"/>
  <c r="E46" i="32" s="1"/>
  <c r="K804" i="35"/>
  <c r="K805" i="35" s="1"/>
  <c r="L802" i="35" s="1"/>
  <c r="E45" i="32" s="1"/>
  <c r="K798" i="35"/>
  <c r="K799" i="35" s="1"/>
  <c r="L796" i="35" s="1"/>
  <c r="K792" i="35"/>
  <c r="K793" i="35" s="1"/>
  <c r="L790" i="35" s="1"/>
  <c r="K770" i="35"/>
  <c r="K771" i="35" s="1"/>
  <c r="L768" i="35" s="1"/>
  <c r="E39" i="32" s="1"/>
  <c r="K762" i="35"/>
  <c r="K763" i="35" s="1"/>
  <c r="L760" i="35" s="1"/>
  <c r="E36" i="32" s="1"/>
  <c r="K757" i="35"/>
  <c r="K758" i="35" s="1"/>
  <c r="L755" i="35" s="1"/>
  <c r="E35" i="32" s="1"/>
  <c r="K752" i="35"/>
  <c r="K753" i="35" s="1"/>
  <c r="L750" i="35" s="1"/>
  <c r="E34" i="32" s="1"/>
  <c r="K746" i="35"/>
  <c r="L743" i="35" s="1"/>
  <c r="K608" i="35"/>
  <c r="K609" i="35" s="1"/>
  <c r="L606" i="35" s="1"/>
  <c r="K606" i="35"/>
  <c r="C606" i="35"/>
  <c r="B606" i="35"/>
  <c r="K603" i="35"/>
  <c r="K602" i="35"/>
  <c r="K600" i="35"/>
  <c r="C600" i="35"/>
  <c r="B600" i="35"/>
  <c r="K596" i="35"/>
  <c r="K597" i="35" s="1"/>
  <c r="L594" i="35" s="1"/>
  <c r="K594" i="35"/>
  <c r="C594" i="35"/>
  <c r="B594" i="35"/>
  <c r="C593" i="35"/>
  <c r="B593" i="35"/>
  <c r="K590" i="35"/>
  <c r="K591" i="35" s="1"/>
  <c r="L588" i="35" s="1"/>
  <c r="K588" i="35"/>
  <c r="C588" i="35"/>
  <c r="B588" i="35"/>
  <c r="C587" i="35"/>
  <c r="B587" i="35"/>
  <c r="K584" i="35"/>
  <c r="K583" i="35"/>
  <c r="K581" i="35"/>
  <c r="C581" i="35"/>
  <c r="B581" i="35"/>
  <c r="K578" i="35"/>
  <c r="K577" i="35"/>
  <c r="K575" i="35"/>
  <c r="C575" i="35"/>
  <c r="B575" i="35"/>
  <c r="K572" i="35"/>
  <c r="K573" i="35" s="1"/>
  <c r="L570" i="35" s="1"/>
  <c r="K570" i="35"/>
  <c r="C570" i="35"/>
  <c r="B570" i="35"/>
  <c r="K567" i="35"/>
  <c r="K568" i="35" s="1"/>
  <c r="L565" i="35" s="1"/>
  <c r="K565" i="35"/>
  <c r="C565" i="35"/>
  <c r="B565" i="35"/>
  <c r="K562" i="35"/>
  <c r="K563" i="35" s="1"/>
  <c r="L560" i="35" s="1"/>
  <c r="K560" i="35"/>
  <c r="C560" i="35"/>
  <c r="B560" i="35"/>
  <c r="C559" i="35"/>
  <c r="B559" i="35"/>
  <c r="K556" i="35"/>
  <c r="K555" i="35"/>
  <c r="K553" i="35"/>
  <c r="C553" i="35"/>
  <c r="B553" i="35"/>
  <c r="K550" i="35"/>
  <c r="K549" i="35"/>
  <c r="K547" i="35"/>
  <c r="C547" i="35"/>
  <c r="B547" i="35"/>
  <c r="K544" i="35"/>
  <c r="K545" i="35" s="1"/>
  <c r="L542" i="35" s="1"/>
  <c r="K542" i="35"/>
  <c r="C542" i="35"/>
  <c r="B542" i="35"/>
  <c r="K539" i="35"/>
  <c r="K540" i="35" s="1"/>
  <c r="L537" i="35" s="1"/>
  <c r="K537" i="35"/>
  <c r="C537" i="35"/>
  <c r="B537" i="35"/>
  <c r="K534" i="35"/>
  <c r="K535" i="35" s="1"/>
  <c r="L532" i="35" s="1"/>
  <c r="K532" i="35"/>
  <c r="C532" i="35"/>
  <c r="B532" i="35"/>
  <c r="C531" i="35"/>
  <c r="B531" i="35"/>
  <c r="K528" i="35"/>
  <c r="K527" i="35"/>
  <c r="K525" i="35"/>
  <c r="C525" i="35"/>
  <c r="B525" i="35"/>
  <c r="K522" i="35"/>
  <c r="K521" i="35"/>
  <c r="K519" i="35"/>
  <c r="C519" i="35"/>
  <c r="B519" i="35"/>
  <c r="K516" i="35"/>
  <c r="K515" i="35"/>
  <c r="K514" i="35"/>
  <c r="K512" i="35"/>
  <c r="C512" i="35"/>
  <c r="B512" i="35"/>
  <c r="K509" i="35"/>
  <c r="K510" i="35" s="1"/>
  <c r="L507" i="35" s="1"/>
  <c r="K507" i="35"/>
  <c r="C507" i="35"/>
  <c r="B507" i="35"/>
  <c r="K504" i="35"/>
  <c r="K503" i="35"/>
  <c r="K502" i="35"/>
  <c r="K500" i="35"/>
  <c r="C500" i="35"/>
  <c r="B500" i="35"/>
  <c r="C499" i="35"/>
  <c r="B499" i="35"/>
  <c r="I496" i="35"/>
  <c r="K496" i="35" s="1"/>
  <c r="I495" i="35"/>
  <c r="K495" i="35" s="1"/>
  <c r="I494" i="35"/>
  <c r="K494" i="35" s="1"/>
  <c r="K492" i="35"/>
  <c r="C492" i="35"/>
  <c r="B492" i="35"/>
  <c r="K489" i="35"/>
  <c r="K488" i="35"/>
  <c r="K487" i="35"/>
  <c r="K485" i="35"/>
  <c r="C485" i="35"/>
  <c r="B485" i="35"/>
  <c r="K482" i="35"/>
  <c r="K483" i="35" s="1"/>
  <c r="L480" i="35" s="1"/>
  <c r="K480" i="35"/>
  <c r="C480" i="35"/>
  <c r="B480" i="35"/>
  <c r="K477" i="35"/>
  <c r="K478" i="35" s="1"/>
  <c r="L475" i="35" s="1"/>
  <c r="K475" i="35"/>
  <c r="C475" i="35"/>
  <c r="B475" i="35"/>
  <c r="K472" i="35"/>
  <c r="K473" i="35" s="1"/>
  <c r="L470" i="35" s="1"/>
  <c r="K470" i="35"/>
  <c r="C470" i="35"/>
  <c r="B470" i="35"/>
  <c r="C469" i="35"/>
  <c r="B469" i="35"/>
  <c r="K466" i="35"/>
  <c r="K465" i="35"/>
  <c r="K464" i="35"/>
  <c r="K462" i="35"/>
  <c r="C462" i="35"/>
  <c r="B462" i="35"/>
  <c r="K459" i="35"/>
  <c r="K458" i="35"/>
  <c r="K456" i="35"/>
  <c r="C456" i="35"/>
  <c r="B456" i="35"/>
  <c r="K453" i="35"/>
  <c r="K454" i="35" s="1"/>
  <c r="L451" i="35" s="1"/>
  <c r="K451" i="35"/>
  <c r="C451" i="35"/>
  <c r="B451" i="35"/>
  <c r="K448" i="35"/>
  <c r="K449" i="35" s="1"/>
  <c r="L446" i="35" s="1"/>
  <c r="K446" i="35"/>
  <c r="C446" i="35"/>
  <c r="B446" i="35"/>
  <c r="K443" i="35"/>
  <c r="K444" i="35" s="1"/>
  <c r="L441" i="35" s="1"/>
  <c r="K441" i="35"/>
  <c r="C441" i="35"/>
  <c r="B441" i="35"/>
  <c r="C440" i="35"/>
  <c r="B440" i="35"/>
  <c r="C439" i="35"/>
  <c r="B439" i="35"/>
  <c r="K436" i="35"/>
  <c r="K435" i="35"/>
  <c r="K433" i="35"/>
  <c r="C433" i="35"/>
  <c r="B433" i="35"/>
  <c r="K430" i="35"/>
  <c r="K429" i="35"/>
  <c r="K427" i="35"/>
  <c r="C427" i="35"/>
  <c r="B427" i="35"/>
  <c r="K424" i="35"/>
  <c r="K423" i="35"/>
  <c r="K421" i="35"/>
  <c r="C421" i="35"/>
  <c r="B421" i="35"/>
  <c r="K418" i="35"/>
  <c r="K417" i="35"/>
  <c r="K416" i="35"/>
  <c r="K415" i="35"/>
  <c r="K414" i="35"/>
  <c r="K412" i="35"/>
  <c r="C412" i="35"/>
  <c r="B412" i="35"/>
  <c r="K409" i="35"/>
  <c r="K408" i="35"/>
  <c r="K407" i="35"/>
  <c r="K406" i="35"/>
  <c r="K405" i="35"/>
  <c r="K403" i="35"/>
  <c r="C403" i="35"/>
  <c r="B403" i="35"/>
  <c r="K400" i="35"/>
  <c r="K399" i="35"/>
  <c r="K398" i="35"/>
  <c r="K397" i="35"/>
  <c r="K396" i="35"/>
  <c r="K394" i="35"/>
  <c r="C394" i="35"/>
  <c r="B394" i="35"/>
  <c r="C393" i="35"/>
  <c r="B393" i="35"/>
  <c r="I390" i="35"/>
  <c r="K390" i="35" s="1"/>
  <c r="K391" i="35" s="1"/>
  <c r="L388" i="35" s="1"/>
  <c r="K388" i="35"/>
  <c r="C388" i="35"/>
  <c r="B388" i="35"/>
  <c r="I385" i="35"/>
  <c r="K385" i="35" s="1"/>
  <c r="K386" i="35" s="1"/>
  <c r="L383" i="35" s="1"/>
  <c r="K383" i="35"/>
  <c r="C383" i="35"/>
  <c r="B383" i="35"/>
  <c r="K380" i="35"/>
  <c r="K381" i="35" s="1"/>
  <c r="L378" i="35" s="1"/>
  <c r="F380" i="35"/>
  <c r="K378" i="35"/>
  <c r="C378" i="35"/>
  <c r="B378" i="35"/>
  <c r="F375" i="35"/>
  <c r="K375" i="35" s="1"/>
  <c r="K376" i="35" s="1"/>
  <c r="L373" i="35" s="1"/>
  <c r="K373" i="35"/>
  <c r="C373" i="35"/>
  <c r="B373" i="35"/>
  <c r="I370" i="35"/>
  <c r="K370" i="35" s="1"/>
  <c r="K371" i="35" s="1"/>
  <c r="L368" i="35" s="1"/>
  <c r="K368" i="35"/>
  <c r="C368" i="35"/>
  <c r="B368" i="35"/>
  <c r="F365" i="35"/>
  <c r="K365" i="35" s="1"/>
  <c r="K366" i="35" s="1"/>
  <c r="L363" i="35" s="1"/>
  <c r="K363" i="35"/>
  <c r="C363" i="35"/>
  <c r="B363" i="35"/>
  <c r="F360" i="35"/>
  <c r="K360" i="35" s="1"/>
  <c r="K361" i="35" s="1"/>
  <c r="L358" i="35" s="1"/>
  <c r="K358" i="35"/>
  <c r="C358" i="35"/>
  <c r="B358" i="35"/>
  <c r="F355" i="35"/>
  <c r="K355" i="35" s="1"/>
  <c r="K356" i="35" s="1"/>
  <c r="L353" i="35" s="1"/>
  <c r="K353" i="35"/>
  <c r="C353" i="35"/>
  <c r="B353" i="35"/>
  <c r="F350" i="35"/>
  <c r="K350" i="35" s="1"/>
  <c r="K351" i="35" s="1"/>
  <c r="L348" i="35" s="1"/>
  <c r="K348" i="35"/>
  <c r="C348" i="35"/>
  <c r="B348" i="35"/>
  <c r="F345" i="35"/>
  <c r="K345" i="35" s="1"/>
  <c r="K346" i="35" s="1"/>
  <c r="L343" i="35" s="1"/>
  <c r="K343" i="35"/>
  <c r="C343" i="35"/>
  <c r="B343" i="35"/>
  <c r="F340" i="35"/>
  <c r="K340" i="35" s="1"/>
  <c r="K341" i="35" s="1"/>
  <c r="L338" i="35" s="1"/>
  <c r="K338" i="35"/>
  <c r="C338" i="35"/>
  <c r="B338" i="35"/>
  <c r="F335" i="35"/>
  <c r="K335" i="35" s="1"/>
  <c r="K336" i="35" s="1"/>
  <c r="L333" i="35" s="1"/>
  <c r="K333" i="35"/>
  <c r="C333" i="35"/>
  <c r="B333" i="35"/>
  <c r="F330" i="35"/>
  <c r="K330" i="35" s="1"/>
  <c r="K331" i="35" s="1"/>
  <c r="L328" i="35" s="1"/>
  <c r="K328" i="35"/>
  <c r="C328" i="35"/>
  <c r="B328" i="35"/>
  <c r="F325" i="35"/>
  <c r="K325" i="35" s="1"/>
  <c r="K326" i="35" s="1"/>
  <c r="L323" i="35" s="1"/>
  <c r="K323" i="35"/>
  <c r="C323" i="35"/>
  <c r="B323" i="35"/>
  <c r="F320" i="35"/>
  <c r="K320" i="35" s="1"/>
  <c r="K321" i="35" s="1"/>
  <c r="L318" i="35" s="1"/>
  <c r="K318" i="35"/>
  <c r="C318" i="35"/>
  <c r="B318" i="35"/>
  <c r="C317" i="35"/>
  <c r="B317" i="35"/>
  <c r="K314" i="35"/>
  <c r="K315" i="35" s="1"/>
  <c r="L312" i="35" s="1"/>
  <c r="K312" i="35"/>
  <c r="C312" i="35"/>
  <c r="B312" i="35"/>
  <c r="K309" i="35"/>
  <c r="K310" i="35" s="1"/>
  <c r="L307" i="35" s="1"/>
  <c r="K307" i="35"/>
  <c r="C307" i="35"/>
  <c r="B307" i="35"/>
  <c r="K304" i="35"/>
  <c r="K305" i="35" s="1"/>
  <c r="L302" i="35" s="1"/>
  <c r="K302" i="35"/>
  <c r="C302" i="35"/>
  <c r="B302" i="35"/>
  <c r="K299" i="35"/>
  <c r="K300" i="35" s="1"/>
  <c r="L297" i="35" s="1"/>
  <c r="K297" i="35"/>
  <c r="C297" i="35"/>
  <c r="B297" i="35"/>
  <c r="K294" i="35"/>
  <c r="K295" i="35" s="1"/>
  <c r="L292" i="35" s="1"/>
  <c r="K292" i="35"/>
  <c r="C292" i="35"/>
  <c r="B292" i="35"/>
  <c r="K289" i="35"/>
  <c r="K290" i="35" s="1"/>
  <c r="L287" i="35" s="1"/>
  <c r="K287" i="35"/>
  <c r="C287" i="35"/>
  <c r="B287" i="35"/>
  <c r="K284" i="35"/>
  <c r="K285" i="35" s="1"/>
  <c r="L282" i="35" s="1"/>
  <c r="K282" i="35"/>
  <c r="C282" i="35"/>
  <c r="B282" i="35"/>
  <c r="K279" i="35"/>
  <c r="K280" i="35" s="1"/>
  <c r="L277" i="35" s="1"/>
  <c r="K277" i="35"/>
  <c r="C277" i="35"/>
  <c r="B277" i="35"/>
  <c r="K274" i="35"/>
  <c r="K275" i="35" s="1"/>
  <c r="L272" i="35" s="1"/>
  <c r="K272" i="35"/>
  <c r="C272" i="35"/>
  <c r="B272" i="35"/>
  <c r="K269" i="35"/>
  <c r="K270" i="35" s="1"/>
  <c r="L267" i="35" s="1"/>
  <c r="K267" i="35"/>
  <c r="C267" i="35"/>
  <c r="B267" i="35"/>
  <c r="K264" i="35"/>
  <c r="K265" i="35" s="1"/>
  <c r="K262" i="35"/>
  <c r="K263" i="35" s="1"/>
  <c r="L261" i="35"/>
  <c r="K261" i="35"/>
  <c r="C261" i="35"/>
  <c r="B261" i="35"/>
  <c r="K258" i="35"/>
  <c r="K259" i="35" s="1"/>
  <c r="L256" i="35"/>
  <c r="K256" i="35"/>
  <c r="C256" i="35"/>
  <c r="B256" i="35"/>
  <c r="K254" i="35"/>
  <c r="K253" i="35"/>
  <c r="L251" i="35"/>
  <c r="K251" i="35"/>
  <c r="C251" i="35"/>
  <c r="B251" i="35"/>
  <c r="L248" i="35"/>
  <c r="K248" i="35"/>
  <c r="C248" i="35"/>
  <c r="B248" i="35"/>
  <c r="K247" i="35"/>
  <c r="K245" i="35"/>
  <c r="K244" i="35"/>
  <c r="K243" i="35"/>
  <c r="K242" i="35"/>
  <c r="K240" i="35"/>
  <c r="K237" i="35"/>
  <c r="I236" i="35"/>
  <c r="K236" i="35" s="1"/>
  <c r="K235" i="35"/>
  <c r="I234" i="35"/>
  <c r="K234" i="35" s="1"/>
  <c r="K232" i="35"/>
  <c r="C232" i="35"/>
  <c r="B232" i="35"/>
  <c r="K229" i="35"/>
  <c r="I228" i="35"/>
  <c r="K228" i="35" s="1"/>
  <c r="K227" i="35"/>
  <c r="I226" i="35"/>
  <c r="K226" i="35" s="1"/>
  <c r="K222" i="35"/>
  <c r="K223" i="35" s="1"/>
  <c r="L220" i="35" s="1"/>
  <c r="E23" i="32" s="1"/>
  <c r="K215" i="35"/>
  <c r="K216" i="35" s="1"/>
  <c r="L213" i="35" s="1"/>
  <c r="E20" i="32" s="1"/>
  <c r="K209" i="35"/>
  <c r="K210" i="35" s="1"/>
  <c r="L207" i="35" s="1"/>
  <c r="E19" i="32" s="1"/>
  <c r="K204" i="35"/>
  <c r="K205" i="35" s="1"/>
  <c r="L202" i="35" s="1"/>
  <c r="E18" i="32" s="1"/>
  <c r="K199" i="35"/>
  <c r="K200" i="35" s="1"/>
  <c r="L197" i="35" s="1"/>
  <c r="E17" i="32" s="1"/>
  <c r="K197" i="35"/>
  <c r="K193" i="35"/>
  <c r="K194" i="35" s="1"/>
  <c r="L191" i="35" s="1"/>
  <c r="E16" i="32" s="1"/>
  <c r="K191" i="35"/>
  <c r="K186" i="35"/>
  <c r="I185" i="35"/>
  <c r="K185" i="35" s="1"/>
  <c r="I184" i="35"/>
  <c r="K184" i="35" s="1"/>
  <c r="K182" i="35"/>
  <c r="C182" i="35"/>
  <c r="B182" i="35"/>
  <c r="C181" i="35"/>
  <c r="B181" i="35"/>
  <c r="K178" i="35"/>
  <c r="K179" i="35" s="1"/>
  <c r="L176" i="35" s="1"/>
  <c r="K176" i="35"/>
  <c r="C176" i="35"/>
  <c r="B176" i="35"/>
  <c r="K173" i="35"/>
  <c r="K174" i="35" s="1"/>
  <c r="L171" i="35" s="1"/>
  <c r="K171" i="35"/>
  <c r="C171" i="35"/>
  <c r="B171" i="35"/>
  <c r="K168" i="35"/>
  <c r="K169" i="35" s="1"/>
  <c r="L166" i="35" s="1"/>
  <c r="K166" i="35"/>
  <c r="C166" i="35"/>
  <c r="B166" i="35"/>
  <c r="K163" i="35"/>
  <c r="K164" i="35" s="1"/>
  <c r="L161" i="35" s="1"/>
  <c r="K161" i="35"/>
  <c r="C161" i="35"/>
  <c r="B161" i="35"/>
  <c r="K158" i="35"/>
  <c r="K159" i="35" s="1"/>
  <c r="L156" i="35" s="1"/>
  <c r="K156" i="35"/>
  <c r="C156" i="35"/>
  <c r="B156" i="35"/>
  <c r="K153" i="35"/>
  <c r="K152" i="35"/>
  <c r="K150" i="35"/>
  <c r="C150" i="35"/>
  <c r="B150" i="35"/>
  <c r="K147" i="35"/>
  <c r="K146" i="35"/>
  <c r="K144" i="35"/>
  <c r="C144" i="35"/>
  <c r="B144" i="35"/>
  <c r="K141" i="35"/>
  <c r="K140" i="35"/>
  <c r="K142" i="35" s="1"/>
  <c r="L138" i="35" s="1"/>
  <c r="K138" i="35"/>
  <c r="C138" i="35"/>
  <c r="B138" i="35"/>
  <c r="K135" i="35"/>
  <c r="K134" i="35"/>
  <c r="K133" i="35"/>
  <c r="K131" i="35"/>
  <c r="C131" i="35"/>
  <c r="B131" i="35"/>
  <c r="H128" i="35"/>
  <c r="G128" i="35"/>
  <c r="H127" i="35"/>
  <c r="G127" i="35"/>
  <c r="H126" i="35"/>
  <c r="G126" i="35"/>
  <c r="H125" i="35"/>
  <c r="G125" i="35"/>
  <c r="H124" i="35"/>
  <c r="G124" i="35"/>
  <c r="K122" i="35"/>
  <c r="C122" i="35"/>
  <c r="B122" i="35"/>
  <c r="G119" i="35"/>
  <c r="K119" i="35" s="1"/>
  <c r="G118" i="35"/>
  <c r="K118" i="35" s="1"/>
  <c r="G117" i="35"/>
  <c r="K117" i="35" s="1"/>
  <c r="G116" i="35"/>
  <c r="K116" i="35" s="1"/>
  <c r="G115" i="35"/>
  <c r="K115" i="35" s="1"/>
  <c r="K113" i="35"/>
  <c r="C113" i="35"/>
  <c r="B113" i="35"/>
  <c r="K110" i="35"/>
  <c r="K109" i="35"/>
  <c r="K108" i="35"/>
  <c r="K106" i="35"/>
  <c r="C106" i="35"/>
  <c r="B106" i="35"/>
  <c r="K103" i="35"/>
  <c r="K104" i="35" s="1"/>
  <c r="L101" i="35" s="1"/>
  <c r="K101" i="35"/>
  <c r="C101" i="35"/>
  <c r="B101" i="35"/>
  <c r="C100" i="35"/>
  <c r="B100" i="35"/>
  <c r="K97" i="35"/>
  <c r="K98" i="35" s="1"/>
  <c r="L95" i="35" s="1"/>
  <c r="K95" i="35"/>
  <c r="C95" i="35"/>
  <c r="B95" i="35"/>
  <c r="K92" i="35"/>
  <c r="K93" i="35" s="1"/>
  <c r="L90" i="35" s="1"/>
  <c r="K90" i="35"/>
  <c r="C90" i="35"/>
  <c r="B90" i="35"/>
  <c r="K87" i="35"/>
  <c r="K88" i="35" s="1"/>
  <c r="L85" i="35" s="1"/>
  <c r="K85" i="35"/>
  <c r="C85" i="35"/>
  <c r="B85" i="35"/>
  <c r="K82" i="35"/>
  <c r="I81" i="35"/>
  <c r="K81" i="35" s="1"/>
  <c r="K80" i="35"/>
  <c r="K79" i="35"/>
  <c r="K78" i="35"/>
  <c r="K76" i="35"/>
  <c r="C76" i="35"/>
  <c r="B76" i="35"/>
  <c r="K73" i="35"/>
  <c r="I72" i="35"/>
  <c r="K72" i="35" s="1"/>
  <c r="K71" i="35"/>
  <c r="K70" i="35"/>
  <c r="K69" i="35"/>
  <c r="K67" i="35"/>
  <c r="C67" i="35"/>
  <c r="B67" i="35"/>
  <c r="K64" i="35"/>
  <c r="I63" i="35"/>
  <c r="K63" i="35" s="1"/>
  <c r="K62" i="35"/>
  <c r="K61" i="35"/>
  <c r="K60" i="35"/>
  <c r="K59" i="35"/>
  <c r="K57" i="35"/>
  <c r="C57" i="35"/>
  <c r="B57" i="35"/>
  <c r="C56" i="35"/>
  <c r="B56" i="35"/>
  <c r="K51" i="35"/>
  <c r="C51" i="35"/>
  <c r="B51" i="35"/>
  <c r="K48" i="35"/>
  <c r="I47" i="35"/>
  <c r="K47" i="35" s="1"/>
  <c r="K46" i="35"/>
  <c r="K45" i="35"/>
  <c r="K44" i="35"/>
  <c r="K43" i="35"/>
  <c r="K41" i="35"/>
  <c r="C41" i="35"/>
  <c r="B41" i="35"/>
  <c r="F38" i="35"/>
  <c r="K38" i="35" s="1"/>
  <c r="K39" i="35" s="1"/>
  <c r="L36" i="35" s="1"/>
  <c r="K36" i="35"/>
  <c r="C36" i="35"/>
  <c r="B36" i="35"/>
  <c r="C35" i="35"/>
  <c r="B35" i="35"/>
  <c r="K32" i="35"/>
  <c r="K33" i="35" s="1"/>
  <c r="L30" i="35" s="1"/>
  <c r="K30" i="35"/>
  <c r="C30" i="35"/>
  <c r="B30" i="35"/>
  <c r="C29" i="35"/>
  <c r="B29" i="35"/>
  <c r="K26" i="35"/>
  <c r="K25" i="35"/>
  <c r="K23" i="35"/>
  <c r="C23" i="35"/>
  <c r="B23" i="35"/>
  <c r="K20" i="35"/>
  <c r="K21" i="35" s="1"/>
  <c r="L18" i="35" s="1"/>
  <c r="K18" i="35"/>
  <c r="C18" i="35"/>
  <c r="B18" i="35"/>
  <c r="K15" i="35"/>
  <c r="K16" i="35" s="1"/>
  <c r="L13" i="35" s="1"/>
  <c r="K13" i="35"/>
  <c r="C13" i="35"/>
  <c r="B13" i="35"/>
  <c r="C12" i="35"/>
  <c r="B12" i="35"/>
  <c r="G8" i="35"/>
  <c r="C8" i="35"/>
  <c r="J7" i="35"/>
  <c r="G7" i="35"/>
  <c r="D7" i="35"/>
  <c r="D2" i="35"/>
  <c r="C819" i="35"/>
  <c r="C778" i="35" l="1"/>
  <c r="K230" i="35"/>
  <c r="K822" i="35"/>
  <c r="L819" i="35" s="1"/>
  <c r="E50" i="32" s="1"/>
  <c r="K401" i="35"/>
  <c r="L394" i="35" s="1"/>
  <c r="K410" i="35"/>
  <c r="L403" i="35" s="1"/>
  <c r="K419" i="35"/>
  <c r="L412" i="35" s="1"/>
  <c r="K425" i="35"/>
  <c r="L421" i="35" s="1"/>
  <c r="K437" i="35"/>
  <c r="L433" i="35" s="1"/>
  <c r="K467" i="35"/>
  <c r="L462" i="35" s="1"/>
  <c r="K490" i="35"/>
  <c r="L485" i="35" s="1"/>
  <c r="K523" i="35"/>
  <c r="L519" i="35" s="1"/>
  <c r="K551" i="35"/>
  <c r="L547" i="35" s="1"/>
  <c r="K579" i="35"/>
  <c r="L575" i="35" s="1"/>
  <c r="K604" i="35"/>
  <c r="L600" i="35" s="1"/>
  <c r="K187" i="35"/>
  <c r="L182" i="35" s="1"/>
  <c r="K74" i="35"/>
  <c r="L67" i="35" s="1"/>
  <c r="G53" i="35" s="1"/>
  <c r="K136" i="35"/>
  <c r="L131" i="35" s="1"/>
  <c r="K154" i="35"/>
  <c r="L150" i="35" s="1"/>
  <c r="K238" i="35"/>
  <c r="L232" i="35" s="1"/>
  <c r="K27" i="35"/>
  <c r="L23" i="35" s="1"/>
  <c r="K49" i="35"/>
  <c r="L41" i="35" s="1"/>
  <c r="F53" i="35" s="1"/>
  <c r="K83" i="35"/>
  <c r="L76" i="35" s="1"/>
  <c r="H53" i="35" s="1"/>
  <c r="K111" i="35"/>
  <c r="L106" i="35" s="1"/>
  <c r="K120" i="35"/>
  <c r="L113" i="35" s="1"/>
  <c r="I124" i="35"/>
  <c r="K124" i="35" s="1"/>
  <c r="I125" i="35"/>
  <c r="K125" i="35" s="1"/>
  <c r="I126" i="35"/>
  <c r="K126" i="35" s="1"/>
  <c r="I127" i="35"/>
  <c r="K127" i="35" s="1"/>
  <c r="I128" i="35"/>
  <c r="K128" i="35" s="1"/>
  <c r="K148" i="35"/>
  <c r="L144" i="35" s="1"/>
  <c r="K431" i="35"/>
  <c r="L427" i="35" s="1"/>
  <c r="K460" i="35"/>
  <c r="L456" i="35" s="1"/>
  <c r="K505" i="35"/>
  <c r="L500" i="35" s="1"/>
  <c r="K517" i="35"/>
  <c r="L512" i="35" s="1"/>
  <c r="K529" i="35"/>
  <c r="L525" i="35" s="1"/>
  <c r="K557" i="35"/>
  <c r="L553" i="35" s="1"/>
  <c r="K585" i="35"/>
  <c r="L581" i="35" s="1"/>
  <c r="K674" i="35"/>
  <c r="L644" i="35" s="1"/>
  <c r="E27" i="32" s="1"/>
  <c r="L676" i="35"/>
  <c r="E28" i="32" s="1"/>
  <c r="K735" i="35"/>
  <c r="L712" i="35" s="1"/>
  <c r="E29" i="32" s="1"/>
  <c r="K65" i="35"/>
  <c r="L57" i="35" s="1"/>
  <c r="K497" i="35"/>
  <c r="L492" i="35" s="1"/>
  <c r="K642" i="35"/>
  <c r="L613" i="35" s="1"/>
  <c r="C837" i="35"/>
  <c r="K740" i="35" l="1"/>
  <c r="K741" i="35" s="1"/>
  <c r="E26" i="32"/>
  <c r="K53" i="35"/>
  <c r="K54" i="35" s="1"/>
  <c r="L51" i="35" s="1"/>
  <c r="K129" i="35"/>
  <c r="L122" i="35" s="1"/>
  <c r="E30" i="32" l="1"/>
  <c r="L738" i="35"/>
  <c r="K980" i="29"/>
  <c r="K981" i="29" s="1"/>
  <c r="L978" i="29" s="1"/>
  <c r="K958" i="29"/>
  <c r="K959" i="29" s="1"/>
  <c r="L956" i="29" s="1"/>
  <c r="K953" i="29"/>
  <c r="K954" i="29" s="1"/>
  <c r="L951" i="29" s="1"/>
  <c r="K948" i="29"/>
  <c r="K949" i="29" s="1"/>
  <c r="L946" i="29" s="1"/>
  <c r="K943" i="29"/>
  <c r="K944" i="29" s="1"/>
  <c r="L941" i="29" s="1"/>
  <c r="K938" i="29"/>
  <c r="K939" i="29" s="1"/>
  <c r="L936" i="29" s="1"/>
  <c r="K933" i="29"/>
  <c r="K934" i="29" s="1"/>
  <c r="L931" i="29" s="1"/>
  <c r="C933" i="29"/>
  <c r="K928" i="29"/>
  <c r="K929" i="29" s="1"/>
  <c r="L926" i="29" s="1"/>
  <c r="K923" i="29"/>
  <c r="K924" i="29" s="1"/>
  <c r="L921" i="29" s="1"/>
  <c r="K916" i="29"/>
  <c r="K917" i="29" s="1"/>
  <c r="L914" i="29" s="1"/>
  <c r="K911" i="29"/>
  <c r="K912" i="29" s="1"/>
  <c r="K904" i="29"/>
  <c r="K905" i="29" s="1"/>
  <c r="L902" i="29" s="1"/>
  <c r="C882" i="29"/>
  <c r="C872" i="29"/>
  <c r="C867" i="29" s="1"/>
  <c r="K899" i="29"/>
  <c r="K900" i="29" s="1"/>
  <c r="L897" i="29" s="1"/>
  <c r="K892" i="29"/>
  <c r="K893" i="29" s="1"/>
  <c r="L890" i="29" s="1"/>
  <c r="K887" i="29"/>
  <c r="K888" i="29" s="1"/>
  <c r="L885" i="29" s="1"/>
  <c r="K882" i="29"/>
  <c r="K883" i="29" s="1"/>
  <c r="L880" i="29" s="1"/>
  <c r="K877" i="29"/>
  <c r="K878" i="29" s="1"/>
  <c r="K872" i="29"/>
  <c r="K873" i="29" s="1"/>
  <c r="L870" i="29" s="1"/>
  <c r="K867" i="29"/>
  <c r="K868" i="29" s="1"/>
  <c r="L865" i="29" s="1"/>
  <c r="K862" i="29"/>
  <c r="K863" i="29" s="1"/>
  <c r="H11" i="32" l="1"/>
  <c r="G70" i="32" l="1"/>
  <c r="G41" i="32"/>
  <c r="H41" i="32" s="1"/>
  <c r="H70" i="32"/>
  <c r="G50" i="32"/>
  <c r="H50" i="32" s="1"/>
  <c r="G62" i="32"/>
  <c r="H62" i="32" s="1"/>
  <c r="G40" i="32"/>
  <c r="H40" i="32" s="1"/>
  <c r="G55" i="32"/>
  <c r="H55" i="32" s="1"/>
  <c r="G16" i="32"/>
  <c r="H16" i="32" s="1"/>
  <c r="G44" i="32"/>
  <c r="H44" i="32" s="1"/>
  <c r="G42" i="32"/>
  <c r="H42" i="32" s="1"/>
  <c r="G66" i="32"/>
  <c r="H66" i="32" s="1"/>
  <c r="H65" i="32" s="1"/>
  <c r="G23" i="32"/>
  <c r="H23" i="32" s="1"/>
  <c r="H22" i="32" s="1"/>
  <c r="G17" i="32"/>
  <c r="H17" i="32" s="1"/>
  <c r="G18" i="32"/>
  <c r="H18" i="32" s="1"/>
  <c r="G27" i="32"/>
  <c r="H27" i="32" s="1"/>
  <c r="G29" i="32"/>
  <c r="H29" i="32" s="1"/>
  <c r="G34" i="32"/>
  <c r="H34" i="32" s="1"/>
  <c r="G35" i="32"/>
  <c r="H35" i="32" s="1"/>
  <c r="G36" i="32"/>
  <c r="H36" i="32" s="1"/>
  <c r="G49" i="32"/>
  <c r="H49" i="32" s="1"/>
  <c r="G51" i="32"/>
  <c r="H51" i="32" s="1"/>
  <c r="G61" i="32"/>
  <c r="H61" i="32" s="1"/>
  <c r="G63" i="32"/>
  <c r="H63" i="32" s="1"/>
  <c r="G26" i="32"/>
  <c r="H26" i="32" s="1"/>
  <c r="G31" i="32"/>
  <c r="H31" i="32" s="1"/>
  <c r="G43" i="32"/>
  <c r="H43" i="32" s="1"/>
  <c r="G46" i="32"/>
  <c r="H46" i="32" s="1"/>
  <c r="G54" i="32"/>
  <c r="H54" i="32" s="1"/>
  <c r="G56" i="32"/>
  <c r="H56" i="32" s="1"/>
  <c r="G58" i="32"/>
  <c r="H58" i="32" s="1"/>
  <c r="G534" i="6"/>
  <c r="G533" i="6"/>
  <c r="G532" i="6"/>
  <c r="G531" i="6"/>
  <c r="G530" i="6"/>
  <c r="G529" i="6"/>
  <c r="G528" i="6"/>
  <c r="G527" i="6"/>
  <c r="G526" i="6"/>
  <c r="G525" i="6"/>
  <c r="G524" i="6"/>
  <c r="G523" i="6"/>
  <c r="G522" i="6"/>
  <c r="G521" i="6"/>
  <c r="G520" i="6"/>
  <c r="G519" i="6"/>
  <c r="G518" i="6"/>
  <c r="G517" i="6"/>
  <c r="G508" i="6"/>
  <c r="G507" i="6"/>
  <c r="G506" i="6"/>
  <c r="G505" i="6"/>
  <c r="G496" i="6"/>
  <c r="G495" i="6"/>
  <c r="G494" i="6"/>
  <c r="G493" i="6"/>
  <c r="G492" i="6"/>
  <c r="G483" i="6"/>
  <c r="G486" i="6" s="1"/>
  <c r="G482" i="6"/>
  <c r="G485" i="6" s="1"/>
  <c r="G473" i="6"/>
  <c r="G472" i="6"/>
  <c r="G471" i="6"/>
  <c r="G470" i="6"/>
  <c r="G461" i="6"/>
  <c r="G464" i="6" s="1"/>
  <c r="G460" i="6"/>
  <c r="G463" i="6" s="1"/>
  <c r="G451" i="6"/>
  <c r="G450" i="6"/>
  <c r="G449" i="6"/>
  <c r="G448" i="6"/>
  <c r="G439" i="6"/>
  <c r="G438" i="6"/>
  <c r="G437" i="6"/>
  <c r="G441" i="6" s="1"/>
  <c r="G428" i="6"/>
  <c r="G427" i="6"/>
  <c r="G426" i="6"/>
  <c r="G425" i="6"/>
  <c r="G416" i="6"/>
  <c r="G417" i="6" s="1"/>
  <c r="G421" i="6" s="1"/>
  <c r="F128" i="16" s="1"/>
  <c r="G406" i="6"/>
  <c r="G405" i="6"/>
  <c r="G404" i="6"/>
  <c r="G403" i="6"/>
  <c r="G402" i="6"/>
  <c r="G407" i="6" s="1"/>
  <c r="G401" i="6"/>
  <c r="G400" i="6"/>
  <c r="G399" i="6"/>
  <c r="G398" i="6"/>
  <c r="G397" i="6"/>
  <c r="G396" i="6"/>
  <c r="G395" i="6"/>
  <c r="G386" i="6"/>
  <c r="G385" i="6"/>
  <c r="G384" i="6"/>
  <c r="G388" i="6" s="1"/>
  <c r="G375" i="6"/>
  <c r="G374" i="6"/>
  <c r="G376" i="6" s="1"/>
  <c r="G373" i="6"/>
  <c r="G372" i="6"/>
  <c r="G371" i="6"/>
  <c r="G377" i="6" s="1"/>
  <c r="G362" i="6"/>
  <c r="G365" i="6" s="1"/>
  <c r="G361" i="6"/>
  <c r="G360" i="6"/>
  <c r="G351" i="6"/>
  <c r="G350" i="6"/>
  <c r="G349" i="6"/>
  <c r="G348" i="6"/>
  <c r="G347" i="6"/>
  <c r="G346" i="6"/>
  <c r="G364" i="6" l="1"/>
  <c r="G367" i="6" s="1"/>
  <c r="G408" i="6"/>
  <c r="G409" i="6"/>
  <c r="G430" i="6"/>
  <c r="G442" i="6"/>
  <c r="G444" i="6" s="1"/>
  <c r="G454" i="6"/>
  <c r="G510" i="6"/>
  <c r="G511" i="6"/>
  <c r="G536" i="6"/>
  <c r="G353" i="6"/>
  <c r="G354" i="6"/>
  <c r="G378" i="6"/>
  <c r="G380" i="6" s="1"/>
  <c r="G389" i="6"/>
  <c r="G391" i="6" s="1"/>
  <c r="G431" i="6"/>
  <c r="G453" i="6"/>
  <c r="G466" i="6"/>
  <c r="G475" i="6"/>
  <c r="G476" i="6"/>
  <c r="G488" i="6"/>
  <c r="G498" i="6"/>
  <c r="G499" i="6"/>
  <c r="G537" i="6"/>
  <c r="H60" i="32"/>
  <c r="H48" i="32"/>
  <c r="H33" i="32"/>
  <c r="G539" i="6" l="1"/>
  <c r="G433" i="6"/>
  <c r="G411" i="6"/>
  <c r="G456" i="6"/>
  <c r="G501" i="6"/>
  <c r="G513" i="6"/>
  <c r="G478" i="6"/>
  <c r="G356" i="6"/>
  <c r="B221" i="6"/>
  <c r="C280" i="6"/>
  <c r="C269" i="6"/>
  <c r="C259" i="6"/>
  <c r="D248" i="6"/>
  <c r="C248" i="6"/>
  <c r="B248" i="6"/>
  <c r="C236" i="6"/>
  <c r="B236" i="6"/>
  <c r="D221" i="6"/>
  <c r="C221" i="6"/>
  <c r="G335" i="6"/>
  <c r="G334" i="6"/>
  <c r="G333" i="6"/>
  <c r="G332" i="6"/>
  <c r="G331" i="6"/>
  <c r="G330" i="6"/>
  <c r="G320" i="6"/>
  <c r="G319" i="6"/>
  <c r="G318" i="6"/>
  <c r="G317" i="6"/>
  <c r="G316" i="6"/>
  <c r="G306" i="6"/>
  <c r="G308" i="6" s="1"/>
  <c r="G311" i="6" s="1"/>
  <c r="G312" i="6" s="1"/>
  <c r="G296" i="6"/>
  <c r="G295" i="6"/>
  <c r="G294" i="6"/>
  <c r="G293" i="6"/>
  <c r="G292" i="6"/>
  <c r="G291" i="6"/>
  <c r="G281" i="6"/>
  <c r="G283" i="6" s="1"/>
  <c r="G286" i="6" s="1"/>
  <c r="G287" i="6" s="1"/>
  <c r="G270" i="6"/>
  <c r="G272" i="6" s="1"/>
  <c r="G275" i="6" s="1"/>
  <c r="G276" i="6" s="1"/>
  <c r="G260" i="6"/>
  <c r="G262" i="6" s="1"/>
  <c r="G265" i="6" s="1"/>
  <c r="G266" i="6" s="1"/>
  <c r="G250" i="6"/>
  <c r="G253" i="6" s="1"/>
  <c r="G249" i="6"/>
  <c r="G252" i="6" s="1"/>
  <c r="G239" i="6"/>
  <c r="G242" i="6" s="1"/>
  <c r="G238" i="6"/>
  <c r="G237" i="6"/>
  <c r="G227" i="6"/>
  <c r="G226" i="6"/>
  <c r="G225" i="6"/>
  <c r="G224" i="6"/>
  <c r="G223" i="6"/>
  <c r="G222" i="6"/>
  <c r="G230" i="6" l="1"/>
  <c r="G241" i="6"/>
  <c r="G244" i="6" s="1"/>
  <c r="G245" i="6" s="1"/>
  <c r="G299" i="6"/>
  <c r="G322" i="6"/>
  <c r="G323" i="6"/>
  <c r="G337" i="6"/>
  <c r="G338" i="6"/>
  <c r="G229" i="6"/>
  <c r="G298" i="6"/>
  <c r="G255" i="6"/>
  <c r="G256" i="6" s="1"/>
  <c r="G301" i="6" l="1"/>
  <c r="G232" i="6"/>
  <c r="G233" i="6" s="1"/>
  <c r="G340" i="6"/>
  <c r="G341" i="6" s="1"/>
  <c r="G325" i="6"/>
  <c r="G326" i="6" s="1"/>
  <c r="G215" i="6"/>
  <c r="G214" i="6"/>
  <c r="G216" i="6" s="1"/>
  <c r="G213" i="6"/>
  <c r="G218" i="6" s="1"/>
  <c r="G212" i="6"/>
  <c r="G211" i="6"/>
  <c r="K764" i="31"/>
  <c r="K765" i="31" s="1"/>
  <c r="L762" i="31" s="1"/>
  <c r="K757" i="31"/>
  <c r="K758" i="31" s="1"/>
  <c r="L755" i="31" s="1"/>
  <c r="K749" i="31"/>
  <c r="K750" i="31" s="1"/>
  <c r="L747" i="31" s="1"/>
  <c r="K744" i="31"/>
  <c r="K745" i="31" s="1"/>
  <c r="L742" i="31" s="1"/>
  <c r="K734" i="31"/>
  <c r="K735" i="31" s="1"/>
  <c r="L732" i="31" s="1"/>
  <c r="K729" i="31"/>
  <c r="K730" i="31" s="1"/>
  <c r="L727" i="31" s="1"/>
  <c r="K724" i="31"/>
  <c r="K725" i="31" s="1"/>
  <c r="L722" i="31" s="1"/>
  <c r="K719" i="31"/>
  <c r="K720" i="31" s="1"/>
  <c r="L717" i="31" s="1"/>
  <c r="K712" i="31"/>
  <c r="K713" i="31" s="1"/>
  <c r="L710" i="31" s="1"/>
  <c r="K706" i="31"/>
  <c r="K707" i="31" s="1"/>
  <c r="L704" i="31" s="1"/>
  <c r="K701" i="31"/>
  <c r="K702" i="31" s="1"/>
  <c r="L699" i="31" s="1"/>
  <c r="E32" i="30" s="1"/>
  <c r="K694" i="31"/>
  <c r="K695" i="31" s="1"/>
  <c r="L692" i="31" s="1"/>
  <c r="K688" i="31"/>
  <c r="K689" i="31" s="1"/>
  <c r="L686" i="31" s="1"/>
  <c r="K683" i="31"/>
  <c r="K684" i="31" s="1"/>
  <c r="L681" i="31" s="1"/>
  <c r="K671" i="31"/>
  <c r="K672" i="31" s="1"/>
  <c r="L669" i="31" s="1"/>
  <c r="K665" i="31"/>
  <c r="K664" i="31"/>
  <c r="K663" i="31"/>
  <c r="K662" i="31"/>
  <c r="K661" i="31"/>
  <c r="K660" i="31"/>
  <c r="K659" i="31"/>
  <c r="K658" i="31"/>
  <c r="K657" i="31"/>
  <c r="K656" i="31"/>
  <c r="K655" i="31"/>
  <c r="K654" i="31"/>
  <c r="K653" i="31"/>
  <c r="K652" i="31"/>
  <c r="K651" i="31"/>
  <c r="K650" i="31"/>
  <c r="K649" i="31"/>
  <c r="K648" i="31"/>
  <c r="K647" i="31"/>
  <c r="K646" i="31"/>
  <c r="K645" i="31"/>
  <c r="K644" i="31"/>
  <c r="K643" i="31"/>
  <c r="K642" i="31"/>
  <c r="K641" i="31"/>
  <c r="K640" i="31"/>
  <c r="K634" i="31"/>
  <c r="K633" i="31"/>
  <c r="K632" i="31"/>
  <c r="K631" i="31"/>
  <c r="K630" i="31"/>
  <c r="K629" i="31"/>
  <c r="K628" i="31"/>
  <c r="K627" i="31"/>
  <c r="K626" i="31"/>
  <c r="K625" i="31"/>
  <c r="K624" i="31"/>
  <c r="K623" i="31"/>
  <c r="K622" i="31"/>
  <c r="K621" i="31"/>
  <c r="K620" i="31"/>
  <c r="K619" i="31"/>
  <c r="K618" i="31"/>
  <c r="K617" i="31"/>
  <c r="K616" i="31"/>
  <c r="K611" i="31"/>
  <c r="K610" i="31"/>
  <c r="K609" i="31"/>
  <c r="K608" i="31"/>
  <c r="K607" i="31"/>
  <c r="K606" i="31"/>
  <c r="K605" i="31"/>
  <c r="K604" i="31"/>
  <c r="K603" i="31"/>
  <c r="K602" i="31"/>
  <c r="K601" i="31"/>
  <c r="K600" i="31"/>
  <c r="K599" i="31"/>
  <c r="K598" i="31"/>
  <c r="K597" i="31"/>
  <c r="K596" i="31"/>
  <c r="K595" i="31"/>
  <c r="K594" i="31"/>
  <c r="K593" i="31"/>
  <c r="K592" i="31"/>
  <c r="K585" i="31"/>
  <c r="K586" i="31" s="1"/>
  <c r="L583" i="31" s="1"/>
  <c r="K583" i="31"/>
  <c r="C583" i="31"/>
  <c r="B583" i="31"/>
  <c r="K580" i="31"/>
  <c r="K579" i="31"/>
  <c r="K577" i="31"/>
  <c r="C577" i="31"/>
  <c r="B577" i="31"/>
  <c r="K573" i="31"/>
  <c r="K574" i="31" s="1"/>
  <c r="L571" i="31" s="1"/>
  <c r="K571" i="31"/>
  <c r="C571" i="31"/>
  <c r="B571" i="31"/>
  <c r="C570" i="31"/>
  <c r="B570" i="31"/>
  <c r="K567" i="31"/>
  <c r="K568" i="31" s="1"/>
  <c r="L565" i="31" s="1"/>
  <c r="K565" i="31"/>
  <c r="C565" i="31"/>
  <c r="B565" i="31"/>
  <c r="C564" i="31"/>
  <c r="B564" i="31"/>
  <c r="K561" i="31"/>
  <c r="K560" i="31"/>
  <c r="K558" i="31"/>
  <c r="C558" i="31"/>
  <c r="B558" i="31"/>
  <c r="K555" i="31"/>
  <c r="K554" i="31"/>
  <c r="K552" i="31"/>
  <c r="C552" i="31"/>
  <c r="B552" i="31"/>
  <c r="K549" i="31"/>
  <c r="K550" i="31" s="1"/>
  <c r="L547" i="31" s="1"/>
  <c r="K547" i="31"/>
  <c r="C547" i="31"/>
  <c r="B547" i="31"/>
  <c r="K544" i="31"/>
  <c r="K545" i="31" s="1"/>
  <c r="L542" i="31" s="1"/>
  <c r="K542" i="31"/>
  <c r="C542" i="31"/>
  <c r="B542" i="31"/>
  <c r="K539" i="31"/>
  <c r="K540" i="31" s="1"/>
  <c r="L537" i="31" s="1"/>
  <c r="K537" i="31"/>
  <c r="C537" i="31"/>
  <c r="B537" i="31"/>
  <c r="C536" i="31"/>
  <c r="B536" i="31"/>
  <c r="K533" i="31"/>
  <c r="K532" i="31"/>
  <c r="K530" i="31"/>
  <c r="C530" i="31"/>
  <c r="B530" i="31"/>
  <c r="K527" i="31"/>
  <c r="K526" i="31"/>
  <c r="K524" i="31"/>
  <c r="C524" i="31"/>
  <c r="B524" i="31"/>
  <c r="K521" i="31"/>
  <c r="K522" i="31" s="1"/>
  <c r="L519" i="31" s="1"/>
  <c r="K519" i="31"/>
  <c r="C519" i="31"/>
  <c r="B519" i="31"/>
  <c r="K516" i="31"/>
  <c r="K517" i="31" s="1"/>
  <c r="L514" i="31" s="1"/>
  <c r="K514" i="31"/>
  <c r="C514" i="31"/>
  <c r="B514" i="31"/>
  <c r="K511" i="31"/>
  <c r="K512" i="31" s="1"/>
  <c r="L509" i="31" s="1"/>
  <c r="K509" i="31"/>
  <c r="C509" i="31"/>
  <c r="B509" i="31"/>
  <c r="C508" i="31"/>
  <c r="B508" i="31"/>
  <c r="K505" i="31"/>
  <c r="K504" i="31"/>
  <c r="K502" i="31"/>
  <c r="C502" i="31"/>
  <c r="B502" i="31"/>
  <c r="K499" i="31"/>
  <c r="K498" i="31"/>
  <c r="K496" i="31"/>
  <c r="C496" i="31"/>
  <c r="B496" i="31"/>
  <c r="K493" i="31"/>
  <c r="K492" i="31"/>
  <c r="K491" i="31"/>
  <c r="K489" i="31"/>
  <c r="C489" i="31"/>
  <c r="B489" i="31"/>
  <c r="K486" i="31"/>
  <c r="K487" i="31" s="1"/>
  <c r="L484" i="31" s="1"/>
  <c r="K484" i="31"/>
  <c r="C484" i="31"/>
  <c r="B484" i="31"/>
  <c r="K481" i="31"/>
  <c r="K480" i="31"/>
  <c r="K479" i="31"/>
  <c r="K477" i="31"/>
  <c r="C477" i="31"/>
  <c r="B477" i="31"/>
  <c r="C476" i="31"/>
  <c r="B476" i="31"/>
  <c r="I473" i="31"/>
  <c r="K473" i="31" s="1"/>
  <c r="I472" i="31"/>
  <c r="K472" i="31" s="1"/>
  <c r="I471" i="31"/>
  <c r="K471" i="31" s="1"/>
  <c r="K469" i="31"/>
  <c r="C469" i="31"/>
  <c r="B469" i="31"/>
  <c r="K466" i="31"/>
  <c r="K465" i="31"/>
  <c r="K464" i="31"/>
  <c r="K462" i="31"/>
  <c r="C462" i="31"/>
  <c r="B462" i="31"/>
  <c r="K459" i="31"/>
  <c r="K460" i="31" s="1"/>
  <c r="L457" i="31" s="1"/>
  <c r="K457" i="31"/>
  <c r="C457" i="31"/>
  <c r="B457" i="31"/>
  <c r="K454" i="31"/>
  <c r="K455" i="31" s="1"/>
  <c r="L452" i="31" s="1"/>
  <c r="K452" i="31"/>
  <c r="C452" i="31"/>
  <c r="B452" i="31"/>
  <c r="K449" i="31"/>
  <c r="K450" i="31" s="1"/>
  <c r="L447" i="31" s="1"/>
  <c r="K447" i="31"/>
  <c r="C447" i="31"/>
  <c r="B447" i="31"/>
  <c r="C446" i="31"/>
  <c r="B446" i="31"/>
  <c r="K443" i="31"/>
  <c r="K442" i="31"/>
  <c r="K441" i="31"/>
  <c r="K439" i="31"/>
  <c r="C439" i="31"/>
  <c r="B439" i="31"/>
  <c r="K436" i="31"/>
  <c r="K435" i="31"/>
  <c r="K433" i="31"/>
  <c r="C433" i="31"/>
  <c r="B433" i="31"/>
  <c r="K430" i="31"/>
  <c r="K431" i="31" s="1"/>
  <c r="L428" i="31" s="1"/>
  <c r="K428" i="31"/>
  <c r="C428" i="31"/>
  <c r="B428" i="31"/>
  <c r="K425" i="31"/>
  <c r="K426" i="31" s="1"/>
  <c r="L423" i="31" s="1"/>
  <c r="K423" i="31"/>
  <c r="C423" i="31"/>
  <c r="B423" i="31"/>
  <c r="K420" i="31"/>
  <c r="K421" i="31" s="1"/>
  <c r="L418" i="31" s="1"/>
  <c r="K418" i="31"/>
  <c r="C418" i="31"/>
  <c r="B418" i="31"/>
  <c r="C417" i="31"/>
  <c r="B417" i="31"/>
  <c r="C416" i="31"/>
  <c r="B416" i="31"/>
  <c r="K413" i="31"/>
  <c r="K412" i="31"/>
  <c r="K410" i="31"/>
  <c r="C410" i="31"/>
  <c r="B410" i="31"/>
  <c r="K407" i="31"/>
  <c r="K406" i="31"/>
  <c r="K404" i="31"/>
  <c r="C404" i="31"/>
  <c r="B404" i="31"/>
  <c r="K401" i="31"/>
  <c r="K400" i="31"/>
  <c r="K398" i="31"/>
  <c r="C398" i="31"/>
  <c r="B398" i="31"/>
  <c r="K395" i="31"/>
  <c r="K394" i="31"/>
  <c r="K393" i="31"/>
  <c r="K392" i="31"/>
  <c r="K391" i="31"/>
  <c r="K389" i="31"/>
  <c r="C389" i="31"/>
  <c r="B389" i="31"/>
  <c r="K386" i="31"/>
  <c r="K385" i="31"/>
  <c r="K384" i="31"/>
  <c r="K383" i="31"/>
  <c r="K382" i="31"/>
  <c r="K380" i="31"/>
  <c r="C380" i="31"/>
  <c r="B380" i="31"/>
  <c r="K377" i="31"/>
  <c r="K376" i="31"/>
  <c r="K375" i="31"/>
  <c r="K374" i="31"/>
  <c r="K373" i="31"/>
  <c r="K371" i="31"/>
  <c r="C371" i="31"/>
  <c r="B371" i="31"/>
  <c r="C370" i="31"/>
  <c r="B370" i="31"/>
  <c r="I367" i="31"/>
  <c r="K367" i="31" s="1"/>
  <c r="K368" i="31" s="1"/>
  <c r="L365" i="31" s="1"/>
  <c r="K365" i="31"/>
  <c r="C365" i="31"/>
  <c r="B365" i="31"/>
  <c r="I362" i="31"/>
  <c r="K362" i="31" s="1"/>
  <c r="K363" i="31" s="1"/>
  <c r="L360" i="31" s="1"/>
  <c r="K360" i="31"/>
  <c r="C360" i="31"/>
  <c r="B360" i="31"/>
  <c r="K357" i="31"/>
  <c r="K358" i="31" s="1"/>
  <c r="L355" i="31" s="1"/>
  <c r="F357" i="31"/>
  <c r="K355" i="31"/>
  <c r="C355" i="31"/>
  <c r="B355" i="31"/>
  <c r="F352" i="31"/>
  <c r="K352" i="31" s="1"/>
  <c r="K353" i="31" s="1"/>
  <c r="L350" i="31" s="1"/>
  <c r="K350" i="31"/>
  <c r="C350" i="31"/>
  <c r="B350" i="31"/>
  <c r="I347" i="31"/>
  <c r="K347" i="31" s="1"/>
  <c r="K348" i="31" s="1"/>
  <c r="L345" i="31" s="1"/>
  <c r="K345" i="31"/>
  <c r="C345" i="31"/>
  <c r="B345" i="31"/>
  <c r="F342" i="31"/>
  <c r="K342" i="31" s="1"/>
  <c r="K343" i="31" s="1"/>
  <c r="L340" i="31" s="1"/>
  <c r="K340" i="31"/>
  <c r="C340" i="31"/>
  <c r="B340" i="31"/>
  <c r="F337" i="31"/>
  <c r="K337" i="31" s="1"/>
  <c r="K338" i="31" s="1"/>
  <c r="L335" i="31" s="1"/>
  <c r="K335" i="31"/>
  <c r="C335" i="31"/>
  <c r="B335" i="31"/>
  <c r="F332" i="31"/>
  <c r="K332" i="31" s="1"/>
  <c r="K333" i="31" s="1"/>
  <c r="L330" i="31" s="1"/>
  <c r="K330" i="31"/>
  <c r="C330" i="31"/>
  <c r="B330" i="31"/>
  <c r="F327" i="31"/>
  <c r="K327" i="31" s="1"/>
  <c r="K328" i="31" s="1"/>
  <c r="L325" i="31" s="1"/>
  <c r="K325" i="31"/>
  <c r="C325" i="31"/>
  <c r="B325" i="31"/>
  <c r="F322" i="31"/>
  <c r="K322" i="31" s="1"/>
  <c r="K323" i="31" s="1"/>
  <c r="L320" i="31" s="1"/>
  <c r="K320" i="31"/>
  <c r="C320" i="31"/>
  <c r="B320" i="31"/>
  <c r="F317" i="31"/>
  <c r="K317" i="31" s="1"/>
  <c r="K318" i="31" s="1"/>
  <c r="L315" i="31" s="1"/>
  <c r="K315" i="31"/>
  <c r="C315" i="31"/>
  <c r="B315" i="31"/>
  <c r="F312" i="31"/>
  <c r="K312" i="31" s="1"/>
  <c r="K313" i="31" s="1"/>
  <c r="L310" i="31" s="1"/>
  <c r="K310" i="31"/>
  <c r="C310" i="31"/>
  <c r="B310" i="31"/>
  <c r="F307" i="31"/>
  <c r="K307" i="31" s="1"/>
  <c r="K308" i="31" s="1"/>
  <c r="L305" i="31" s="1"/>
  <c r="K305" i="31"/>
  <c r="C305" i="31"/>
  <c r="B305" i="31"/>
  <c r="F302" i="31"/>
  <c r="K302" i="31" s="1"/>
  <c r="K303" i="31" s="1"/>
  <c r="L300" i="31" s="1"/>
  <c r="K300" i="31"/>
  <c r="C300" i="31"/>
  <c r="B300" i="31"/>
  <c r="F297" i="31"/>
  <c r="K297" i="31" s="1"/>
  <c r="K298" i="31" s="1"/>
  <c r="L295" i="31" s="1"/>
  <c r="K295" i="31"/>
  <c r="C295" i="31"/>
  <c r="B295" i="31"/>
  <c r="C294" i="31"/>
  <c r="B294" i="31"/>
  <c r="K291" i="31"/>
  <c r="K292" i="31" s="1"/>
  <c r="L289" i="31" s="1"/>
  <c r="K289" i="31"/>
  <c r="C289" i="31"/>
  <c r="B289" i="31"/>
  <c r="K286" i="31"/>
  <c r="K287" i="31" s="1"/>
  <c r="L284" i="31" s="1"/>
  <c r="K284" i="31"/>
  <c r="C284" i="31"/>
  <c r="B284" i="31"/>
  <c r="K281" i="31"/>
  <c r="K282" i="31" s="1"/>
  <c r="L279" i="31" s="1"/>
  <c r="K279" i="31"/>
  <c r="C279" i="31"/>
  <c r="B279" i="31"/>
  <c r="K276" i="31"/>
  <c r="K277" i="31" s="1"/>
  <c r="L274" i="31" s="1"/>
  <c r="K274" i="31"/>
  <c r="C274" i="31"/>
  <c r="B274" i="31"/>
  <c r="K271" i="31"/>
  <c r="K272" i="31" s="1"/>
  <c r="L269" i="31" s="1"/>
  <c r="K269" i="31"/>
  <c r="C269" i="31"/>
  <c r="B269" i="31"/>
  <c r="K266" i="31"/>
  <c r="K267" i="31" s="1"/>
  <c r="L264" i="31" s="1"/>
  <c r="K264" i="31"/>
  <c r="C264" i="31"/>
  <c r="B264" i="31"/>
  <c r="K261" i="31"/>
  <c r="K262" i="31" s="1"/>
  <c r="L259" i="31" s="1"/>
  <c r="K259" i="31"/>
  <c r="C259" i="31"/>
  <c r="B259" i="31"/>
  <c r="K256" i="31"/>
  <c r="K257" i="31" s="1"/>
  <c r="L254" i="31" s="1"/>
  <c r="K254" i="31"/>
  <c r="C254" i="31"/>
  <c r="B254" i="31"/>
  <c r="K251" i="31"/>
  <c r="K252" i="31" s="1"/>
  <c r="L249" i="31" s="1"/>
  <c r="K249" i="31"/>
  <c r="C249" i="31"/>
  <c r="B249" i="31"/>
  <c r="K246" i="31"/>
  <c r="K247" i="31" s="1"/>
  <c r="L244" i="31" s="1"/>
  <c r="K244" i="31"/>
  <c r="C244" i="31"/>
  <c r="B244" i="31"/>
  <c r="K241" i="31"/>
  <c r="K242" i="31" s="1"/>
  <c r="K239" i="31"/>
  <c r="K240" i="31" s="1"/>
  <c r="L238" i="31"/>
  <c r="K238" i="31"/>
  <c r="C238" i="31"/>
  <c r="B238" i="31"/>
  <c r="K235" i="31"/>
  <c r="K236" i="31" s="1"/>
  <c r="L233" i="31"/>
  <c r="K233" i="31"/>
  <c r="C233" i="31"/>
  <c r="B233" i="31"/>
  <c r="K231" i="31"/>
  <c r="K230" i="31"/>
  <c r="L228" i="31"/>
  <c r="K228" i="31"/>
  <c r="C228" i="31"/>
  <c r="B228" i="31"/>
  <c r="L225" i="31"/>
  <c r="K225" i="31"/>
  <c r="C225" i="31"/>
  <c r="B225" i="31"/>
  <c r="K224" i="31"/>
  <c r="K222" i="31"/>
  <c r="K221" i="31"/>
  <c r="K220" i="31"/>
  <c r="K219" i="31"/>
  <c r="K217" i="31"/>
  <c r="K214" i="31"/>
  <c r="I213" i="31"/>
  <c r="K213" i="31" s="1"/>
  <c r="K212" i="31"/>
  <c r="I211" i="31"/>
  <c r="K211" i="31" s="1"/>
  <c r="K209" i="31"/>
  <c r="C209" i="31"/>
  <c r="B209" i="31"/>
  <c r="K206" i="31"/>
  <c r="I205" i="31"/>
  <c r="K205" i="31" s="1"/>
  <c r="K204" i="31"/>
  <c r="I203" i="31"/>
  <c r="K203" i="31" s="1"/>
  <c r="K198" i="31"/>
  <c r="K199" i="31" s="1"/>
  <c r="L196" i="31" s="1"/>
  <c r="K193" i="31"/>
  <c r="K194" i="31" s="1"/>
  <c r="L191" i="31" s="1"/>
  <c r="K186" i="31"/>
  <c r="I185" i="31"/>
  <c r="K185" i="31" s="1"/>
  <c r="I184" i="31"/>
  <c r="K184" i="31" s="1"/>
  <c r="K182" i="31"/>
  <c r="C182" i="31"/>
  <c r="B182" i="31"/>
  <c r="C181" i="31"/>
  <c r="B181" i="31"/>
  <c r="K178" i="31"/>
  <c r="K179" i="31" s="1"/>
  <c r="L176" i="31" s="1"/>
  <c r="K176" i="31"/>
  <c r="C176" i="31"/>
  <c r="B176" i="31"/>
  <c r="K173" i="31"/>
  <c r="K174" i="31" s="1"/>
  <c r="L171" i="31" s="1"/>
  <c r="K171" i="31"/>
  <c r="C171" i="31"/>
  <c r="B171" i="31"/>
  <c r="K168" i="31"/>
  <c r="K169" i="31" s="1"/>
  <c r="L166" i="31" s="1"/>
  <c r="K166" i="31"/>
  <c r="C166" i="31"/>
  <c r="B166" i="31"/>
  <c r="K163" i="31"/>
  <c r="K164" i="31" s="1"/>
  <c r="L161" i="31" s="1"/>
  <c r="K161" i="31"/>
  <c r="C161" i="31"/>
  <c r="B161" i="31"/>
  <c r="K158" i="31"/>
  <c r="K159" i="31" s="1"/>
  <c r="L156" i="31" s="1"/>
  <c r="K156" i="31"/>
  <c r="C156" i="31"/>
  <c r="B156" i="31"/>
  <c r="K153" i="31"/>
  <c r="K152" i="31"/>
  <c r="K150" i="31"/>
  <c r="C150" i="31"/>
  <c r="B150" i="31"/>
  <c r="K147" i="31"/>
  <c r="K146" i="31"/>
  <c r="K144" i="31"/>
  <c r="C144" i="31"/>
  <c r="B144" i="31"/>
  <c r="K141" i="31"/>
  <c r="K140" i="31"/>
  <c r="K142" i="31" s="1"/>
  <c r="L138" i="31" s="1"/>
  <c r="K138" i="31"/>
  <c r="C138" i="31"/>
  <c r="B138" i="31"/>
  <c r="K135" i="31"/>
  <c r="K134" i="31"/>
  <c r="K133" i="31"/>
  <c r="K131" i="31"/>
  <c r="C131" i="31"/>
  <c r="B131" i="31"/>
  <c r="H128" i="31"/>
  <c r="G128" i="31"/>
  <c r="H127" i="31"/>
  <c r="G127" i="31"/>
  <c r="H126" i="31"/>
  <c r="G126" i="31"/>
  <c r="H125" i="31"/>
  <c r="G125" i="31"/>
  <c r="H124" i="31"/>
  <c r="G124" i="31"/>
  <c r="K122" i="31"/>
  <c r="C122" i="31"/>
  <c r="B122" i="31"/>
  <c r="G119" i="31"/>
  <c r="K119" i="31" s="1"/>
  <c r="G118" i="31"/>
  <c r="K118" i="31" s="1"/>
  <c r="G117" i="31"/>
  <c r="K117" i="31" s="1"/>
  <c r="G116" i="31"/>
  <c r="K116" i="31" s="1"/>
  <c r="G115" i="31"/>
  <c r="K115" i="31" s="1"/>
  <c r="K113" i="31"/>
  <c r="C113" i="31"/>
  <c r="B113" i="31"/>
  <c r="K110" i="31"/>
  <c r="K109" i="31"/>
  <c r="K108" i="31"/>
  <c r="K106" i="31"/>
  <c r="C106" i="31"/>
  <c r="B106" i="31"/>
  <c r="K103" i="31"/>
  <c r="K104" i="31" s="1"/>
  <c r="L101" i="31" s="1"/>
  <c r="K101" i="31"/>
  <c r="C101" i="31"/>
  <c r="B101" i="31"/>
  <c r="C100" i="31"/>
  <c r="B100" i="31"/>
  <c r="K97" i="31"/>
  <c r="K98" i="31" s="1"/>
  <c r="L95" i="31" s="1"/>
  <c r="K95" i="31"/>
  <c r="C95" i="31"/>
  <c r="B95" i="31"/>
  <c r="K92" i="31"/>
  <c r="K93" i="31" s="1"/>
  <c r="L90" i="31" s="1"/>
  <c r="K90" i="31"/>
  <c r="C90" i="31"/>
  <c r="B90" i="31"/>
  <c r="K87" i="31"/>
  <c r="K88" i="31" s="1"/>
  <c r="L85" i="31" s="1"/>
  <c r="K85" i="31"/>
  <c r="C85" i="31"/>
  <c r="B85" i="31"/>
  <c r="K82" i="31"/>
  <c r="I81" i="31"/>
  <c r="K81" i="31" s="1"/>
  <c r="K80" i="31"/>
  <c r="K79" i="31"/>
  <c r="K78" i="31"/>
  <c r="K76" i="31"/>
  <c r="C76" i="31"/>
  <c r="B76" i="31"/>
  <c r="K73" i="31"/>
  <c r="I72" i="31"/>
  <c r="K72" i="31" s="1"/>
  <c r="K71" i="31"/>
  <c r="K70" i="31"/>
  <c r="K69" i="31"/>
  <c r="K67" i="31"/>
  <c r="C67" i="31"/>
  <c r="B67" i="31"/>
  <c r="K64" i="31"/>
  <c r="I63" i="31"/>
  <c r="K63" i="31" s="1"/>
  <c r="K62" i="31"/>
  <c r="K61" i="31"/>
  <c r="K60" i="31"/>
  <c r="K59" i="31"/>
  <c r="K57" i="31"/>
  <c r="C57" i="31"/>
  <c r="B57" i="31"/>
  <c r="C56" i="31"/>
  <c r="B56" i="31"/>
  <c r="K51" i="31"/>
  <c r="C51" i="31"/>
  <c r="B51" i="31"/>
  <c r="K48" i="31"/>
  <c r="I47" i="31"/>
  <c r="K47" i="31" s="1"/>
  <c r="K46" i="31"/>
  <c r="K45" i="31"/>
  <c r="K44" i="31"/>
  <c r="K43" i="31"/>
  <c r="K41" i="31"/>
  <c r="C41" i="31"/>
  <c r="B41" i="31"/>
  <c r="F38" i="31"/>
  <c r="K38" i="31" s="1"/>
  <c r="K39" i="31" s="1"/>
  <c r="L36" i="31" s="1"/>
  <c r="K36" i="31"/>
  <c r="C36" i="31"/>
  <c r="B36" i="31"/>
  <c r="C35" i="31"/>
  <c r="B35" i="31"/>
  <c r="K32" i="31"/>
  <c r="K33" i="31" s="1"/>
  <c r="L30" i="31" s="1"/>
  <c r="K30" i="31"/>
  <c r="C30" i="31"/>
  <c r="B30" i="31"/>
  <c r="C29" i="31"/>
  <c r="B29" i="31"/>
  <c r="K26" i="31"/>
  <c r="K25" i="31"/>
  <c r="K23" i="31"/>
  <c r="C23" i="31"/>
  <c r="B23" i="31"/>
  <c r="K20" i="31"/>
  <c r="K21" i="31" s="1"/>
  <c r="L18" i="31" s="1"/>
  <c r="K18" i="31"/>
  <c r="C18" i="31"/>
  <c r="B18" i="31"/>
  <c r="K15" i="31"/>
  <c r="K16" i="31" s="1"/>
  <c r="L13" i="31" s="1"/>
  <c r="K13" i="31"/>
  <c r="C13" i="31"/>
  <c r="B13" i="31"/>
  <c r="C12" i="31"/>
  <c r="B12" i="31"/>
  <c r="G8" i="31"/>
  <c r="C8" i="31"/>
  <c r="J7" i="31"/>
  <c r="G7" i="31"/>
  <c r="D7" i="31"/>
  <c r="D2" i="31"/>
  <c r="E42" i="30"/>
  <c r="E40" i="30"/>
  <c r="E39" i="30"/>
  <c r="E38" i="30"/>
  <c r="E37" i="30"/>
  <c r="E33" i="30"/>
  <c r="E29" i="30"/>
  <c r="E28" i="30"/>
  <c r="E27" i="30"/>
  <c r="E23" i="30"/>
  <c r="E22" i="30"/>
  <c r="E21" i="30"/>
  <c r="E20" i="30"/>
  <c r="E16" i="30"/>
  <c r="H11" i="30"/>
  <c r="K414" i="31" l="1"/>
  <c r="L410" i="31" s="1"/>
  <c r="G41" i="30"/>
  <c r="H41" i="30" s="1"/>
  <c r="K666" i="31"/>
  <c r="L638" i="31" s="1"/>
  <c r="K154" i="31"/>
  <c r="L150" i="31" s="1"/>
  <c r="K27" i="31"/>
  <c r="L23" i="31" s="1"/>
  <c r="K187" i="31"/>
  <c r="L182" i="31" s="1"/>
  <c r="K474" i="31"/>
  <c r="L469" i="31" s="1"/>
  <c r="K506" i="31"/>
  <c r="L502" i="31" s="1"/>
  <c r="K534" i="31"/>
  <c r="L530" i="31" s="1"/>
  <c r="K378" i="31"/>
  <c r="L371" i="31" s="1"/>
  <c r="K387" i="31"/>
  <c r="L380" i="31" s="1"/>
  <c r="K396" i="31"/>
  <c r="L389" i="31" s="1"/>
  <c r="K402" i="31"/>
  <c r="L398" i="31" s="1"/>
  <c r="K444" i="31"/>
  <c r="L439" i="31" s="1"/>
  <c r="K49" i="31"/>
  <c r="L41" i="31" s="1"/>
  <c r="F53" i="31" s="1"/>
  <c r="K120" i="31"/>
  <c r="L113" i="31" s="1"/>
  <c r="K482" i="31"/>
  <c r="L477" i="31" s="1"/>
  <c r="K562" i="31"/>
  <c r="L558" i="31" s="1"/>
  <c r="K467" i="31"/>
  <c r="L462" i="31" s="1"/>
  <c r="K83" i="31"/>
  <c r="L76" i="31" s="1"/>
  <c r="H53" i="31" s="1"/>
  <c r="K494" i="31"/>
  <c r="L489" i="31" s="1"/>
  <c r="K65" i="31"/>
  <c r="L57" i="31" s="1"/>
  <c r="K111" i="31"/>
  <c r="L106" i="31" s="1"/>
  <c r="I124" i="31"/>
  <c r="K124" i="31" s="1"/>
  <c r="I125" i="31"/>
  <c r="K125" i="31" s="1"/>
  <c r="I126" i="31"/>
  <c r="K126" i="31" s="1"/>
  <c r="I127" i="31"/>
  <c r="K127" i="31" s="1"/>
  <c r="I128" i="31"/>
  <c r="K128" i="31" s="1"/>
  <c r="K136" i="31"/>
  <c r="L131" i="31" s="1"/>
  <c r="K148" i="31"/>
  <c r="L144" i="31" s="1"/>
  <c r="K635" i="31"/>
  <c r="L614" i="31" s="1"/>
  <c r="K215" i="31"/>
  <c r="L209" i="31" s="1"/>
  <c r="K500" i="31"/>
  <c r="L496" i="31" s="1"/>
  <c r="K528" i="31"/>
  <c r="L524" i="31" s="1"/>
  <c r="K556" i="31"/>
  <c r="L552" i="31" s="1"/>
  <c r="K581" i="31"/>
  <c r="L577" i="31" s="1"/>
  <c r="G16" i="30"/>
  <c r="H16" i="30" s="1"/>
  <c r="G22" i="30"/>
  <c r="H22" i="30" s="1"/>
  <c r="G29" i="30"/>
  <c r="H29" i="30" s="1"/>
  <c r="G33" i="30"/>
  <c r="H33" i="30" s="1"/>
  <c r="G39" i="30"/>
  <c r="H39" i="30" s="1"/>
  <c r="G45" i="30"/>
  <c r="H45" i="30" s="1"/>
  <c r="H44" i="30" s="1"/>
  <c r="G17" i="30"/>
  <c r="H17" i="30" s="1"/>
  <c r="G20" i="30"/>
  <c r="H20" i="30" s="1"/>
  <c r="G34" i="30"/>
  <c r="H34" i="30" s="1"/>
  <c r="G37" i="30"/>
  <c r="H37" i="30" s="1"/>
  <c r="G217" i="6"/>
  <c r="G219" i="6" s="1"/>
  <c r="F42" i="30" s="1"/>
  <c r="G42" i="30" s="1"/>
  <c r="H42" i="30" s="1"/>
  <c r="K74" i="31"/>
  <c r="L67" i="31" s="1"/>
  <c r="G53" i="31" s="1"/>
  <c r="K207" i="31"/>
  <c r="K408" i="31"/>
  <c r="L404" i="31" s="1"/>
  <c r="K437" i="31"/>
  <c r="L433" i="31" s="1"/>
  <c r="K612" i="31"/>
  <c r="G21" i="30"/>
  <c r="H21" i="30" s="1"/>
  <c r="G23" i="30"/>
  <c r="H23" i="30" s="1"/>
  <c r="G28" i="30"/>
  <c r="H28" i="30" s="1"/>
  <c r="G32" i="30"/>
  <c r="H32" i="30" s="1"/>
  <c r="G40" i="30"/>
  <c r="H40" i="30" s="1"/>
  <c r="G43" i="30"/>
  <c r="H43" i="30" s="1"/>
  <c r="F676" i="31" l="1"/>
  <c r="K53" i="31"/>
  <c r="K54" i="31" s="1"/>
  <c r="L51" i="31" s="1"/>
  <c r="H15" i="30"/>
  <c r="H31" i="30"/>
  <c r="K129" i="31"/>
  <c r="L122" i="31" s="1"/>
  <c r="L590" i="31"/>
  <c r="K676" i="31" l="1"/>
  <c r="K677" i="31" s="1"/>
  <c r="L674" i="31" s="1"/>
  <c r="E24" i="30" s="1"/>
  <c r="K857" i="29" l="1"/>
  <c r="K858" i="29" s="1"/>
  <c r="K850" i="29"/>
  <c r="K851" i="29" s="1"/>
  <c r="L848" i="29" s="1"/>
  <c r="K845" i="29"/>
  <c r="K846" i="29" s="1"/>
  <c r="K840" i="29"/>
  <c r="K841" i="29" s="1"/>
  <c r="L838" i="29" s="1"/>
  <c r="K835" i="29"/>
  <c r="K836" i="29" s="1"/>
  <c r="L833" i="29" s="1"/>
  <c r="K830" i="29"/>
  <c r="K831" i="29" s="1"/>
  <c r="K825" i="29"/>
  <c r="K826" i="29" s="1"/>
  <c r="K820" i="29"/>
  <c r="K821" i="29" s="1"/>
  <c r="K813" i="29"/>
  <c r="K814" i="29" s="1"/>
  <c r="L811" i="29" s="1"/>
  <c r="K806" i="29"/>
  <c r="K807" i="29" s="1"/>
  <c r="L804" i="29" s="1"/>
  <c r="K794" i="29"/>
  <c r="G796" i="29"/>
  <c r="K789" i="29"/>
  <c r="K784" i="29"/>
  <c r="H779" i="29"/>
  <c r="K779" i="29" s="1"/>
  <c r="K772" i="29"/>
  <c r="K747" i="29"/>
  <c r="K748" i="29" s="1"/>
  <c r="L745" i="29" s="1"/>
  <c r="K742" i="29"/>
  <c r="K743" i="29" s="1"/>
  <c r="L740" i="29" s="1"/>
  <c r="K737" i="29"/>
  <c r="K738" i="29" s="1"/>
  <c r="L735" i="29" s="1"/>
  <c r="K729" i="29"/>
  <c r="K723" i="29"/>
  <c r="K716" i="29" l="1"/>
  <c r="K717" i="29" s="1"/>
  <c r="L714" i="29" s="1"/>
  <c r="E124" i="16" s="1"/>
  <c r="K691" i="29"/>
  <c r="K692" i="29" s="1"/>
  <c r="L689" i="29" s="1"/>
  <c r="K686" i="29"/>
  <c r="K687" i="29" s="1"/>
  <c r="L684" i="29" s="1"/>
  <c r="K681" i="29"/>
  <c r="K682" i="29" s="1"/>
  <c r="L679" i="29" s="1"/>
  <c r="K676" i="29"/>
  <c r="K677" i="29" s="1"/>
  <c r="L674" i="29" s="1"/>
  <c r="K671" i="29"/>
  <c r="K672" i="29" s="1"/>
  <c r="L669" i="29" s="1"/>
  <c r="K245" i="29"/>
  <c r="K246" i="29" s="1"/>
  <c r="L243" i="29" s="1"/>
  <c r="E101" i="16" s="1"/>
  <c r="K240" i="29"/>
  <c r="K241" i="29" s="1"/>
  <c r="L238" i="29" s="1"/>
  <c r="K228" i="29"/>
  <c r="K229" i="29" s="1"/>
  <c r="L226" i="29" s="1"/>
  <c r="K223" i="29"/>
  <c r="K224" i="29" s="1"/>
  <c r="L221" i="29" s="1"/>
  <c r="K801" i="29"/>
  <c r="K802" i="29" s="1"/>
  <c r="L799" i="29" s="1"/>
  <c r="K795" i="29"/>
  <c r="L792" i="29" s="1"/>
  <c r="K790" i="29"/>
  <c r="L787" i="29" s="1"/>
  <c r="K785" i="29"/>
  <c r="L782" i="29" s="1"/>
  <c r="K780" i="29"/>
  <c r="L777" i="29" s="1"/>
  <c r="K773" i="29"/>
  <c r="L770" i="29" s="1"/>
  <c r="K754" i="29"/>
  <c r="K755" i="29" s="1"/>
  <c r="L752" i="29" s="1"/>
  <c r="K730" i="29"/>
  <c r="L727" i="29" s="1"/>
  <c r="K724" i="29"/>
  <c r="L721" i="29" s="1"/>
  <c r="E128" i="16" s="1"/>
  <c r="K711" i="29"/>
  <c r="K712" i="29" s="1"/>
  <c r="L709" i="29" s="1"/>
  <c r="K704" i="29"/>
  <c r="K705" i="29" s="1"/>
  <c r="L702" i="29" s="1"/>
  <c r="K699" i="29"/>
  <c r="K700" i="29" s="1"/>
  <c r="L697" i="29" s="1"/>
  <c r="K664" i="29"/>
  <c r="K665" i="29" s="1"/>
  <c r="L662" i="29" s="1"/>
  <c r="K659" i="29"/>
  <c r="K660" i="29" s="1"/>
  <c r="L657" i="29" s="1"/>
  <c r="K654" i="29"/>
  <c r="K655" i="29" s="1"/>
  <c r="L652" i="29" s="1"/>
  <c r="K649" i="29"/>
  <c r="K650" i="29" s="1"/>
  <c r="L647" i="29" s="1"/>
  <c r="K644" i="29"/>
  <c r="K645" i="29" s="1"/>
  <c r="L642" i="29" s="1"/>
  <c r="K631" i="29"/>
  <c r="K632" i="29" s="1"/>
  <c r="L629" i="29" s="1"/>
  <c r="K629" i="29"/>
  <c r="C629" i="29"/>
  <c r="B629" i="29"/>
  <c r="K626" i="29"/>
  <c r="K625" i="29"/>
  <c r="K623" i="29"/>
  <c r="C623" i="29"/>
  <c r="B623" i="29"/>
  <c r="K619" i="29"/>
  <c r="K620" i="29" s="1"/>
  <c r="L617" i="29" s="1"/>
  <c r="K617" i="29"/>
  <c r="C617" i="29"/>
  <c r="B617" i="29"/>
  <c r="C616" i="29"/>
  <c r="B616" i="29"/>
  <c r="K613" i="29"/>
  <c r="K614" i="29" s="1"/>
  <c r="L611" i="29" s="1"/>
  <c r="K611" i="29"/>
  <c r="C611" i="29"/>
  <c r="B611" i="29"/>
  <c r="C610" i="29"/>
  <c r="B610" i="29"/>
  <c r="K607" i="29"/>
  <c r="K606" i="29"/>
  <c r="K604" i="29"/>
  <c r="C604" i="29"/>
  <c r="B604" i="29"/>
  <c r="K601" i="29"/>
  <c r="K600" i="29"/>
  <c r="K598" i="29"/>
  <c r="C598" i="29"/>
  <c r="B598" i="29"/>
  <c r="K595" i="29"/>
  <c r="K596" i="29" s="1"/>
  <c r="L593" i="29" s="1"/>
  <c r="K593" i="29"/>
  <c r="C593" i="29"/>
  <c r="B593" i="29"/>
  <c r="K590" i="29"/>
  <c r="K591" i="29" s="1"/>
  <c r="L588" i="29" s="1"/>
  <c r="K588" i="29"/>
  <c r="C588" i="29"/>
  <c r="B588" i="29"/>
  <c r="K585" i="29"/>
  <c r="K586" i="29" s="1"/>
  <c r="L583" i="29" s="1"/>
  <c r="K583" i="29"/>
  <c r="C583" i="29"/>
  <c r="B583" i="29"/>
  <c r="C582" i="29"/>
  <c r="B582" i="29"/>
  <c r="K579" i="29"/>
  <c r="K578" i="29"/>
  <c r="K576" i="29"/>
  <c r="C576" i="29"/>
  <c r="B576" i="29"/>
  <c r="K573" i="29"/>
  <c r="K572" i="29"/>
  <c r="K570" i="29"/>
  <c r="C570" i="29"/>
  <c r="B570" i="29"/>
  <c r="K567" i="29"/>
  <c r="K568" i="29" s="1"/>
  <c r="L565" i="29" s="1"/>
  <c r="K565" i="29"/>
  <c r="C565" i="29"/>
  <c r="B565" i="29"/>
  <c r="K562" i="29"/>
  <c r="K563" i="29" s="1"/>
  <c r="L560" i="29" s="1"/>
  <c r="K560" i="29"/>
  <c r="C560" i="29"/>
  <c r="B560" i="29"/>
  <c r="K557" i="29"/>
  <c r="K558" i="29" s="1"/>
  <c r="L555" i="29" s="1"/>
  <c r="K555" i="29"/>
  <c r="C555" i="29"/>
  <c r="B555" i="29"/>
  <c r="C554" i="29"/>
  <c r="B554" i="29"/>
  <c r="K551" i="29"/>
  <c r="K550" i="29"/>
  <c r="K548" i="29"/>
  <c r="C548" i="29"/>
  <c r="B548" i="29"/>
  <c r="K545" i="29"/>
  <c r="K544" i="29"/>
  <c r="K542" i="29"/>
  <c r="C542" i="29"/>
  <c r="B542" i="29"/>
  <c r="K539" i="29"/>
  <c r="K538" i="29"/>
  <c r="K537" i="29"/>
  <c r="K535" i="29"/>
  <c r="C535" i="29"/>
  <c r="B535" i="29"/>
  <c r="K532" i="29"/>
  <c r="K533" i="29" s="1"/>
  <c r="L530" i="29" s="1"/>
  <c r="K530" i="29"/>
  <c r="C530" i="29"/>
  <c r="B530" i="29"/>
  <c r="K527" i="29"/>
  <c r="K526" i="29"/>
  <c r="K525" i="29"/>
  <c r="K523" i="29"/>
  <c r="C523" i="29"/>
  <c r="B523" i="29"/>
  <c r="C522" i="29"/>
  <c r="B522" i="29"/>
  <c r="I519" i="29"/>
  <c r="K519" i="29" s="1"/>
  <c r="I518" i="29"/>
  <c r="K518" i="29" s="1"/>
  <c r="I517" i="29"/>
  <c r="K517" i="29" s="1"/>
  <c r="K515" i="29"/>
  <c r="C515" i="29"/>
  <c r="B515" i="29"/>
  <c r="K512" i="29"/>
  <c r="K511" i="29"/>
  <c r="K510" i="29"/>
  <c r="K508" i="29"/>
  <c r="C508" i="29"/>
  <c r="B508" i="29"/>
  <c r="K505" i="29"/>
  <c r="K506" i="29" s="1"/>
  <c r="L503" i="29" s="1"/>
  <c r="K503" i="29"/>
  <c r="C503" i="29"/>
  <c r="B503" i="29"/>
  <c r="K500" i="29"/>
  <c r="K501" i="29" s="1"/>
  <c r="L498" i="29" s="1"/>
  <c r="K498" i="29"/>
  <c r="C498" i="29"/>
  <c r="B498" i="29"/>
  <c r="K495" i="29"/>
  <c r="K496" i="29" s="1"/>
  <c r="L493" i="29" s="1"/>
  <c r="K493" i="29"/>
  <c r="C493" i="29"/>
  <c r="B493" i="29"/>
  <c r="C492" i="29"/>
  <c r="B492" i="29"/>
  <c r="K489" i="29"/>
  <c r="K488" i="29"/>
  <c r="K487" i="29"/>
  <c r="K485" i="29"/>
  <c r="C485" i="29"/>
  <c r="B485" i="29"/>
  <c r="K482" i="29"/>
  <c r="K481" i="29"/>
  <c r="K479" i="29"/>
  <c r="C479" i="29"/>
  <c r="B479" i="29"/>
  <c r="K476" i="29"/>
  <c r="K477" i="29" s="1"/>
  <c r="L474" i="29" s="1"/>
  <c r="K474" i="29"/>
  <c r="C474" i="29"/>
  <c r="B474" i="29"/>
  <c r="K471" i="29"/>
  <c r="K472" i="29" s="1"/>
  <c r="L469" i="29" s="1"/>
  <c r="K469" i="29"/>
  <c r="C469" i="29"/>
  <c r="B469" i="29"/>
  <c r="K466" i="29"/>
  <c r="K467" i="29" s="1"/>
  <c r="L464" i="29" s="1"/>
  <c r="K464" i="29"/>
  <c r="C464" i="29"/>
  <c r="B464" i="29"/>
  <c r="C463" i="29"/>
  <c r="B463" i="29"/>
  <c r="C462" i="29"/>
  <c r="B462" i="29"/>
  <c r="K459" i="29"/>
  <c r="K458" i="29"/>
  <c r="K456" i="29"/>
  <c r="C456" i="29"/>
  <c r="B456" i="29"/>
  <c r="K453" i="29"/>
  <c r="K452" i="29"/>
  <c r="K450" i="29"/>
  <c r="C450" i="29"/>
  <c r="B450" i="29"/>
  <c r="K447" i="29"/>
  <c r="K446" i="29"/>
  <c r="K444" i="29"/>
  <c r="C444" i="29"/>
  <c r="B444" i="29"/>
  <c r="K441" i="29"/>
  <c r="K440" i="29"/>
  <c r="K439" i="29"/>
  <c r="K438" i="29"/>
  <c r="K437" i="29"/>
  <c r="K435" i="29"/>
  <c r="C435" i="29"/>
  <c r="B435" i="29"/>
  <c r="K432" i="29"/>
  <c r="K431" i="29"/>
  <c r="K430" i="29"/>
  <c r="K429" i="29"/>
  <c r="K428" i="29"/>
  <c r="K426" i="29"/>
  <c r="C426" i="29"/>
  <c r="B426" i="29"/>
  <c r="K423" i="29"/>
  <c r="K422" i="29"/>
  <c r="K421" i="29"/>
  <c r="K420" i="29"/>
  <c r="K419" i="29"/>
  <c r="K417" i="29"/>
  <c r="C417" i="29"/>
  <c r="B417" i="29"/>
  <c r="C416" i="29"/>
  <c r="B416" i="29"/>
  <c r="I413" i="29"/>
  <c r="K413" i="29" s="1"/>
  <c r="K414" i="29" s="1"/>
  <c r="L411" i="29" s="1"/>
  <c r="K411" i="29"/>
  <c r="C411" i="29"/>
  <c r="B411" i="29"/>
  <c r="I408" i="29"/>
  <c r="K408" i="29" s="1"/>
  <c r="K409" i="29" s="1"/>
  <c r="L406" i="29" s="1"/>
  <c r="K406" i="29"/>
  <c r="C406" i="29"/>
  <c r="B406" i="29"/>
  <c r="K403" i="29"/>
  <c r="K404" i="29" s="1"/>
  <c r="L401" i="29" s="1"/>
  <c r="F403" i="29"/>
  <c r="K401" i="29"/>
  <c r="C401" i="29"/>
  <c r="B401" i="29"/>
  <c r="F398" i="29"/>
  <c r="K398" i="29" s="1"/>
  <c r="K399" i="29" s="1"/>
  <c r="L396" i="29" s="1"/>
  <c r="K396" i="29"/>
  <c r="C396" i="29"/>
  <c r="B396" i="29"/>
  <c r="I393" i="29"/>
  <c r="K393" i="29" s="1"/>
  <c r="K394" i="29" s="1"/>
  <c r="L391" i="29" s="1"/>
  <c r="K391" i="29"/>
  <c r="C391" i="29"/>
  <c r="B391" i="29"/>
  <c r="F388" i="29"/>
  <c r="K388" i="29" s="1"/>
  <c r="K389" i="29" s="1"/>
  <c r="L386" i="29" s="1"/>
  <c r="K386" i="29"/>
  <c r="C386" i="29"/>
  <c r="B386" i="29"/>
  <c r="F383" i="29"/>
  <c r="K383" i="29" s="1"/>
  <c r="K384" i="29" s="1"/>
  <c r="L381" i="29" s="1"/>
  <c r="K381" i="29"/>
  <c r="C381" i="29"/>
  <c r="B381" i="29"/>
  <c r="F378" i="29"/>
  <c r="K378" i="29" s="1"/>
  <c r="K379" i="29" s="1"/>
  <c r="L376" i="29" s="1"/>
  <c r="K376" i="29"/>
  <c r="C376" i="29"/>
  <c r="B376" i="29"/>
  <c r="F373" i="29"/>
  <c r="K373" i="29" s="1"/>
  <c r="K374" i="29" s="1"/>
  <c r="L371" i="29" s="1"/>
  <c r="K371" i="29"/>
  <c r="C371" i="29"/>
  <c r="B371" i="29"/>
  <c r="F368" i="29"/>
  <c r="K368" i="29" s="1"/>
  <c r="K369" i="29" s="1"/>
  <c r="L366" i="29" s="1"/>
  <c r="K366" i="29"/>
  <c r="C366" i="29"/>
  <c r="B366" i="29"/>
  <c r="F363" i="29"/>
  <c r="K363" i="29" s="1"/>
  <c r="K364" i="29" s="1"/>
  <c r="L361" i="29" s="1"/>
  <c r="K361" i="29"/>
  <c r="C361" i="29"/>
  <c r="B361" i="29"/>
  <c r="F358" i="29"/>
  <c r="K358" i="29" s="1"/>
  <c r="K359" i="29" s="1"/>
  <c r="L356" i="29" s="1"/>
  <c r="K356" i="29"/>
  <c r="C356" i="29"/>
  <c r="B356" i="29"/>
  <c r="F353" i="29"/>
  <c r="K353" i="29" s="1"/>
  <c r="K354" i="29" s="1"/>
  <c r="L351" i="29" s="1"/>
  <c r="K351" i="29"/>
  <c r="C351" i="29"/>
  <c r="B351" i="29"/>
  <c r="F348" i="29"/>
  <c r="K348" i="29" s="1"/>
  <c r="K349" i="29" s="1"/>
  <c r="L346" i="29" s="1"/>
  <c r="K346" i="29"/>
  <c r="C346" i="29"/>
  <c r="B346" i="29"/>
  <c r="F343" i="29"/>
  <c r="K343" i="29" s="1"/>
  <c r="K344" i="29" s="1"/>
  <c r="L341" i="29" s="1"/>
  <c r="K341" i="29"/>
  <c r="C341" i="29"/>
  <c r="B341" i="29"/>
  <c r="C340" i="29"/>
  <c r="B340" i="29"/>
  <c r="K337" i="29"/>
  <c r="K338" i="29" s="1"/>
  <c r="L335" i="29" s="1"/>
  <c r="K335" i="29"/>
  <c r="C335" i="29"/>
  <c r="B335" i="29"/>
  <c r="K332" i="29"/>
  <c r="K333" i="29" s="1"/>
  <c r="L330" i="29" s="1"/>
  <c r="K330" i="29"/>
  <c r="C330" i="29"/>
  <c r="B330" i="29"/>
  <c r="K327" i="29"/>
  <c r="K328" i="29" s="1"/>
  <c r="L325" i="29" s="1"/>
  <c r="K325" i="29"/>
  <c r="C325" i="29"/>
  <c r="B325" i="29"/>
  <c r="K322" i="29"/>
  <c r="K323" i="29" s="1"/>
  <c r="L320" i="29" s="1"/>
  <c r="K320" i="29"/>
  <c r="C320" i="29"/>
  <c r="B320" i="29"/>
  <c r="K317" i="29"/>
  <c r="K318" i="29" s="1"/>
  <c r="L315" i="29" s="1"/>
  <c r="K315" i="29"/>
  <c r="C315" i="29"/>
  <c r="B315" i="29"/>
  <c r="K312" i="29"/>
  <c r="K313" i="29" s="1"/>
  <c r="L310" i="29" s="1"/>
  <c r="K310" i="29"/>
  <c r="C310" i="29"/>
  <c r="B310" i="29"/>
  <c r="K307" i="29"/>
  <c r="K308" i="29" s="1"/>
  <c r="L305" i="29" s="1"/>
  <c r="K305" i="29"/>
  <c r="C305" i="29"/>
  <c r="B305" i="29"/>
  <c r="K302" i="29"/>
  <c r="K303" i="29" s="1"/>
  <c r="L300" i="29" s="1"/>
  <c r="K300" i="29"/>
  <c r="C300" i="29"/>
  <c r="B300" i="29"/>
  <c r="K297" i="29"/>
  <c r="K298" i="29" s="1"/>
  <c r="L295" i="29" s="1"/>
  <c r="K295" i="29"/>
  <c r="C295" i="29"/>
  <c r="B295" i="29"/>
  <c r="K292" i="29"/>
  <c r="K293" i="29" s="1"/>
  <c r="L290" i="29" s="1"/>
  <c r="K290" i="29"/>
  <c r="C290" i="29"/>
  <c r="B290" i="29"/>
  <c r="K287" i="29"/>
  <c r="K288" i="29" s="1"/>
  <c r="K285" i="29"/>
  <c r="K286" i="29" s="1"/>
  <c r="L284" i="29"/>
  <c r="K284" i="29"/>
  <c r="C284" i="29"/>
  <c r="B284" i="29"/>
  <c r="K281" i="29"/>
  <c r="K282" i="29" s="1"/>
  <c r="L279" i="29"/>
  <c r="K279" i="29"/>
  <c r="C279" i="29"/>
  <c r="B279" i="29"/>
  <c r="K277" i="29"/>
  <c r="K276" i="29"/>
  <c r="L274" i="29"/>
  <c r="K274" i="29"/>
  <c r="C274" i="29"/>
  <c r="B274" i="29"/>
  <c r="L271" i="29"/>
  <c r="K271" i="29"/>
  <c r="C271" i="29"/>
  <c r="B271" i="29"/>
  <c r="K270" i="29"/>
  <c r="K268" i="29"/>
  <c r="K267" i="29"/>
  <c r="K266" i="29"/>
  <c r="K265" i="29"/>
  <c r="K263" i="29"/>
  <c r="K260" i="29"/>
  <c r="I259" i="29"/>
  <c r="K259" i="29" s="1"/>
  <c r="K258" i="29"/>
  <c r="I257" i="29"/>
  <c r="K257" i="29" s="1"/>
  <c r="K255" i="29"/>
  <c r="C255" i="29"/>
  <c r="B255" i="29"/>
  <c r="K252" i="29"/>
  <c r="I251" i="29"/>
  <c r="K251" i="29" s="1"/>
  <c r="K250" i="29"/>
  <c r="I249" i="29"/>
  <c r="K249" i="29" s="1"/>
  <c r="K235" i="29"/>
  <c r="K236" i="29" s="1"/>
  <c r="L233" i="29" s="1"/>
  <c r="K213" i="29"/>
  <c r="K214" i="29" s="1"/>
  <c r="L211" i="29" s="1"/>
  <c r="K208" i="29"/>
  <c r="K209" i="29" s="1"/>
  <c r="L206" i="29" s="1"/>
  <c r="K203" i="29"/>
  <c r="K204" i="29" s="1"/>
  <c r="L201" i="29" s="1"/>
  <c r="K198" i="29"/>
  <c r="K199" i="29" s="1"/>
  <c r="L196" i="29" s="1"/>
  <c r="K193" i="29"/>
  <c r="K194" i="29" s="1"/>
  <c r="L191" i="29" s="1"/>
  <c r="K191" i="29"/>
  <c r="K186" i="29"/>
  <c r="I185" i="29"/>
  <c r="K185" i="29" s="1"/>
  <c r="I184" i="29"/>
  <c r="K184" i="29" s="1"/>
  <c r="K182" i="29"/>
  <c r="C182" i="29"/>
  <c r="B182" i="29"/>
  <c r="C181" i="29"/>
  <c r="B181" i="29"/>
  <c r="K178" i="29"/>
  <c r="K179" i="29" s="1"/>
  <c r="L176" i="29" s="1"/>
  <c r="K176" i="29"/>
  <c r="C176" i="29"/>
  <c r="B176" i="29"/>
  <c r="K173" i="29"/>
  <c r="K174" i="29" s="1"/>
  <c r="L171" i="29" s="1"/>
  <c r="K171" i="29"/>
  <c r="C171" i="29"/>
  <c r="B171" i="29"/>
  <c r="K168" i="29"/>
  <c r="K169" i="29" s="1"/>
  <c r="L166" i="29" s="1"/>
  <c r="K166" i="29"/>
  <c r="C166" i="29"/>
  <c r="B166" i="29"/>
  <c r="K163" i="29"/>
  <c r="K164" i="29" s="1"/>
  <c r="L161" i="29" s="1"/>
  <c r="K161" i="29"/>
  <c r="C161" i="29"/>
  <c r="B161" i="29"/>
  <c r="K158" i="29"/>
  <c r="K159" i="29" s="1"/>
  <c r="L156" i="29" s="1"/>
  <c r="K156" i="29"/>
  <c r="C156" i="29"/>
  <c r="B156" i="29"/>
  <c r="K153" i="29"/>
  <c r="K152" i="29"/>
  <c r="K150" i="29"/>
  <c r="C150" i="29"/>
  <c r="B150" i="29"/>
  <c r="K147" i="29"/>
  <c r="K146" i="29"/>
  <c r="K144" i="29"/>
  <c r="C144" i="29"/>
  <c r="B144" i="29"/>
  <c r="K141" i="29"/>
  <c r="K140" i="29"/>
  <c r="K142" i="29" s="1"/>
  <c r="L138" i="29" s="1"/>
  <c r="K138" i="29"/>
  <c r="C138" i="29"/>
  <c r="B138" i="29"/>
  <c r="K135" i="29"/>
  <c r="K134" i="29"/>
  <c r="K133" i="29"/>
  <c r="K131" i="29"/>
  <c r="C131" i="29"/>
  <c r="B131" i="29"/>
  <c r="H128" i="29"/>
  <c r="G128" i="29"/>
  <c r="H127" i="29"/>
  <c r="G127" i="29"/>
  <c r="H126" i="29"/>
  <c r="G126" i="29"/>
  <c r="H125" i="29"/>
  <c r="G125" i="29"/>
  <c r="H124" i="29"/>
  <c r="G124" i="29"/>
  <c r="K122" i="29"/>
  <c r="C122" i="29"/>
  <c r="B122" i="29"/>
  <c r="G119" i="29"/>
  <c r="K119" i="29" s="1"/>
  <c r="G118" i="29"/>
  <c r="K118" i="29" s="1"/>
  <c r="G117" i="29"/>
  <c r="K117" i="29" s="1"/>
  <c r="G116" i="29"/>
  <c r="K116" i="29" s="1"/>
  <c r="G115" i="29"/>
  <c r="K115" i="29" s="1"/>
  <c r="K113" i="29"/>
  <c r="C113" i="29"/>
  <c r="B113" i="29"/>
  <c r="K110" i="29"/>
  <c r="K109" i="29"/>
  <c r="K108" i="29"/>
  <c r="K106" i="29"/>
  <c r="C106" i="29"/>
  <c r="B106" i="29"/>
  <c r="K103" i="29"/>
  <c r="K104" i="29" s="1"/>
  <c r="L101" i="29" s="1"/>
  <c r="K101" i="29"/>
  <c r="C101" i="29"/>
  <c r="B101" i="29"/>
  <c r="C100" i="29"/>
  <c r="B100" i="29"/>
  <c r="K97" i="29"/>
  <c r="K98" i="29" s="1"/>
  <c r="L95" i="29" s="1"/>
  <c r="K95" i="29"/>
  <c r="C95" i="29"/>
  <c r="B95" i="29"/>
  <c r="K92" i="29"/>
  <c r="K93" i="29" s="1"/>
  <c r="L90" i="29" s="1"/>
  <c r="K90" i="29"/>
  <c r="C90" i="29"/>
  <c r="B90" i="29"/>
  <c r="K87" i="29"/>
  <c r="K88" i="29" s="1"/>
  <c r="L85" i="29" s="1"/>
  <c r="K85" i="29"/>
  <c r="C85" i="29"/>
  <c r="B85" i="29"/>
  <c r="K82" i="29"/>
  <c r="I81" i="29"/>
  <c r="K81" i="29" s="1"/>
  <c r="K80" i="29"/>
  <c r="K79" i="29"/>
  <c r="K78" i="29"/>
  <c r="K76" i="29"/>
  <c r="C76" i="29"/>
  <c r="B76" i="29"/>
  <c r="K73" i="29"/>
  <c r="I72" i="29"/>
  <c r="K72" i="29" s="1"/>
  <c r="K71" i="29"/>
  <c r="K70" i="29"/>
  <c r="K69" i="29"/>
  <c r="K67" i="29"/>
  <c r="C67" i="29"/>
  <c r="B67" i="29"/>
  <c r="K64" i="29"/>
  <c r="I63" i="29"/>
  <c r="K63" i="29" s="1"/>
  <c r="K62" i="29"/>
  <c r="K61" i="29"/>
  <c r="K60" i="29"/>
  <c r="K59" i="29"/>
  <c r="K57" i="29"/>
  <c r="C57" i="29"/>
  <c r="B57" i="29"/>
  <c r="C56" i="29"/>
  <c r="B56" i="29"/>
  <c r="K51" i="29"/>
  <c r="C51" i="29"/>
  <c r="B51" i="29"/>
  <c r="K48" i="29"/>
  <c r="I47" i="29"/>
  <c r="K47" i="29" s="1"/>
  <c r="K46" i="29"/>
  <c r="K45" i="29"/>
  <c r="K44" i="29"/>
  <c r="K43" i="29"/>
  <c r="K41" i="29"/>
  <c r="C41" i="29"/>
  <c r="B41" i="29"/>
  <c r="F38" i="29"/>
  <c r="K38" i="29" s="1"/>
  <c r="K39" i="29" s="1"/>
  <c r="L36" i="29" s="1"/>
  <c r="K36" i="29"/>
  <c r="C36" i="29"/>
  <c r="B36" i="29"/>
  <c r="C35" i="29"/>
  <c r="B35" i="29"/>
  <c r="K32" i="29"/>
  <c r="K33" i="29" s="1"/>
  <c r="L30" i="29" s="1"/>
  <c r="K30" i="29"/>
  <c r="C30" i="29"/>
  <c r="B30" i="29"/>
  <c r="C29" i="29"/>
  <c r="B29" i="29"/>
  <c r="K26" i="29"/>
  <c r="K25" i="29"/>
  <c r="K23" i="29"/>
  <c r="C23" i="29"/>
  <c r="B23" i="29"/>
  <c r="K20" i="29"/>
  <c r="K21" i="29" s="1"/>
  <c r="L18" i="29" s="1"/>
  <c r="K18" i="29"/>
  <c r="C18" i="29"/>
  <c r="B18" i="29"/>
  <c r="K15" i="29"/>
  <c r="K16" i="29" s="1"/>
  <c r="L13" i="29" s="1"/>
  <c r="K13" i="29"/>
  <c r="C13" i="29"/>
  <c r="B13" i="29"/>
  <c r="C12" i="29"/>
  <c r="B12" i="29"/>
  <c r="G8" i="29"/>
  <c r="C8" i="29"/>
  <c r="J7" i="29"/>
  <c r="G7" i="29"/>
  <c r="D7" i="29"/>
  <c r="D2" i="29"/>
  <c r="K83" i="29" l="1"/>
  <c r="L76" i="29" s="1"/>
  <c r="H53" i="29" s="1"/>
  <c r="K111" i="29"/>
  <c r="L106" i="29" s="1"/>
  <c r="K120" i="29"/>
  <c r="L113" i="29" s="1"/>
  <c r="I124" i="29"/>
  <c r="K124" i="29" s="1"/>
  <c r="I125" i="29"/>
  <c r="K125" i="29" s="1"/>
  <c r="I126" i="29"/>
  <c r="K126" i="29" s="1"/>
  <c r="I127" i="29"/>
  <c r="K127" i="29" s="1"/>
  <c r="I128" i="29"/>
  <c r="K128" i="29" s="1"/>
  <c r="K148" i="29"/>
  <c r="L144" i="29" s="1"/>
  <c r="K187" i="29"/>
  <c r="L182" i="29" s="1"/>
  <c r="K454" i="29"/>
  <c r="L450" i="29" s="1"/>
  <c r="K483" i="29"/>
  <c r="L479" i="29" s="1"/>
  <c r="K520" i="29"/>
  <c r="L515" i="29" s="1"/>
  <c r="K528" i="29"/>
  <c r="L523" i="29" s="1"/>
  <c r="K540" i="29"/>
  <c r="L535" i="29" s="1"/>
  <c r="K552" i="29"/>
  <c r="L548" i="29" s="1"/>
  <c r="K580" i="29"/>
  <c r="L576" i="29" s="1"/>
  <c r="K608" i="29"/>
  <c r="L604" i="29" s="1"/>
  <c r="K27" i="29"/>
  <c r="L23" i="29" s="1"/>
  <c r="K49" i="29"/>
  <c r="L41" i="29" s="1"/>
  <c r="F53" i="29" s="1"/>
  <c r="K261" i="29"/>
  <c r="L255" i="29" s="1"/>
  <c r="K253" i="29"/>
  <c r="K74" i="29"/>
  <c r="L67" i="29" s="1"/>
  <c r="G53" i="29" s="1"/>
  <c r="K136" i="29"/>
  <c r="L131" i="29" s="1"/>
  <c r="K154" i="29"/>
  <c r="L150" i="29" s="1"/>
  <c r="K424" i="29"/>
  <c r="L417" i="29" s="1"/>
  <c r="K433" i="29"/>
  <c r="L426" i="29" s="1"/>
  <c r="K442" i="29"/>
  <c r="L435" i="29" s="1"/>
  <c r="K448" i="29"/>
  <c r="L444" i="29" s="1"/>
  <c r="K460" i="29"/>
  <c r="L456" i="29" s="1"/>
  <c r="K490" i="29"/>
  <c r="L485" i="29" s="1"/>
  <c r="K513" i="29"/>
  <c r="L508" i="29" s="1"/>
  <c r="K602" i="29"/>
  <c r="L598" i="29" s="1"/>
  <c r="K627" i="29"/>
  <c r="L623" i="29" s="1"/>
  <c r="K65" i="29"/>
  <c r="L57" i="29" s="1"/>
  <c r="K639" i="29"/>
  <c r="K640" i="29" s="1"/>
  <c r="K546" i="29"/>
  <c r="L542" i="29" s="1"/>
  <c r="K574" i="29"/>
  <c r="L570" i="29" s="1"/>
  <c r="G204" i="6"/>
  <c r="G203" i="6"/>
  <c r="G202" i="6"/>
  <c r="G207" i="6" s="1"/>
  <c r="G201" i="6"/>
  <c r="G200" i="6"/>
  <c r="G199" i="6"/>
  <c r="G198" i="6"/>
  <c r="G205" i="6" l="1"/>
  <c r="G206" i="6"/>
  <c r="K129" i="29"/>
  <c r="L122" i="29" s="1"/>
  <c r="K53" i="29"/>
  <c r="K54" i="29" s="1"/>
  <c r="L51" i="29" s="1"/>
  <c r="G208" i="6" l="1"/>
  <c r="F47" i="30" s="1"/>
  <c r="G47" i="30" s="1"/>
  <c r="H47" i="30" s="1"/>
  <c r="C24" i="25"/>
  <c r="L10" i="25"/>
  <c r="L12" i="25"/>
  <c r="L13" i="25"/>
  <c r="L15" i="25"/>
  <c r="L16" i="25"/>
  <c r="L18" i="25"/>
  <c r="L19" i="25"/>
  <c r="L22" i="25"/>
  <c r="L24" i="25"/>
  <c r="L25" i="25"/>
  <c r="L9" i="25"/>
  <c r="C21" i="25"/>
  <c r="C18" i="25"/>
  <c r="C15" i="25"/>
  <c r="C12" i="25"/>
  <c r="S34" i="25" l="1"/>
  <c r="R34" i="25" l="1"/>
  <c r="D39" i="25" s="1"/>
  <c r="K933" i="11" l="1"/>
  <c r="K934" i="11" s="1"/>
  <c r="L931" i="11" s="1"/>
  <c r="K928" i="11"/>
  <c r="K927" i="11"/>
  <c r="K922" i="11"/>
  <c r="L920" i="11" s="1"/>
  <c r="K917" i="11"/>
  <c r="K918" i="11" s="1"/>
  <c r="L915" i="11" s="1"/>
  <c r="K879" i="15"/>
  <c r="K880" i="15" s="1"/>
  <c r="K193" i="4"/>
  <c r="K192" i="4"/>
  <c r="K929" i="11" l="1"/>
  <c r="L925" i="11" s="1"/>
  <c r="J764" i="11"/>
  <c r="K764" i="11" s="1"/>
  <c r="K763" i="11"/>
  <c r="K762" i="11"/>
  <c r="K761" i="11"/>
  <c r="K760" i="11"/>
  <c r="K759" i="11"/>
  <c r="K758" i="11"/>
  <c r="K757" i="11"/>
  <c r="K756" i="11"/>
  <c r="K755" i="11"/>
  <c r="K754" i="11"/>
  <c r="K753" i="11"/>
  <c r="K752" i="11"/>
  <c r="K751" i="11"/>
  <c r="K750" i="11"/>
  <c r="K749" i="11"/>
  <c r="K748" i="11"/>
  <c r="K747" i="11"/>
  <c r="K746" i="11"/>
  <c r="K745" i="11"/>
  <c r="K744" i="11"/>
  <c r="K743" i="11"/>
  <c r="K742" i="11"/>
  <c r="K741" i="11"/>
  <c r="K740" i="11"/>
  <c r="K739" i="11"/>
  <c r="K738" i="11"/>
  <c r="K737" i="11"/>
  <c r="K736" i="11"/>
  <c r="K735" i="11"/>
  <c r="K734" i="11"/>
  <c r="K733" i="11"/>
  <c r="K732" i="11"/>
  <c r="K731" i="11"/>
  <c r="K730" i="11"/>
  <c r="K729" i="11"/>
  <c r="I728" i="11"/>
  <c r="K728" i="11" s="1"/>
  <c r="I727" i="11"/>
  <c r="K727" i="11" s="1"/>
  <c r="K726" i="11"/>
  <c r="I725" i="11"/>
  <c r="K725" i="11" s="1"/>
  <c r="I724" i="11"/>
  <c r="K724" i="11" s="1"/>
  <c r="K769" i="11"/>
  <c r="K770" i="11"/>
  <c r="J713" i="15"/>
  <c r="K713" i="15" s="1"/>
  <c r="K712" i="15"/>
  <c r="K711" i="15"/>
  <c r="K710" i="15"/>
  <c r="K709" i="15"/>
  <c r="K708" i="15"/>
  <c r="K707" i="15"/>
  <c r="K706" i="15"/>
  <c r="K705" i="15"/>
  <c r="K704" i="15"/>
  <c r="K703" i="15"/>
  <c r="K702" i="15"/>
  <c r="K701" i="15"/>
  <c r="K700" i="15"/>
  <c r="K699" i="15"/>
  <c r="K698" i="15"/>
  <c r="K697" i="15"/>
  <c r="K696" i="15"/>
  <c r="K695" i="15"/>
  <c r="J694" i="15"/>
  <c r="K694" i="15" s="1"/>
  <c r="K693" i="15"/>
  <c r="K692" i="15"/>
  <c r="K691" i="15"/>
  <c r="K690" i="15"/>
  <c r="K689" i="15"/>
  <c r="K688" i="15"/>
  <c r="K687" i="15"/>
  <c r="J686" i="15"/>
  <c r="K686" i="15" s="1"/>
  <c r="K765" i="11" l="1"/>
  <c r="L722" i="11" s="1"/>
  <c r="E27" i="9" s="1"/>
  <c r="K771" i="11"/>
  <c r="L767" i="11" s="1"/>
  <c r="K714" i="15"/>
  <c r="L684" i="15" s="1"/>
  <c r="E29" i="14" s="1"/>
  <c r="K693" i="4"/>
  <c r="K692" i="4"/>
  <c r="K691" i="4"/>
  <c r="K690" i="4"/>
  <c r="K689" i="4"/>
  <c r="K688" i="4"/>
  <c r="K687" i="4"/>
  <c r="K686" i="4"/>
  <c r="K685" i="4"/>
  <c r="K684" i="4"/>
  <c r="K683" i="4"/>
  <c r="K682" i="4"/>
  <c r="K681" i="4"/>
  <c r="K680" i="4"/>
  <c r="K679" i="4"/>
  <c r="K678" i="4"/>
  <c r="K677" i="4"/>
  <c r="K676" i="4"/>
  <c r="K675" i="4"/>
  <c r="K674" i="4"/>
  <c r="K673" i="4"/>
  <c r="K672" i="4"/>
  <c r="K671" i="4"/>
  <c r="K670" i="4"/>
  <c r="K669" i="4"/>
  <c r="K688" i="13"/>
  <c r="K687" i="13"/>
  <c r="K686" i="13"/>
  <c r="K685" i="13"/>
  <c r="K684" i="13"/>
  <c r="K683" i="13"/>
  <c r="K682" i="13"/>
  <c r="K681" i="13"/>
  <c r="K680" i="13"/>
  <c r="K679" i="13"/>
  <c r="K678" i="13"/>
  <c r="K677" i="13"/>
  <c r="K676" i="13"/>
  <c r="K675" i="13"/>
  <c r="K674" i="13"/>
  <c r="K673" i="13"/>
  <c r="K672" i="13"/>
  <c r="K671" i="13"/>
  <c r="K670" i="13"/>
  <c r="K669" i="13"/>
  <c r="J668" i="13"/>
  <c r="I668" i="13"/>
  <c r="J667" i="13"/>
  <c r="K667" i="13" s="1"/>
  <c r="K693" i="13"/>
  <c r="K694" i="13" s="1"/>
  <c r="L691" i="13" s="1"/>
  <c r="E27" i="12" s="1"/>
  <c r="K645" i="17"/>
  <c r="K646" i="17" s="1"/>
  <c r="L643" i="17" s="1"/>
  <c r="E33" i="16" s="1"/>
  <c r="K640" i="17"/>
  <c r="K641" i="17" s="1"/>
  <c r="L638" i="17" s="1"/>
  <c r="K630" i="17"/>
  <c r="K631" i="17" s="1"/>
  <c r="K635" i="17"/>
  <c r="K636" i="17" s="1"/>
  <c r="L633" i="17" s="1"/>
  <c r="E31" i="16" s="1"/>
  <c r="I620" i="17"/>
  <c r="K620" i="17" s="1"/>
  <c r="J615" i="17"/>
  <c r="I615" i="17"/>
  <c r="I625" i="17"/>
  <c r="K625" i="17" s="1"/>
  <c r="K626" i="17" s="1"/>
  <c r="K793" i="17"/>
  <c r="K794" i="17" s="1"/>
  <c r="L791" i="17" s="1"/>
  <c r="E73" i="16" s="1"/>
  <c r="K781" i="17"/>
  <c r="K782" i="17" s="1"/>
  <c r="L779" i="17" s="1"/>
  <c r="E65" i="16"/>
  <c r="K766" i="17"/>
  <c r="K767" i="17" s="1"/>
  <c r="L764" i="17" s="1"/>
  <c r="K675" i="17"/>
  <c r="K681" i="17"/>
  <c r="K662" i="17"/>
  <c r="K663" i="17" s="1"/>
  <c r="K214" i="17"/>
  <c r="K215" i="17" s="1"/>
  <c r="L212" i="17" s="1"/>
  <c r="E21" i="16" s="1"/>
  <c r="K221" i="17"/>
  <c r="K222" i="17" s="1"/>
  <c r="L219" i="17" s="1"/>
  <c r="E24" i="16" s="1"/>
  <c r="G193" i="6"/>
  <c r="G191" i="6"/>
  <c r="G190" i="6"/>
  <c r="K694" i="4" l="1"/>
  <c r="L667" i="4" s="1"/>
  <c r="E25" i="2" s="1"/>
  <c r="G192" i="6"/>
  <c r="G195" i="6" s="1"/>
  <c r="K668" i="13"/>
  <c r="K689" i="13" s="1"/>
  <c r="L665" i="13" s="1"/>
  <c r="E26" i="12" s="1"/>
  <c r="K615" i="17"/>
  <c r="G182" i="6"/>
  <c r="G181" i="6"/>
  <c r="G180" i="6"/>
  <c r="G184" i="6" s="1"/>
  <c r="F29" i="14" l="1"/>
  <c r="F27" i="9"/>
  <c r="F29" i="16"/>
  <c r="F28" i="32"/>
  <c r="G28" i="32" s="1"/>
  <c r="H28" i="32" s="1"/>
  <c r="F26" i="12"/>
  <c r="F25" i="2"/>
  <c r="G183" i="6"/>
  <c r="G186" i="6" s="1"/>
  <c r="F64" i="16" s="1"/>
  <c r="K859" i="13"/>
  <c r="K860" i="13" s="1"/>
  <c r="L857" i="13" s="1"/>
  <c r="G126" i="6"/>
  <c r="G127" i="6"/>
  <c r="G123" i="6"/>
  <c r="G124" i="6"/>
  <c r="G125" i="6"/>
  <c r="G128" i="6" l="1"/>
  <c r="K828" i="4"/>
  <c r="K829" i="4" s="1"/>
  <c r="L826" i="4" s="1"/>
  <c r="L789" i="4"/>
  <c r="K220" i="4"/>
  <c r="K221" i="4"/>
  <c r="K761" i="15"/>
  <c r="K762" i="15" s="1"/>
  <c r="L759" i="15" s="1"/>
  <c r="E39" i="14"/>
  <c r="K749" i="4"/>
  <c r="K750" i="4"/>
  <c r="K751" i="4"/>
  <c r="K752" i="4"/>
  <c r="K753" i="4"/>
  <c r="K754" i="4"/>
  <c r="K755" i="4"/>
  <c r="K748" i="4"/>
  <c r="G18" i="6"/>
  <c r="K865" i="11"/>
  <c r="K866" i="11" s="1"/>
  <c r="L863" i="11" s="1"/>
  <c r="G173" i="6"/>
  <c r="G172" i="6"/>
  <c r="G171" i="6"/>
  <c r="G170" i="6"/>
  <c r="G169" i="6"/>
  <c r="K873" i="15"/>
  <c r="K874" i="15" s="1"/>
  <c r="L871" i="15" s="1"/>
  <c r="K230" i="15"/>
  <c r="K231" i="15" s="1"/>
  <c r="L228" i="15" s="1"/>
  <c r="K198" i="15"/>
  <c r="K199" i="15" s="1"/>
  <c r="L196" i="15" s="1"/>
  <c r="K196" i="15"/>
  <c r="G162" i="6"/>
  <c r="G161" i="6"/>
  <c r="K193" i="15"/>
  <c r="K194" i="15" s="1"/>
  <c r="L191" i="15" s="1"/>
  <c r="K191" i="15"/>
  <c r="K220" i="11"/>
  <c r="K221" i="11" s="1"/>
  <c r="L218" i="11" s="1"/>
  <c r="K218" i="11"/>
  <c r="G154" i="6"/>
  <c r="G155" i="6" s="1"/>
  <c r="G158" i="6" s="1"/>
  <c r="F57" i="9" s="1"/>
  <c r="G146" i="6"/>
  <c r="G150" i="6" s="1"/>
  <c r="G147" i="6"/>
  <c r="G149" i="6" s="1"/>
  <c r="G145" i="6"/>
  <c r="G148" i="6" s="1"/>
  <c r="G163" i="6" l="1"/>
  <c r="G166" i="6" s="1"/>
  <c r="F17" i="14" s="1"/>
  <c r="G175" i="6"/>
  <c r="K222" i="4"/>
  <c r="L218" i="4" s="1"/>
  <c r="G174" i="6"/>
  <c r="G151" i="6"/>
  <c r="F48" i="30" l="1"/>
  <c r="G48" i="30" s="1"/>
  <c r="H48" i="30" s="1"/>
  <c r="H46" i="30" s="1"/>
  <c r="F73" i="16"/>
  <c r="F69" i="9"/>
  <c r="F69" i="32"/>
  <c r="G69" i="32" s="1"/>
  <c r="H69" i="32" s="1"/>
  <c r="H68" i="32" s="1"/>
  <c r="F67" i="12"/>
  <c r="F57" i="2"/>
  <c r="F71" i="14"/>
  <c r="G177" i="6"/>
  <c r="F51" i="9" s="1"/>
  <c r="K787" i="17"/>
  <c r="K788" i="17" s="1"/>
  <c r="L785" i="17" s="1"/>
  <c r="E70" i="16" s="1"/>
  <c r="K776" i="17"/>
  <c r="K777" i="17" s="1"/>
  <c r="L774" i="17" s="1"/>
  <c r="K771" i="17"/>
  <c r="K772" i="17" s="1"/>
  <c r="L769" i="17" s="1"/>
  <c r="K761" i="17"/>
  <c r="K762" i="17" s="1"/>
  <c r="L759" i="17" s="1"/>
  <c r="K756" i="17"/>
  <c r="K757" i="17" s="1"/>
  <c r="L754" i="17" s="1"/>
  <c r="K744" i="17"/>
  <c r="K745" i="17" s="1"/>
  <c r="L742" i="17" s="1"/>
  <c r="K739" i="17"/>
  <c r="K740" i="17" s="1"/>
  <c r="L737" i="17" s="1"/>
  <c r="K734" i="17"/>
  <c r="K735" i="17" s="1"/>
  <c r="L732" i="17" s="1"/>
  <c r="K729" i="17"/>
  <c r="K730" i="17" s="1"/>
  <c r="L727" i="17" s="1"/>
  <c r="K724" i="17"/>
  <c r="K725" i="17" s="1"/>
  <c r="L722" i="17" s="1"/>
  <c r="K716" i="17"/>
  <c r="K717" i="17" s="1"/>
  <c r="L714" i="17" s="1"/>
  <c r="E51" i="16" s="1"/>
  <c r="K711" i="17"/>
  <c r="K710" i="17"/>
  <c r="K709" i="17"/>
  <c r="K708" i="17"/>
  <c r="K703" i="17"/>
  <c r="K704" i="17" s="1"/>
  <c r="L701" i="17" s="1"/>
  <c r="K696" i="17"/>
  <c r="K697" i="17" s="1"/>
  <c r="L694" i="17" s="1"/>
  <c r="E46" i="16" s="1"/>
  <c r="K691" i="17"/>
  <c r="K692" i="17" s="1"/>
  <c r="L689" i="17" s="1"/>
  <c r="E45" i="16" s="1"/>
  <c r="K686" i="17"/>
  <c r="K687" i="17" s="1"/>
  <c r="L684" i="17" s="1"/>
  <c r="E44" i="16" s="1"/>
  <c r="K682" i="17"/>
  <c r="L679" i="17" s="1"/>
  <c r="E43" i="16" s="1"/>
  <c r="K676" i="17"/>
  <c r="L673" i="17" s="1"/>
  <c r="E42" i="16" s="1"/>
  <c r="K669" i="17"/>
  <c r="K670" i="17" s="1"/>
  <c r="L667" i="17" s="1"/>
  <c r="E41" i="16" s="1"/>
  <c r="L660" i="17"/>
  <c r="E38" i="16" s="1"/>
  <c r="K657" i="17"/>
  <c r="K652" i="17"/>
  <c r="K653" i="17" s="1"/>
  <c r="L650" i="17" s="1"/>
  <c r="E36" i="16" s="1"/>
  <c r="L628" i="17"/>
  <c r="K621" i="17"/>
  <c r="L618" i="17" s="1"/>
  <c r="E28" i="16" s="1"/>
  <c r="K607" i="17"/>
  <c r="K608" i="17" s="1"/>
  <c r="L605" i="17" s="1"/>
  <c r="K605" i="17"/>
  <c r="C605" i="17"/>
  <c r="B605" i="17"/>
  <c r="K602" i="17"/>
  <c r="K601" i="17"/>
  <c r="K599" i="17"/>
  <c r="C599" i="17"/>
  <c r="B599" i="17"/>
  <c r="K595" i="17"/>
  <c r="K596" i="17" s="1"/>
  <c r="L593" i="17" s="1"/>
  <c r="K593" i="17"/>
  <c r="C593" i="17"/>
  <c r="B593" i="17"/>
  <c r="C592" i="17"/>
  <c r="B592" i="17"/>
  <c r="K589" i="17"/>
  <c r="K590" i="17" s="1"/>
  <c r="L587" i="17" s="1"/>
  <c r="K587" i="17"/>
  <c r="C587" i="17"/>
  <c r="B587" i="17"/>
  <c r="C586" i="17"/>
  <c r="B586" i="17"/>
  <c r="K583" i="17"/>
  <c r="K582" i="17"/>
  <c r="K580" i="17"/>
  <c r="C580" i="17"/>
  <c r="B580" i="17"/>
  <c r="K577" i="17"/>
  <c r="K576" i="17"/>
  <c r="K574" i="17"/>
  <c r="C574" i="17"/>
  <c r="B574" i="17"/>
  <c r="K571" i="17"/>
  <c r="K572" i="17" s="1"/>
  <c r="L569" i="17" s="1"/>
  <c r="K569" i="17"/>
  <c r="C569" i="17"/>
  <c r="B569" i="17"/>
  <c r="K566" i="17"/>
  <c r="K567" i="17" s="1"/>
  <c r="L564" i="17" s="1"/>
  <c r="K564" i="17"/>
  <c r="C564" i="17"/>
  <c r="B564" i="17"/>
  <c r="K561" i="17"/>
  <c r="K562" i="17" s="1"/>
  <c r="L559" i="17" s="1"/>
  <c r="K559" i="17"/>
  <c r="C559" i="17"/>
  <c r="B559" i="17"/>
  <c r="C558" i="17"/>
  <c r="B558" i="17"/>
  <c r="K555" i="17"/>
  <c r="K554" i="17"/>
  <c r="K552" i="17"/>
  <c r="C552" i="17"/>
  <c r="B552" i="17"/>
  <c r="K549" i="17"/>
  <c r="K548" i="17"/>
  <c r="K546" i="17"/>
  <c r="C546" i="17"/>
  <c r="B546" i="17"/>
  <c r="K543" i="17"/>
  <c r="K544" i="17" s="1"/>
  <c r="L541" i="17" s="1"/>
  <c r="K541" i="17"/>
  <c r="C541" i="17"/>
  <c r="B541" i="17"/>
  <c r="K538" i="17"/>
  <c r="K539" i="17" s="1"/>
  <c r="L536" i="17" s="1"/>
  <c r="K536" i="17"/>
  <c r="C536" i="17"/>
  <c r="B536" i="17"/>
  <c r="K533" i="17"/>
  <c r="K534" i="17" s="1"/>
  <c r="L531" i="17" s="1"/>
  <c r="K531" i="17"/>
  <c r="C531" i="17"/>
  <c r="B531" i="17"/>
  <c r="C530" i="17"/>
  <c r="B530" i="17"/>
  <c r="K527" i="17"/>
  <c r="K526" i="17"/>
  <c r="K524" i="17"/>
  <c r="C524" i="17"/>
  <c r="B524" i="17"/>
  <c r="K521" i="17"/>
  <c r="K520" i="17"/>
  <c r="K518" i="17"/>
  <c r="C518" i="17"/>
  <c r="B518" i="17"/>
  <c r="K515" i="17"/>
  <c r="K514" i="17"/>
  <c r="K513" i="17"/>
  <c r="K511" i="17"/>
  <c r="C511" i="17"/>
  <c r="B511" i="17"/>
  <c r="K508" i="17"/>
  <c r="K509" i="17" s="1"/>
  <c r="L506" i="17" s="1"/>
  <c r="K506" i="17"/>
  <c r="C506" i="17"/>
  <c r="B506" i="17"/>
  <c r="K503" i="17"/>
  <c r="K502" i="17"/>
  <c r="K501" i="17"/>
  <c r="K499" i="17"/>
  <c r="C499" i="17"/>
  <c r="B499" i="17"/>
  <c r="C498" i="17"/>
  <c r="B498" i="17"/>
  <c r="I495" i="17"/>
  <c r="K495" i="17" s="1"/>
  <c r="I494" i="17"/>
  <c r="K494" i="17" s="1"/>
  <c r="I493" i="17"/>
  <c r="K493" i="17" s="1"/>
  <c r="K491" i="17"/>
  <c r="C491" i="17"/>
  <c r="B491" i="17"/>
  <c r="K488" i="17"/>
  <c r="K487" i="17"/>
  <c r="K486" i="17"/>
  <c r="K484" i="17"/>
  <c r="C484" i="17"/>
  <c r="B484" i="17"/>
  <c r="K481" i="17"/>
  <c r="K482" i="17" s="1"/>
  <c r="L479" i="17" s="1"/>
  <c r="K479" i="17"/>
  <c r="C479" i="17"/>
  <c r="B479" i="17"/>
  <c r="K476" i="17"/>
  <c r="K477" i="17" s="1"/>
  <c r="L474" i="17" s="1"/>
  <c r="K474" i="17"/>
  <c r="C474" i="17"/>
  <c r="B474" i="17"/>
  <c r="K471" i="17"/>
  <c r="K472" i="17" s="1"/>
  <c r="L469" i="17" s="1"/>
  <c r="K469" i="17"/>
  <c r="C469" i="17"/>
  <c r="B469" i="17"/>
  <c r="C468" i="17"/>
  <c r="B468" i="17"/>
  <c r="K465" i="17"/>
  <c r="K464" i="17"/>
  <c r="K463" i="17"/>
  <c r="K461" i="17"/>
  <c r="C461" i="17"/>
  <c r="B461" i="17"/>
  <c r="K458" i="17"/>
  <c r="K457" i="17"/>
  <c r="K455" i="17"/>
  <c r="C455" i="17"/>
  <c r="B455" i="17"/>
  <c r="K452" i="17"/>
  <c r="K453" i="17" s="1"/>
  <c r="L450" i="17" s="1"/>
  <c r="K450" i="17"/>
  <c r="C450" i="17"/>
  <c r="B450" i="17"/>
  <c r="K447" i="17"/>
  <c r="K448" i="17" s="1"/>
  <c r="L445" i="17" s="1"/>
  <c r="K445" i="17"/>
  <c r="C445" i="17"/>
  <c r="B445" i="17"/>
  <c r="K442" i="17"/>
  <c r="K443" i="17" s="1"/>
  <c r="L440" i="17" s="1"/>
  <c r="K440" i="17"/>
  <c r="C440" i="17"/>
  <c r="B440" i="17"/>
  <c r="C439" i="17"/>
  <c r="B439" i="17"/>
  <c r="C438" i="17"/>
  <c r="B438" i="17"/>
  <c r="K435" i="17"/>
  <c r="K434" i="17"/>
  <c r="K432" i="17"/>
  <c r="C432" i="17"/>
  <c r="B432" i="17"/>
  <c r="K429" i="17"/>
  <c r="K428" i="17"/>
  <c r="K426" i="17"/>
  <c r="C426" i="17"/>
  <c r="B426" i="17"/>
  <c r="K423" i="17"/>
  <c r="K422" i="17"/>
  <c r="K420" i="17"/>
  <c r="C420" i="17"/>
  <c r="B420" i="17"/>
  <c r="K417" i="17"/>
  <c r="K416" i="17"/>
  <c r="K415" i="17"/>
  <c r="K414" i="17"/>
  <c r="K413" i="17"/>
  <c r="K411" i="17"/>
  <c r="C411" i="17"/>
  <c r="B411" i="17"/>
  <c r="K408" i="17"/>
  <c r="K407" i="17"/>
  <c r="K406" i="17"/>
  <c r="K405" i="17"/>
  <c r="K404" i="17"/>
  <c r="K402" i="17"/>
  <c r="C402" i="17"/>
  <c r="B402" i="17"/>
  <c r="K399" i="17"/>
  <c r="K398" i="17"/>
  <c r="K397" i="17"/>
  <c r="K396" i="17"/>
  <c r="K395" i="17"/>
  <c r="K393" i="17"/>
  <c r="C393" i="17"/>
  <c r="B393" i="17"/>
  <c r="C392" i="17"/>
  <c r="B392" i="17"/>
  <c r="I389" i="17"/>
  <c r="K389" i="17" s="1"/>
  <c r="K390" i="17" s="1"/>
  <c r="L387" i="17" s="1"/>
  <c r="K387" i="17"/>
  <c r="C387" i="17"/>
  <c r="B387" i="17"/>
  <c r="I384" i="17"/>
  <c r="K384" i="17" s="1"/>
  <c r="K385" i="17" s="1"/>
  <c r="L382" i="17" s="1"/>
  <c r="K382" i="17"/>
  <c r="C382" i="17"/>
  <c r="B382" i="17"/>
  <c r="K379" i="17"/>
  <c r="K380" i="17" s="1"/>
  <c r="L377" i="17" s="1"/>
  <c r="F379" i="17"/>
  <c r="K377" i="17"/>
  <c r="C377" i="17"/>
  <c r="B377" i="17"/>
  <c r="F374" i="17"/>
  <c r="K374" i="17" s="1"/>
  <c r="K375" i="17" s="1"/>
  <c r="L372" i="17" s="1"/>
  <c r="K372" i="17"/>
  <c r="C372" i="17"/>
  <c r="B372" i="17"/>
  <c r="I369" i="17"/>
  <c r="K369" i="17" s="1"/>
  <c r="K370" i="17" s="1"/>
  <c r="L367" i="17" s="1"/>
  <c r="K367" i="17"/>
  <c r="C367" i="17"/>
  <c r="B367" i="17"/>
  <c r="F364" i="17"/>
  <c r="K364" i="17" s="1"/>
  <c r="K365" i="17" s="1"/>
  <c r="L362" i="17" s="1"/>
  <c r="K362" i="17"/>
  <c r="C362" i="17"/>
  <c r="B362" i="17"/>
  <c r="F359" i="17"/>
  <c r="K359" i="17" s="1"/>
  <c r="K360" i="17" s="1"/>
  <c r="L357" i="17" s="1"/>
  <c r="K357" i="17"/>
  <c r="C357" i="17"/>
  <c r="B357" i="17"/>
  <c r="F354" i="17"/>
  <c r="K354" i="17" s="1"/>
  <c r="K355" i="17" s="1"/>
  <c r="L352" i="17" s="1"/>
  <c r="K352" i="17"/>
  <c r="C352" i="17"/>
  <c r="B352" i="17"/>
  <c r="F349" i="17"/>
  <c r="K349" i="17" s="1"/>
  <c r="K350" i="17" s="1"/>
  <c r="L347" i="17" s="1"/>
  <c r="K347" i="17"/>
  <c r="C347" i="17"/>
  <c r="B347" i="17"/>
  <c r="F344" i="17"/>
  <c r="K344" i="17" s="1"/>
  <c r="K345" i="17" s="1"/>
  <c r="L342" i="17" s="1"/>
  <c r="K342" i="17"/>
  <c r="C342" i="17"/>
  <c r="B342" i="17"/>
  <c r="F339" i="17"/>
  <c r="K339" i="17" s="1"/>
  <c r="K340" i="17" s="1"/>
  <c r="L337" i="17" s="1"/>
  <c r="K337" i="17"/>
  <c r="C337" i="17"/>
  <c r="B337" i="17"/>
  <c r="F334" i="17"/>
  <c r="K334" i="17" s="1"/>
  <c r="K335" i="17" s="1"/>
  <c r="L332" i="17" s="1"/>
  <c r="K332" i="17"/>
  <c r="C332" i="17"/>
  <c r="B332" i="17"/>
  <c r="F329" i="17"/>
  <c r="K329" i="17" s="1"/>
  <c r="K330" i="17" s="1"/>
  <c r="L327" i="17" s="1"/>
  <c r="K327" i="17"/>
  <c r="C327" i="17"/>
  <c r="B327" i="17"/>
  <c r="F324" i="17"/>
  <c r="K324" i="17" s="1"/>
  <c r="K325" i="17" s="1"/>
  <c r="L322" i="17" s="1"/>
  <c r="K322" i="17"/>
  <c r="C322" i="17"/>
  <c r="B322" i="17"/>
  <c r="F319" i="17"/>
  <c r="K319" i="17" s="1"/>
  <c r="K320" i="17" s="1"/>
  <c r="L317" i="17" s="1"/>
  <c r="K317" i="17"/>
  <c r="C317" i="17"/>
  <c r="B317" i="17"/>
  <c r="C316" i="17"/>
  <c r="B316" i="17"/>
  <c r="K313" i="17"/>
  <c r="K314" i="17" s="1"/>
  <c r="L311" i="17" s="1"/>
  <c r="K311" i="17"/>
  <c r="C311" i="17"/>
  <c r="B311" i="17"/>
  <c r="K308" i="17"/>
  <c r="K309" i="17" s="1"/>
  <c r="L306" i="17" s="1"/>
  <c r="K306" i="17"/>
  <c r="C306" i="17"/>
  <c r="B306" i="17"/>
  <c r="K303" i="17"/>
  <c r="K304" i="17" s="1"/>
  <c r="L301" i="17" s="1"/>
  <c r="K301" i="17"/>
  <c r="C301" i="17"/>
  <c r="B301" i="17"/>
  <c r="K298" i="17"/>
  <c r="K299" i="17" s="1"/>
  <c r="L296" i="17" s="1"/>
  <c r="K296" i="17"/>
  <c r="C296" i="17"/>
  <c r="B296" i="17"/>
  <c r="K293" i="17"/>
  <c r="K294" i="17" s="1"/>
  <c r="L291" i="17" s="1"/>
  <c r="K291" i="17"/>
  <c r="C291" i="17"/>
  <c r="B291" i="17"/>
  <c r="K288" i="17"/>
  <c r="K289" i="17" s="1"/>
  <c r="L286" i="17" s="1"/>
  <c r="K286" i="17"/>
  <c r="C286" i="17"/>
  <c r="B286" i="17"/>
  <c r="K283" i="17"/>
  <c r="K284" i="17" s="1"/>
  <c r="L281" i="17" s="1"/>
  <c r="K281" i="17"/>
  <c r="C281" i="17"/>
  <c r="B281" i="17"/>
  <c r="K278" i="17"/>
  <c r="K279" i="17" s="1"/>
  <c r="L276" i="17" s="1"/>
  <c r="K276" i="17"/>
  <c r="C276" i="17"/>
  <c r="B276" i="17"/>
  <c r="K273" i="17"/>
  <c r="K274" i="17" s="1"/>
  <c r="L271" i="17" s="1"/>
  <c r="K271" i="17"/>
  <c r="C271" i="17"/>
  <c r="B271" i="17"/>
  <c r="K268" i="17"/>
  <c r="K269" i="17" s="1"/>
  <c r="L266" i="17" s="1"/>
  <c r="K266" i="17"/>
  <c r="C266" i="17"/>
  <c r="B266" i="17"/>
  <c r="K263" i="17"/>
  <c r="K264" i="17" s="1"/>
  <c r="K261" i="17"/>
  <c r="K262" i="17" s="1"/>
  <c r="L260" i="17"/>
  <c r="K260" i="17"/>
  <c r="C260" i="17"/>
  <c r="B260" i="17"/>
  <c r="K257" i="17"/>
  <c r="K258" i="17" s="1"/>
  <c r="L255" i="17"/>
  <c r="K255" i="17"/>
  <c r="C255" i="17"/>
  <c r="B255" i="17"/>
  <c r="K253" i="17"/>
  <c r="K252" i="17"/>
  <c r="L250" i="17"/>
  <c r="K250" i="17"/>
  <c r="C250" i="17"/>
  <c r="B250" i="17"/>
  <c r="L247" i="17"/>
  <c r="K247" i="17"/>
  <c r="C247" i="17"/>
  <c r="B247" i="17"/>
  <c r="K246" i="17"/>
  <c r="K244" i="17"/>
  <c r="K243" i="17"/>
  <c r="K242" i="17"/>
  <c r="K241" i="17"/>
  <c r="K239" i="17"/>
  <c r="K236" i="17"/>
  <c r="I235" i="17"/>
  <c r="K235" i="17" s="1"/>
  <c r="K234" i="17"/>
  <c r="I233" i="17"/>
  <c r="K233" i="17" s="1"/>
  <c r="K231" i="17"/>
  <c r="C231" i="17"/>
  <c r="B231" i="17"/>
  <c r="K228" i="17"/>
  <c r="I227" i="17"/>
  <c r="K227" i="17" s="1"/>
  <c r="K226" i="17"/>
  <c r="I225" i="17"/>
  <c r="K225" i="17" s="1"/>
  <c r="K209" i="17"/>
  <c r="K210" i="17" s="1"/>
  <c r="L207" i="17" s="1"/>
  <c r="E20" i="16" s="1"/>
  <c r="K204" i="17"/>
  <c r="K205" i="17" s="1"/>
  <c r="L202" i="17" s="1"/>
  <c r="E19" i="16" s="1"/>
  <c r="K199" i="17"/>
  <c r="K200" i="17" s="1"/>
  <c r="L197" i="17" s="1"/>
  <c r="K194" i="17"/>
  <c r="K195" i="17" s="1"/>
  <c r="L192" i="17" s="1"/>
  <c r="E17" i="16" s="1"/>
  <c r="K192" i="17"/>
  <c r="K186" i="17"/>
  <c r="I185" i="17"/>
  <c r="K185" i="17" s="1"/>
  <c r="I184" i="17"/>
  <c r="K184" i="17" s="1"/>
  <c r="K182" i="17"/>
  <c r="C182" i="17"/>
  <c r="B182" i="17"/>
  <c r="C181" i="17"/>
  <c r="B181" i="17"/>
  <c r="K178" i="17"/>
  <c r="K179" i="17" s="1"/>
  <c r="L176" i="17" s="1"/>
  <c r="K176" i="17"/>
  <c r="C176" i="17"/>
  <c r="B176" i="17"/>
  <c r="K173" i="17"/>
  <c r="K174" i="17" s="1"/>
  <c r="L171" i="17" s="1"/>
  <c r="K171" i="17"/>
  <c r="C171" i="17"/>
  <c r="B171" i="17"/>
  <c r="K168" i="17"/>
  <c r="K169" i="17" s="1"/>
  <c r="L166" i="17" s="1"/>
  <c r="K166" i="17"/>
  <c r="C166" i="17"/>
  <c r="B166" i="17"/>
  <c r="K163" i="17"/>
  <c r="K164" i="17" s="1"/>
  <c r="L161" i="17" s="1"/>
  <c r="K161" i="17"/>
  <c r="C161" i="17"/>
  <c r="B161" i="17"/>
  <c r="K158" i="17"/>
  <c r="K159" i="17" s="1"/>
  <c r="L156" i="17" s="1"/>
  <c r="K156" i="17"/>
  <c r="C156" i="17"/>
  <c r="B156" i="17"/>
  <c r="K153" i="17"/>
  <c r="K152" i="17"/>
  <c r="K150" i="17"/>
  <c r="C150" i="17"/>
  <c r="B150" i="17"/>
  <c r="K147" i="17"/>
  <c r="K146" i="17"/>
  <c r="K144" i="17"/>
  <c r="C144" i="17"/>
  <c r="B144" i="17"/>
  <c r="K141" i="17"/>
  <c r="K140" i="17"/>
  <c r="K142" i="17" s="1"/>
  <c r="L138" i="17" s="1"/>
  <c r="K138" i="17"/>
  <c r="C138" i="17"/>
  <c r="B138" i="17"/>
  <c r="K135" i="17"/>
  <c r="K134" i="17"/>
  <c r="K133" i="17"/>
  <c r="K131" i="17"/>
  <c r="C131" i="17"/>
  <c r="B131" i="17"/>
  <c r="H128" i="17"/>
  <c r="G128" i="17"/>
  <c r="H127" i="17"/>
  <c r="G127" i="17"/>
  <c r="H126" i="17"/>
  <c r="G126" i="17"/>
  <c r="H125" i="17"/>
  <c r="G125" i="17"/>
  <c r="H124" i="17"/>
  <c r="G124" i="17"/>
  <c r="K122" i="17"/>
  <c r="C122" i="17"/>
  <c r="B122" i="17"/>
  <c r="G119" i="17"/>
  <c r="K119" i="17" s="1"/>
  <c r="G118" i="17"/>
  <c r="K118" i="17" s="1"/>
  <c r="G117" i="17"/>
  <c r="K117" i="17" s="1"/>
  <c r="G116" i="17"/>
  <c r="K116" i="17" s="1"/>
  <c r="G115" i="17"/>
  <c r="K115" i="17" s="1"/>
  <c r="K113" i="17"/>
  <c r="C113" i="17"/>
  <c r="B113" i="17"/>
  <c r="K110" i="17"/>
  <c r="K109" i="17"/>
  <c r="K108" i="17"/>
  <c r="K106" i="17"/>
  <c r="C106" i="17"/>
  <c r="B106" i="17"/>
  <c r="K103" i="17"/>
  <c r="K104" i="17" s="1"/>
  <c r="L101" i="17" s="1"/>
  <c r="K101" i="17"/>
  <c r="C101" i="17"/>
  <c r="B101" i="17"/>
  <c r="C100" i="17"/>
  <c r="B100" i="17"/>
  <c r="K97" i="17"/>
  <c r="K98" i="17" s="1"/>
  <c r="L95" i="17" s="1"/>
  <c r="K95" i="17"/>
  <c r="C95" i="17"/>
  <c r="B95" i="17"/>
  <c r="K92" i="17"/>
  <c r="K93" i="17" s="1"/>
  <c r="L90" i="17" s="1"/>
  <c r="K90" i="17"/>
  <c r="C90" i="17"/>
  <c r="B90" i="17"/>
  <c r="K87" i="17"/>
  <c r="K88" i="17" s="1"/>
  <c r="L85" i="17" s="1"/>
  <c r="K85" i="17"/>
  <c r="C85" i="17"/>
  <c r="B85" i="17"/>
  <c r="K82" i="17"/>
  <c r="I81" i="17"/>
  <c r="K81" i="17" s="1"/>
  <c r="K80" i="17"/>
  <c r="K79" i="17"/>
  <c r="K78" i="17"/>
  <c r="K76" i="17"/>
  <c r="C76" i="17"/>
  <c r="B76" i="17"/>
  <c r="K73" i="17"/>
  <c r="I72" i="17"/>
  <c r="K72" i="17" s="1"/>
  <c r="K71" i="17"/>
  <c r="K70" i="17"/>
  <c r="K69" i="17"/>
  <c r="K67" i="17"/>
  <c r="C67" i="17"/>
  <c r="B67" i="17"/>
  <c r="K64" i="17"/>
  <c r="I63" i="17"/>
  <c r="K63" i="17" s="1"/>
  <c r="K62" i="17"/>
  <c r="K61" i="17"/>
  <c r="K60" i="17"/>
  <c r="K59" i="17"/>
  <c r="K57" i="17"/>
  <c r="C57" i="17"/>
  <c r="B57" i="17"/>
  <c r="C56" i="17"/>
  <c r="B56" i="17"/>
  <c r="K51" i="17"/>
  <c r="C51" i="17"/>
  <c r="B51" i="17"/>
  <c r="K48" i="17"/>
  <c r="I47" i="17"/>
  <c r="K47" i="17" s="1"/>
  <c r="K46" i="17"/>
  <c r="K45" i="17"/>
  <c r="K44" i="17"/>
  <c r="K43" i="17"/>
  <c r="K41" i="17"/>
  <c r="C41" i="17"/>
  <c r="B41" i="17"/>
  <c r="F38" i="17"/>
  <c r="K38" i="17" s="1"/>
  <c r="K39" i="17" s="1"/>
  <c r="L36" i="17" s="1"/>
  <c r="K36" i="17"/>
  <c r="C36" i="17"/>
  <c r="B36" i="17"/>
  <c r="C35" i="17"/>
  <c r="B35" i="17"/>
  <c r="K32" i="17"/>
  <c r="K33" i="17" s="1"/>
  <c r="L30" i="17" s="1"/>
  <c r="K30" i="17"/>
  <c r="C30" i="17"/>
  <c r="B30" i="17"/>
  <c r="C29" i="17"/>
  <c r="B29" i="17"/>
  <c r="K26" i="17"/>
  <c r="K25" i="17"/>
  <c r="K23" i="17"/>
  <c r="C23" i="17"/>
  <c r="B23" i="17"/>
  <c r="K20" i="17"/>
  <c r="K21" i="17" s="1"/>
  <c r="L18" i="17" s="1"/>
  <c r="K18" i="17"/>
  <c r="C18" i="17"/>
  <c r="B18" i="17"/>
  <c r="K15" i="17"/>
  <c r="K16" i="17" s="1"/>
  <c r="L13" i="17" s="1"/>
  <c r="K13" i="17"/>
  <c r="C13" i="17"/>
  <c r="B13" i="17"/>
  <c r="C12" i="17"/>
  <c r="B12" i="17"/>
  <c r="G8" i="17"/>
  <c r="C8" i="17"/>
  <c r="J7" i="17"/>
  <c r="G7" i="17"/>
  <c r="D7" i="17"/>
  <c r="D2" i="17"/>
  <c r="H11" i="16"/>
  <c r="G91" i="16" l="1"/>
  <c r="H91" i="16" s="1"/>
  <c r="G93" i="16"/>
  <c r="H93" i="16" s="1"/>
  <c r="G95" i="16"/>
  <c r="H95" i="16" s="1"/>
  <c r="G90" i="16"/>
  <c r="H90" i="16" s="1"/>
  <c r="G92" i="16"/>
  <c r="H92" i="16" s="1"/>
  <c r="G94" i="16"/>
  <c r="H94" i="16" s="1"/>
  <c r="G96" i="16"/>
  <c r="H96" i="16" s="1"/>
  <c r="G184" i="16"/>
  <c r="H184" i="16" s="1"/>
  <c r="G181" i="16"/>
  <c r="H181" i="16" s="1"/>
  <c r="G185" i="16"/>
  <c r="H185" i="16" s="1"/>
  <c r="G189" i="16"/>
  <c r="H189" i="16" s="1"/>
  <c r="G182" i="16"/>
  <c r="H182" i="16" s="1"/>
  <c r="G186" i="16"/>
  <c r="H186" i="16" s="1"/>
  <c r="G190" i="16"/>
  <c r="H190" i="16" s="1"/>
  <c r="G183" i="16"/>
  <c r="H183" i="16" s="1"/>
  <c r="G187" i="16"/>
  <c r="H187" i="16" s="1"/>
  <c r="G180" i="16"/>
  <c r="H180" i="16" s="1"/>
  <c r="G193" i="16"/>
  <c r="H193" i="16" s="1"/>
  <c r="H192" i="16" s="1"/>
  <c r="G188" i="16"/>
  <c r="H188" i="16" s="1"/>
  <c r="G177" i="16"/>
  <c r="H177" i="16" s="1"/>
  <c r="G174" i="16"/>
  <c r="H174" i="16" s="1"/>
  <c r="G176" i="16"/>
  <c r="H176" i="16" s="1"/>
  <c r="H175" i="16" s="1"/>
  <c r="G173" i="16"/>
  <c r="H173" i="16" s="1"/>
  <c r="G165" i="16"/>
  <c r="H165" i="16" s="1"/>
  <c r="G167" i="16"/>
  <c r="H167" i="16" s="1"/>
  <c r="G169" i="16"/>
  <c r="H169" i="16" s="1"/>
  <c r="G171" i="16"/>
  <c r="H171" i="16" s="1"/>
  <c r="G157" i="16"/>
  <c r="H157" i="16" s="1"/>
  <c r="G159" i="16"/>
  <c r="H159" i="16" s="1"/>
  <c r="G161" i="16"/>
  <c r="H161" i="16" s="1"/>
  <c r="G156" i="16"/>
  <c r="H156" i="16" s="1"/>
  <c r="G166" i="16"/>
  <c r="H166" i="16" s="1"/>
  <c r="G168" i="16"/>
  <c r="H168" i="16" s="1"/>
  <c r="G170" i="16"/>
  <c r="H170" i="16" s="1"/>
  <c r="G164" i="16"/>
  <c r="H164" i="16" s="1"/>
  <c r="G158" i="16"/>
  <c r="H158" i="16" s="1"/>
  <c r="G160" i="16"/>
  <c r="H160" i="16" s="1"/>
  <c r="G162" i="16"/>
  <c r="H162" i="16" s="1"/>
  <c r="G154" i="16"/>
  <c r="H154" i="16" s="1"/>
  <c r="H153" i="16" s="1"/>
  <c r="G151" i="16"/>
  <c r="H151" i="16" s="1"/>
  <c r="G152" i="16"/>
  <c r="H152" i="16" s="1"/>
  <c r="G143" i="16"/>
  <c r="H143" i="16" s="1"/>
  <c r="H142" i="16" s="1"/>
  <c r="G146" i="16"/>
  <c r="H146" i="16" s="1"/>
  <c r="G148" i="16"/>
  <c r="H148" i="16" s="1"/>
  <c r="G147" i="16"/>
  <c r="H147" i="16" s="1"/>
  <c r="G145" i="16"/>
  <c r="H145" i="16" s="1"/>
  <c r="G139" i="16"/>
  <c r="H139" i="16" s="1"/>
  <c r="G138" i="16"/>
  <c r="H138" i="16" s="1"/>
  <c r="G140" i="16"/>
  <c r="H140" i="16" s="1"/>
  <c r="G135" i="16"/>
  <c r="H135" i="16" s="1"/>
  <c r="G134" i="16"/>
  <c r="H134" i="16" s="1"/>
  <c r="G133" i="16"/>
  <c r="H133" i="16" s="1"/>
  <c r="G128" i="16"/>
  <c r="H128" i="16" s="1"/>
  <c r="G129" i="16"/>
  <c r="H129" i="16" s="1"/>
  <c r="G124" i="16"/>
  <c r="H124" i="16" s="1"/>
  <c r="G120" i="16"/>
  <c r="H120" i="16" s="1"/>
  <c r="G123" i="16"/>
  <c r="H123" i="16" s="1"/>
  <c r="G121" i="16"/>
  <c r="H121" i="16" s="1"/>
  <c r="G113" i="16"/>
  <c r="H113" i="16" s="1"/>
  <c r="G115" i="16"/>
  <c r="H115" i="16" s="1"/>
  <c r="G112" i="16"/>
  <c r="H112" i="16" s="1"/>
  <c r="G114" i="16"/>
  <c r="H114" i="16" s="1"/>
  <c r="G116" i="16"/>
  <c r="H116" i="16" s="1"/>
  <c r="G107" i="16"/>
  <c r="H107" i="16" s="1"/>
  <c r="G109" i="16"/>
  <c r="H109" i="16" s="1"/>
  <c r="G105" i="16"/>
  <c r="H105" i="16" s="1"/>
  <c r="G100" i="16"/>
  <c r="H100" i="16" s="1"/>
  <c r="G99" i="16"/>
  <c r="H99" i="16" s="1"/>
  <c r="G106" i="16"/>
  <c r="H106" i="16" s="1"/>
  <c r="G108" i="16"/>
  <c r="H108" i="16" s="1"/>
  <c r="G110" i="16"/>
  <c r="H110" i="16" s="1"/>
  <c r="G101" i="16"/>
  <c r="H101" i="16" s="1"/>
  <c r="G89" i="16"/>
  <c r="H89" i="16" s="1"/>
  <c r="G73" i="16"/>
  <c r="H73" i="16" s="1"/>
  <c r="H72" i="16" s="1"/>
  <c r="G46" i="16"/>
  <c r="H46" i="16" s="1"/>
  <c r="G17" i="16"/>
  <c r="H17" i="16" s="1"/>
  <c r="G21" i="16"/>
  <c r="H21" i="16" s="1"/>
  <c r="K27" i="17"/>
  <c r="L23" i="17" s="1"/>
  <c r="K49" i="17"/>
  <c r="L41" i="17" s="1"/>
  <c r="F53" i="17" s="1"/>
  <c r="K120" i="17"/>
  <c r="L113" i="17" s="1"/>
  <c r="K616" i="17"/>
  <c r="L613" i="17" s="1"/>
  <c r="E27" i="16" s="1"/>
  <c r="K712" i="17"/>
  <c r="L706" i="17" s="1"/>
  <c r="E50" i="16" s="1"/>
  <c r="K74" i="17"/>
  <c r="L67" i="17" s="1"/>
  <c r="G53" i="17" s="1"/>
  <c r="K83" i="17"/>
  <c r="L76" i="17" s="1"/>
  <c r="H53" i="17" s="1"/>
  <c r="K111" i="17"/>
  <c r="L106" i="17" s="1"/>
  <c r="I124" i="17"/>
  <c r="K124" i="17" s="1"/>
  <c r="I125" i="17"/>
  <c r="K125" i="17" s="1"/>
  <c r="I126" i="17"/>
  <c r="K126" i="17" s="1"/>
  <c r="I127" i="17"/>
  <c r="K127" i="17" s="1"/>
  <c r="I128" i="17"/>
  <c r="K128" i="17" s="1"/>
  <c r="K136" i="17"/>
  <c r="L131" i="17" s="1"/>
  <c r="K148" i="17"/>
  <c r="L144" i="17" s="1"/>
  <c r="K187" i="17"/>
  <c r="L182" i="17" s="1"/>
  <c r="K229" i="17"/>
  <c r="K400" i="17"/>
  <c r="L393" i="17" s="1"/>
  <c r="K409" i="17"/>
  <c r="L402" i="17" s="1"/>
  <c r="K418" i="17"/>
  <c r="L411" i="17" s="1"/>
  <c r="K430" i="17"/>
  <c r="L426" i="17" s="1"/>
  <c r="K459" i="17"/>
  <c r="L455" i="17" s="1"/>
  <c r="K466" i="17"/>
  <c r="L461" i="17" s="1"/>
  <c r="K489" i="17"/>
  <c r="L484" i="17" s="1"/>
  <c r="K528" i="17"/>
  <c r="L524" i="17" s="1"/>
  <c r="K556" i="17"/>
  <c r="L552" i="17" s="1"/>
  <c r="K584" i="17"/>
  <c r="L580" i="17" s="1"/>
  <c r="G33" i="16"/>
  <c r="H33" i="16" s="1"/>
  <c r="G29" i="16"/>
  <c r="G64" i="16"/>
  <c r="H64" i="16" s="1"/>
  <c r="G24" i="16"/>
  <c r="H24" i="16" s="1"/>
  <c r="H23" i="16" s="1"/>
  <c r="G57" i="16"/>
  <c r="H57" i="16" s="1"/>
  <c r="G70" i="16"/>
  <c r="H70" i="16" s="1"/>
  <c r="H69" i="16" s="1"/>
  <c r="G67" i="16"/>
  <c r="H67" i="16" s="1"/>
  <c r="K496" i="17"/>
  <c r="L491" i="17" s="1"/>
  <c r="K237" i="17"/>
  <c r="L231" i="17" s="1"/>
  <c r="K65" i="17"/>
  <c r="L57" i="17" s="1"/>
  <c r="K154" i="17"/>
  <c r="L150" i="17" s="1"/>
  <c r="K504" i="17"/>
  <c r="L499" i="17" s="1"/>
  <c r="K516" i="17"/>
  <c r="L511" i="17" s="1"/>
  <c r="K522" i="17"/>
  <c r="L518" i="17" s="1"/>
  <c r="K550" i="17"/>
  <c r="L546" i="17" s="1"/>
  <c r="K578" i="17"/>
  <c r="L574" i="17" s="1"/>
  <c r="K603" i="17"/>
  <c r="L599" i="17" s="1"/>
  <c r="K658" i="17"/>
  <c r="L655" i="17" s="1"/>
  <c r="E37" i="16" s="1"/>
  <c r="K424" i="17"/>
  <c r="L420" i="17" s="1"/>
  <c r="K436" i="17"/>
  <c r="L432" i="17" s="1"/>
  <c r="G27" i="16"/>
  <c r="G28" i="16"/>
  <c r="H28" i="16" s="1"/>
  <c r="G42" i="16"/>
  <c r="H42" i="16" s="1"/>
  <c r="G45" i="16"/>
  <c r="H45" i="16" s="1"/>
  <c r="G50" i="16"/>
  <c r="G51" i="16"/>
  <c r="H51" i="16" s="1"/>
  <c r="G62" i="16"/>
  <c r="H62" i="16" s="1"/>
  <c r="G63" i="16"/>
  <c r="H63" i="16" s="1"/>
  <c r="G65" i="16"/>
  <c r="H65" i="16" s="1"/>
  <c r="G66" i="16"/>
  <c r="H66" i="16" s="1"/>
  <c r="G30" i="16"/>
  <c r="H30" i="16" s="1"/>
  <c r="G31" i="16"/>
  <c r="H31" i="16" s="1"/>
  <c r="G36" i="16"/>
  <c r="H36" i="16" s="1"/>
  <c r="G37" i="16"/>
  <c r="G38" i="16"/>
  <c r="H38" i="16" s="1"/>
  <c r="G49" i="16"/>
  <c r="H49" i="16" s="1"/>
  <c r="G54" i="16"/>
  <c r="H54" i="16" s="1"/>
  <c r="G55" i="16"/>
  <c r="H55" i="16" s="1"/>
  <c r="G58" i="16"/>
  <c r="H58" i="16" s="1"/>
  <c r="G59" i="16"/>
  <c r="H59" i="16" s="1"/>
  <c r="K729" i="15"/>
  <c r="K721" i="15"/>
  <c r="K722" i="15"/>
  <c r="K723" i="15"/>
  <c r="K791" i="15"/>
  <c r="K796" i="15"/>
  <c r="K781" i="15"/>
  <c r="K775" i="15"/>
  <c r="K769" i="15"/>
  <c r="K845" i="15"/>
  <c r="K840" i="15"/>
  <c r="K825" i="15"/>
  <c r="K830" i="15"/>
  <c r="K835" i="15"/>
  <c r="K214" i="15"/>
  <c r="K215" i="15"/>
  <c r="K216" i="15"/>
  <c r="K217" i="15"/>
  <c r="K213" i="15"/>
  <c r="K812" i="15"/>
  <c r="K811" i="15"/>
  <c r="K810" i="15"/>
  <c r="K852" i="15"/>
  <c r="K857" i="15"/>
  <c r="K862" i="15"/>
  <c r="K867" i="15"/>
  <c r="H122" i="16" l="1"/>
  <c r="H172" i="16"/>
  <c r="H179" i="16"/>
  <c r="H144" i="16"/>
  <c r="H118" i="16"/>
  <c r="H131" i="16"/>
  <c r="H150" i="16"/>
  <c r="H163" i="16"/>
  <c r="H155" i="16"/>
  <c r="H137" i="16"/>
  <c r="H126" i="16"/>
  <c r="H103" i="16"/>
  <c r="H111" i="16"/>
  <c r="H27" i="16"/>
  <c r="H98" i="16"/>
  <c r="H88" i="16"/>
  <c r="H50" i="16"/>
  <c r="H48" i="16" s="1"/>
  <c r="H37" i="16"/>
  <c r="H35" i="16" s="1"/>
  <c r="K53" i="17"/>
  <c r="K54" i="17" s="1"/>
  <c r="L51" i="17" s="1"/>
  <c r="K129" i="17"/>
  <c r="L122" i="17" s="1"/>
  <c r="H61" i="16"/>
  <c r="K218" i="15"/>
  <c r="L211" i="15" s="1"/>
  <c r="E20" i="14" s="1"/>
  <c r="K761" i="4"/>
  <c r="K760" i="4"/>
  <c r="K725" i="4"/>
  <c r="K726" i="4" s="1"/>
  <c r="L723" i="4" s="1"/>
  <c r="K739" i="15"/>
  <c r="K740" i="15" s="1"/>
  <c r="K780" i="11"/>
  <c r="K781" i="11" s="1"/>
  <c r="L778" i="11" s="1"/>
  <c r="E21" i="12"/>
  <c r="K205" i="11"/>
  <c r="K204" i="11"/>
  <c r="K868" i="15"/>
  <c r="L865" i="15" s="1"/>
  <c r="K846" i="15"/>
  <c r="L843" i="15" s="1"/>
  <c r="K841" i="15"/>
  <c r="L838" i="15" s="1"/>
  <c r="K809" i="15"/>
  <c r="K808" i="15"/>
  <c r="K786" i="15"/>
  <c r="K787" i="15" s="1"/>
  <c r="L784" i="15" s="1"/>
  <c r="K782" i="15"/>
  <c r="L779" i="15" s="1"/>
  <c r="H87" i="16" l="1"/>
  <c r="H195" i="16"/>
  <c r="D197" i="16" s="1"/>
  <c r="L623" i="17"/>
  <c r="E29" i="16" s="1"/>
  <c r="H29" i="16" s="1"/>
  <c r="K813" i="15"/>
  <c r="L806" i="15" s="1"/>
  <c r="E51" i="14" s="1"/>
  <c r="K762" i="4"/>
  <c r="L758" i="4" s="1"/>
  <c r="K609" i="13"/>
  <c r="L606" i="13" s="1"/>
  <c r="K206" i="11"/>
  <c r="L202" i="11" s="1"/>
  <c r="K730" i="15"/>
  <c r="L727" i="15" s="1"/>
  <c r="E32" i="16" l="1"/>
  <c r="G135" i="6"/>
  <c r="G134" i="6"/>
  <c r="G136" i="6" l="1"/>
  <c r="G139" i="6" s="1"/>
  <c r="J681" i="15"/>
  <c r="J639" i="15"/>
  <c r="J636" i="15"/>
  <c r="J633" i="15"/>
  <c r="F19" i="16" l="1"/>
  <c r="F21" i="12"/>
  <c r="F18" i="9"/>
  <c r="F20" i="14"/>
  <c r="G19" i="16"/>
  <c r="H19" i="16" s="1"/>
  <c r="F19" i="32"/>
  <c r="G19" i="32" s="1"/>
  <c r="H19" i="32" s="1"/>
  <c r="J630" i="15"/>
  <c r="J662" i="15"/>
  <c r="J627" i="15"/>
  <c r="J626" i="15"/>
  <c r="J625" i="15"/>
  <c r="J624" i="15"/>
  <c r="J654" i="15"/>
  <c r="L877" i="15" l="1"/>
  <c r="K863" i="15"/>
  <c r="L860" i="15" s="1"/>
  <c r="K858" i="15"/>
  <c r="L855" i="15" s="1"/>
  <c r="K853" i="15"/>
  <c r="L850" i="15" s="1"/>
  <c r="K836" i="15"/>
  <c r="L833" i="15" s="1"/>
  <c r="K831" i="15"/>
  <c r="L828" i="15" s="1"/>
  <c r="K826" i="15"/>
  <c r="L823" i="15" s="1"/>
  <c r="K817" i="15"/>
  <c r="K803" i="15"/>
  <c r="K776" i="15"/>
  <c r="L773" i="15" s="1"/>
  <c r="K770" i="15"/>
  <c r="L767" i="15" s="1"/>
  <c r="K756" i="15"/>
  <c r="K757" i="15" s="1"/>
  <c r="L754" i="15" s="1"/>
  <c r="K751" i="15"/>
  <c r="K746" i="15"/>
  <c r="K724" i="15"/>
  <c r="K720" i="15"/>
  <c r="K681" i="15"/>
  <c r="K680" i="15"/>
  <c r="K679" i="15"/>
  <c r="K678" i="15"/>
  <c r="K677" i="15"/>
  <c r="K676" i="15"/>
  <c r="K675" i="15"/>
  <c r="K674" i="15"/>
  <c r="K673" i="15"/>
  <c r="K672" i="15"/>
  <c r="K671" i="15"/>
  <c r="K670" i="15"/>
  <c r="K669" i="15"/>
  <c r="K668" i="15"/>
  <c r="K667" i="15"/>
  <c r="K666" i="15"/>
  <c r="K665" i="15"/>
  <c r="K664" i="15"/>
  <c r="K663" i="15"/>
  <c r="K662" i="15"/>
  <c r="K661" i="15"/>
  <c r="K660" i="15"/>
  <c r="K659" i="15"/>
  <c r="K658" i="15"/>
  <c r="K657" i="15"/>
  <c r="K656" i="15"/>
  <c r="K655" i="15"/>
  <c r="K654" i="15"/>
  <c r="K649" i="15"/>
  <c r="L737" i="15" s="1"/>
  <c r="K648" i="15"/>
  <c r="K647" i="15"/>
  <c r="K646" i="15"/>
  <c r="K645" i="15"/>
  <c r="K644" i="15"/>
  <c r="K643" i="15"/>
  <c r="K642" i="15"/>
  <c r="K641" i="15"/>
  <c r="K640" i="15"/>
  <c r="K639" i="15"/>
  <c r="K638" i="15"/>
  <c r="K637" i="15"/>
  <c r="K636" i="15"/>
  <c r="K635" i="15"/>
  <c r="K634" i="15"/>
  <c r="K633" i="15"/>
  <c r="K632" i="15"/>
  <c r="K631" i="15"/>
  <c r="K630" i="15"/>
  <c r="K629" i="15"/>
  <c r="K628" i="15"/>
  <c r="K627" i="15"/>
  <c r="K626" i="15"/>
  <c r="K625" i="15"/>
  <c r="K624" i="15"/>
  <c r="K623" i="15"/>
  <c r="K616" i="15"/>
  <c r="K617" i="15" s="1"/>
  <c r="L614" i="15" s="1"/>
  <c r="K614" i="15"/>
  <c r="C614" i="15"/>
  <c r="B614" i="15"/>
  <c r="K611" i="15"/>
  <c r="K610" i="15"/>
  <c r="K608" i="15"/>
  <c r="C608" i="15"/>
  <c r="B608" i="15"/>
  <c r="K604" i="15"/>
  <c r="K605" i="15" s="1"/>
  <c r="L602" i="15" s="1"/>
  <c r="K602" i="15"/>
  <c r="C602" i="15"/>
  <c r="B602" i="15"/>
  <c r="C601" i="15"/>
  <c r="B601" i="15"/>
  <c r="K598" i="15"/>
  <c r="K599" i="15" s="1"/>
  <c r="L596" i="15" s="1"/>
  <c r="K596" i="15"/>
  <c r="C596" i="15"/>
  <c r="B596" i="15"/>
  <c r="C595" i="15"/>
  <c r="B595" i="15"/>
  <c r="K592" i="15"/>
  <c r="K591" i="15"/>
  <c r="K589" i="15"/>
  <c r="C589" i="15"/>
  <c r="B589" i="15"/>
  <c r="K586" i="15"/>
  <c r="K585" i="15"/>
  <c r="K583" i="15"/>
  <c r="C583" i="15"/>
  <c r="B583" i="15"/>
  <c r="K580" i="15"/>
  <c r="K581" i="15" s="1"/>
  <c r="L578" i="15" s="1"/>
  <c r="K578" i="15"/>
  <c r="C578" i="15"/>
  <c r="B578" i="15"/>
  <c r="K575" i="15"/>
  <c r="K576" i="15" s="1"/>
  <c r="L573" i="15" s="1"/>
  <c r="K573" i="15"/>
  <c r="C573" i="15"/>
  <c r="B573" i="15"/>
  <c r="K570" i="15"/>
  <c r="K571" i="15" s="1"/>
  <c r="L568" i="15" s="1"/>
  <c r="K568" i="15"/>
  <c r="C568" i="15"/>
  <c r="B568" i="15"/>
  <c r="C567" i="15"/>
  <c r="B567" i="15"/>
  <c r="K564" i="15"/>
  <c r="K563" i="15"/>
  <c r="K561" i="15"/>
  <c r="C561" i="15"/>
  <c r="B561" i="15"/>
  <c r="K558" i="15"/>
  <c r="K557" i="15"/>
  <c r="K555" i="15"/>
  <c r="C555" i="15"/>
  <c r="B555" i="15"/>
  <c r="K552" i="15"/>
  <c r="K553" i="15" s="1"/>
  <c r="L550" i="15" s="1"/>
  <c r="K550" i="15"/>
  <c r="C550" i="15"/>
  <c r="B550" i="15"/>
  <c r="K547" i="15"/>
  <c r="K548" i="15" s="1"/>
  <c r="L545" i="15" s="1"/>
  <c r="K545" i="15"/>
  <c r="C545" i="15"/>
  <c r="B545" i="15"/>
  <c r="K542" i="15"/>
  <c r="K543" i="15" s="1"/>
  <c r="L540" i="15" s="1"/>
  <c r="K540" i="15"/>
  <c r="C540" i="15"/>
  <c r="B540" i="15"/>
  <c r="C539" i="15"/>
  <c r="B539" i="15"/>
  <c r="K536" i="15"/>
  <c r="K535" i="15"/>
  <c r="K533" i="15"/>
  <c r="C533" i="15"/>
  <c r="B533" i="15"/>
  <c r="K530" i="15"/>
  <c r="K529" i="15"/>
  <c r="K527" i="15"/>
  <c r="C527" i="15"/>
  <c r="B527" i="15"/>
  <c r="K524" i="15"/>
  <c r="K523" i="15"/>
  <c r="K522" i="15"/>
  <c r="K520" i="15"/>
  <c r="C520" i="15"/>
  <c r="B520" i="15"/>
  <c r="K517" i="15"/>
  <c r="K518" i="15" s="1"/>
  <c r="L515" i="15" s="1"/>
  <c r="K515" i="15"/>
  <c r="C515" i="15"/>
  <c r="B515" i="15"/>
  <c r="K512" i="15"/>
  <c r="K511" i="15"/>
  <c r="K510" i="15"/>
  <c r="K508" i="15"/>
  <c r="C508" i="15"/>
  <c r="B508" i="15"/>
  <c r="C507" i="15"/>
  <c r="B507" i="15"/>
  <c r="I504" i="15"/>
  <c r="K504" i="15" s="1"/>
  <c r="I503" i="15"/>
  <c r="K503" i="15" s="1"/>
  <c r="I502" i="15"/>
  <c r="K502" i="15" s="1"/>
  <c r="K500" i="15"/>
  <c r="C500" i="15"/>
  <c r="B500" i="15"/>
  <c r="K497" i="15"/>
  <c r="K496" i="15"/>
  <c r="K495" i="15"/>
  <c r="K493" i="15"/>
  <c r="C493" i="15"/>
  <c r="B493" i="15"/>
  <c r="K490" i="15"/>
  <c r="K491" i="15" s="1"/>
  <c r="L488" i="15" s="1"/>
  <c r="K488" i="15"/>
  <c r="C488" i="15"/>
  <c r="B488" i="15"/>
  <c r="K485" i="15"/>
  <c r="K486" i="15" s="1"/>
  <c r="L483" i="15" s="1"/>
  <c r="K483" i="15"/>
  <c r="C483" i="15"/>
  <c r="B483" i="15"/>
  <c r="K480" i="15"/>
  <c r="K481" i="15" s="1"/>
  <c r="L478" i="15" s="1"/>
  <c r="K478" i="15"/>
  <c r="C478" i="15"/>
  <c r="B478" i="15"/>
  <c r="C477" i="15"/>
  <c r="B477" i="15"/>
  <c r="K474" i="15"/>
  <c r="K473" i="15"/>
  <c r="K472" i="15"/>
  <c r="K470" i="15"/>
  <c r="C470" i="15"/>
  <c r="B470" i="15"/>
  <c r="K467" i="15"/>
  <c r="K466" i="15"/>
  <c r="K464" i="15"/>
  <c r="C464" i="15"/>
  <c r="B464" i="15"/>
  <c r="K461" i="15"/>
  <c r="K462" i="15" s="1"/>
  <c r="L459" i="15" s="1"/>
  <c r="K459" i="15"/>
  <c r="C459" i="15"/>
  <c r="B459" i="15"/>
  <c r="K456" i="15"/>
  <c r="K457" i="15" s="1"/>
  <c r="L454" i="15" s="1"/>
  <c r="K454" i="15"/>
  <c r="C454" i="15"/>
  <c r="B454" i="15"/>
  <c r="K451" i="15"/>
  <c r="K452" i="15" s="1"/>
  <c r="L449" i="15" s="1"/>
  <c r="K449" i="15"/>
  <c r="C449" i="15"/>
  <c r="B449" i="15"/>
  <c r="C448" i="15"/>
  <c r="B448" i="15"/>
  <c r="C447" i="15"/>
  <c r="B447" i="15"/>
  <c r="K444" i="15"/>
  <c r="K443" i="15"/>
  <c r="K441" i="15"/>
  <c r="C441" i="15"/>
  <c r="B441" i="15"/>
  <c r="K438" i="15"/>
  <c r="K437" i="15"/>
  <c r="K435" i="15"/>
  <c r="C435" i="15"/>
  <c r="B435" i="15"/>
  <c r="K432" i="15"/>
  <c r="K431" i="15"/>
  <c r="K429" i="15"/>
  <c r="C429" i="15"/>
  <c r="B429" i="15"/>
  <c r="K426" i="15"/>
  <c r="K425" i="15"/>
  <c r="K424" i="15"/>
  <c r="K423" i="15"/>
  <c r="K422" i="15"/>
  <c r="K420" i="15"/>
  <c r="C420" i="15"/>
  <c r="B420" i="15"/>
  <c r="K417" i="15"/>
  <c r="K416" i="15"/>
  <c r="K415" i="15"/>
  <c r="K414" i="15"/>
  <c r="K413" i="15"/>
  <c r="K411" i="15"/>
  <c r="C411" i="15"/>
  <c r="B411" i="15"/>
  <c r="K408" i="15"/>
  <c r="K407" i="15"/>
  <c r="K406" i="15"/>
  <c r="K405" i="15"/>
  <c r="K404" i="15"/>
  <c r="K402" i="15"/>
  <c r="C402" i="15"/>
  <c r="B402" i="15"/>
  <c r="C401" i="15"/>
  <c r="B401" i="15"/>
  <c r="I398" i="15"/>
  <c r="K398" i="15" s="1"/>
  <c r="K399" i="15" s="1"/>
  <c r="L396" i="15" s="1"/>
  <c r="K396" i="15"/>
  <c r="C396" i="15"/>
  <c r="B396" i="15"/>
  <c r="I393" i="15"/>
  <c r="K393" i="15" s="1"/>
  <c r="K394" i="15" s="1"/>
  <c r="L391" i="15" s="1"/>
  <c r="K391" i="15"/>
  <c r="C391" i="15"/>
  <c r="B391" i="15"/>
  <c r="K388" i="15"/>
  <c r="K389" i="15" s="1"/>
  <c r="L386" i="15" s="1"/>
  <c r="F388" i="15"/>
  <c r="K386" i="15"/>
  <c r="C386" i="15"/>
  <c r="B386" i="15"/>
  <c r="F383" i="15"/>
  <c r="K383" i="15" s="1"/>
  <c r="K384" i="15" s="1"/>
  <c r="L381" i="15" s="1"/>
  <c r="K381" i="15"/>
  <c r="C381" i="15"/>
  <c r="B381" i="15"/>
  <c r="I378" i="15"/>
  <c r="K378" i="15" s="1"/>
  <c r="K379" i="15" s="1"/>
  <c r="L376" i="15" s="1"/>
  <c r="K376" i="15"/>
  <c r="C376" i="15"/>
  <c r="B376" i="15"/>
  <c r="F373" i="15"/>
  <c r="K373" i="15" s="1"/>
  <c r="K374" i="15" s="1"/>
  <c r="L371" i="15" s="1"/>
  <c r="K371" i="15"/>
  <c r="C371" i="15"/>
  <c r="B371" i="15"/>
  <c r="F368" i="15"/>
  <c r="K368" i="15" s="1"/>
  <c r="K369" i="15" s="1"/>
  <c r="L366" i="15" s="1"/>
  <c r="K366" i="15"/>
  <c r="C366" i="15"/>
  <c r="B366" i="15"/>
  <c r="F363" i="15"/>
  <c r="K363" i="15" s="1"/>
  <c r="K364" i="15" s="1"/>
  <c r="L361" i="15" s="1"/>
  <c r="K361" i="15"/>
  <c r="C361" i="15"/>
  <c r="B361" i="15"/>
  <c r="F358" i="15"/>
  <c r="K358" i="15" s="1"/>
  <c r="K359" i="15" s="1"/>
  <c r="L356" i="15" s="1"/>
  <c r="K356" i="15"/>
  <c r="C356" i="15"/>
  <c r="B356" i="15"/>
  <c r="F353" i="15"/>
  <c r="K353" i="15" s="1"/>
  <c r="K354" i="15" s="1"/>
  <c r="L351" i="15" s="1"/>
  <c r="K351" i="15"/>
  <c r="C351" i="15"/>
  <c r="B351" i="15"/>
  <c r="F348" i="15"/>
  <c r="K348" i="15" s="1"/>
  <c r="K349" i="15" s="1"/>
  <c r="L346" i="15" s="1"/>
  <c r="K346" i="15"/>
  <c r="C346" i="15"/>
  <c r="B346" i="15"/>
  <c r="F343" i="15"/>
  <c r="K343" i="15" s="1"/>
  <c r="K344" i="15" s="1"/>
  <c r="L341" i="15" s="1"/>
  <c r="K341" i="15"/>
  <c r="C341" i="15"/>
  <c r="B341" i="15"/>
  <c r="F338" i="15"/>
  <c r="K338" i="15" s="1"/>
  <c r="K339" i="15" s="1"/>
  <c r="L336" i="15" s="1"/>
  <c r="K336" i="15"/>
  <c r="C336" i="15"/>
  <c r="B336" i="15"/>
  <c r="F333" i="15"/>
  <c r="K333" i="15" s="1"/>
  <c r="K334" i="15" s="1"/>
  <c r="L331" i="15" s="1"/>
  <c r="K331" i="15"/>
  <c r="C331" i="15"/>
  <c r="B331" i="15"/>
  <c r="F328" i="15"/>
  <c r="K328" i="15" s="1"/>
  <c r="K329" i="15" s="1"/>
  <c r="L326" i="15" s="1"/>
  <c r="K326" i="15"/>
  <c r="C326" i="15"/>
  <c r="B326" i="15"/>
  <c r="C325" i="15"/>
  <c r="B325" i="15"/>
  <c r="K322" i="15"/>
  <c r="K323" i="15" s="1"/>
  <c r="L320" i="15" s="1"/>
  <c r="K320" i="15"/>
  <c r="C320" i="15"/>
  <c r="B320" i="15"/>
  <c r="K317" i="15"/>
  <c r="K318" i="15" s="1"/>
  <c r="L315" i="15" s="1"/>
  <c r="K315" i="15"/>
  <c r="C315" i="15"/>
  <c r="B315" i="15"/>
  <c r="K312" i="15"/>
  <c r="K313" i="15" s="1"/>
  <c r="L310" i="15" s="1"/>
  <c r="K310" i="15"/>
  <c r="C310" i="15"/>
  <c r="B310" i="15"/>
  <c r="K307" i="15"/>
  <c r="K308" i="15" s="1"/>
  <c r="L305" i="15" s="1"/>
  <c r="K305" i="15"/>
  <c r="C305" i="15"/>
  <c r="B305" i="15"/>
  <c r="K302" i="15"/>
  <c r="K303" i="15" s="1"/>
  <c r="L300" i="15" s="1"/>
  <c r="K300" i="15"/>
  <c r="C300" i="15"/>
  <c r="B300" i="15"/>
  <c r="K297" i="15"/>
  <c r="K298" i="15" s="1"/>
  <c r="L295" i="15" s="1"/>
  <c r="K295" i="15"/>
  <c r="C295" i="15"/>
  <c r="B295" i="15"/>
  <c r="K292" i="15"/>
  <c r="K293" i="15" s="1"/>
  <c r="L290" i="15" s="1"/>
  <c r="K290" i="15"/>
  <c r="C290" i="15"/>
  <c r="B290" i="15"/>
  <c r="K287" i="15"/>
  <c r="K288" i="15" s="1"/>
  <c r="L285" i="15" s="1"/>
  <c r="K285" i="15"/>
  <c r="C285" i="15"/>
  <c r="B285" i="15"/>
  <c r="K282" i="15"/>
  <c r="K283" i="15" s="1"/>
  <c r="L280" i="15" s="1"/>
  <c r="K280" i="15"/>
  <c r="C280" i="15"/>
  <c r="B280" i="15"/>
  <c r="K277" i="15"/>
  <c r="K278" i="15" s="1"/>
  <c r="L275" i="15" s="1"/>
  <c r="K275" i="15"/>
  <c r="C275" i="15"/>
  <c r="B275" i="15"/>
  <c r="K272" i="15"/>
  <c r="K273" i="15" s="1"/>
  <c r="K270" i="15"/>
  <c r="K271" i="15" s="1"/>
  <c r="L269" i="15"/>
  <c r="K269" i="15"/>
  <c r="C269" i="15"/>
  <c r="B269" i="15"/>
  <c r="K266" i="15"/>
  <c r="K267" i="15" s="1"/>
  <c r="L264" i="15"/>
  <c r="K264" i="15"/>
  <c r="C264" i="15"/>
  <c r="B264" i="15"/>
  <c r="K262" i="15"/>
  <c r="K261" i="15"/>
  <c r="L259" i="15"/>
  <c r="K259" i="15"/>
  <c r="C259" i="15"/>
  <c r="B259" i="15"/>
  <c r="L256" i="15"/>
  <c r="K256" i="15"/>
  <c r="C256" i="15"/>
  <c r="B256" i="15"/>
  <c r="K255" i="15"/>
  <c r="K253" i="15"/>
  <c r="K252" i="15"/>
  <c r="K251" i="15"/>
  <c r="K250" i="15"/>
  <c r="K248" i="15"/>
  <c r="K245" i="15"/>
  <c r="I244" i="15"/>
  <c r="K244" i="15" s="1"/>
  <c r="K243" i="15"/>
  <c r="I242" i="15"/>
  <c r="K242" i="15" s="1"/>
  <c r="K240" i="15"/>
  <c r="C240" i="15"/>
  <c r="B240" i="15"/>
  <c r="K237" i="15"/>
  <c r="I236" i="15"/>
  <c r="K236" i="15" s="1"/>
  <c r="K235" i="15"/>
  <c r="I234" i="15"/>
  <c r="K234" i="15" s="1"/>
  <c r="K223" i="15"/>
  <c r="K208" i="15"/>
  <c r="K209" i="15" s="1"/>
  <c r="L206" i="15" s="1"/>
  <c r="K203" i="15"/>
  <c r="K204" i="15" s="1"/>
  <c r="L201" i="15" s="1"/>
  <c r="K201" i="15"/>
  <c r="K186" i="15"/>
  <c r="I185" i="15"/>
  <c r="K185" i="15" s="1"/>
  <c r="I184" i="15"/>
  <c r="K184" i="15" s="1"/>
  <c r="K182" i="15"/>
  <c r="C182" i="15"/>
  <c r="B182" i="15"/>
  <c r="C181" i="15"/>
  <c r="B181" i="15"/>
  <c r="K178" i="15"/>
  <c r="K179" i="15" s="1"/>
  <c r="L176" i="15" s="1"/>
  <c r="K176" i="15"/>
  <c r="C176" i="15"/>
  <c r="B176" i="15"/>
  <c r="K173" i="15"/>
  <c r="K174" i="15" s="1"/>
  <c r="L171" i="15" s="1"/>
  <c r="K171" i="15"/>
  <c r="C171" i="15"/>
  <c r="B171" i="15"/>
  <c r="K168" i="15"/>
  <c r="K169" i="15" s="1"/>
  <c r="L166" i="15" s="1"/>
  <c r="K166" i="15"/>
  <c r="C166" i="15"/>
  <c r="B166" i="15"/>
  <c r="K163" i="15"/>
  <c r="K164" i="15" s="1"/>
  <c r="L161" i="15" s="1"/>
  <c r="K161" i="15"/>
  <c r="C161" i="15"/>
  <c r="B161" i="15"/>
  <c r="K158" i="15"/>
  <c r="K159" i="15" s="1"/>
  <c r="L156" i="15" s="1"/>
  <c r="K156" i="15"/>
  <c r="C156" i="15"/>
  <c r="B156" i="15"/>
  <c r="K153" i="15"/>
  <c r="K152" i="15"/>
  <c r="K150" i="15"/>
  <c r="C150" i="15"/>
  <c r="B150" i="15"/>
  <c r="K147" i="15"/>
  <c r="K146" i="15"/>
  <c r="K144" i="15"/>
  <c r="C144" i="15"/>
  <c r="B144" i="15"/>
  <c r="K141" i="15"/>
  <c r="K140" i="15"/>
  <c r="K142" i="15" s="1"/>
  <c r="L138" i="15" s="1"/>
  <c r="K138" i="15"/>
  <c r="C138" i="15"/>
  <c r="B138" i="15"/>
  <c r="K135" i="15"/>
  <c r="K134" i="15"/>
  <c r="K133" i="15"/>
  <c r="K131" i="15"/>
  <c r="C131" i="15"/>
  <c r="B131" i="15"/>
  <c r="H128" i="15"/>
  <c r="G128" i="15"/>
  <c r="H127" i="15"/>
  <c r="G127" i="15"/>
  <c r="H126" i="15"/>
  <c r="G126" i="15"/>
  <c r="H125" i="15"/>
  <c r="G125" i="15"/>
  <c r="H124" i="15"/>
  <c r="G124" i="15"/>
  <c r="K122" i="15"/>
  <c r="C122" i="15"/>
  <c r="B122" i="15"/>
  <c r="G119" i="15"/>
  <c r="K119" i="15" s="1"/>
  <c r="G118" i="15"/>
  <c r="K118" i="15" s="1"/>
  <c r="G117" i="15"/>
  <c r="K117" i="15" s="1"/>
  <c r="G116" i="15"/>
  <c r="K116" i="15" s="1"/>
  <c r="G115" i="15"/>
  <c r="K115" i="15" s="1"/>
  <c r="K113" i="15"/>
  <c r="C113" i="15"/>
  <c r="B113" i="15"/>
  <c r="K110" i="15"/>
  <c r="K109" i="15"/>
  <c r="K108" i="15"/>
  <c r="K106" i="15"/>
  <c r="C106" i="15"/>
  <c r="B106" i="15"/>
  <c r="K103" i="15"/>
  <c r="K104" i="15" s="1"/>
  <c r="L101" i="15" s="1"/>
  <c r="K101" i="15"/>
  <c r="C101" i="15"/>
  <c r="B101" i="15"/>
  <c r="C100" i="15"/>
  <c r="B100" i="15"/>
  <c r="K97" i="15"/>
  <c r="K98" i="15" s="1"/>
  <c r="L95" i="15" s="1"/>
  <c r="K95" i="15"/>
  <c r="C95" i="15"/>
  <c r="B95" i="15"/>
  <c r="K92" i="15"/>
  <c r="K93" i="15" s="1"/>
  <c r="L90" i="15" s="1"/>
  <c r="K90" i="15"/>
  <c r="C90" i="15"/>
  <c r="B90" i="15"/>
  <c r="K87" i="15"/>
  <c r="K88" i="15" s="1"/>
  <c r="L85" i="15" s="1"/>
  <c r="K85" i="15"/>
  <c r="C85" i="15"/>
  <c r="B85" i="15"/>
  <c r="K82" i="15"/>
  <c r="I81" i="15"/>
  <c r="K81" i="15" s="1"/>
  <c r="K80" i="15"/>
  <c r="K79" i="15"/>
  <c r="K78" i="15"/>
  <c r="K76" i="15"/>
  <c r="C76" i="15"/>
  <c r="B76" i="15"/>
  <c r="K73" i="15"/>
  <c r="I72" i="15"/>
  <c r="K72" i="15" s="1"/>
  <c r="K71" i="15"/>
  <c r="K70" i="15"/>
  <c r="K69" i="15"/>
  <c r="K67" i="15"/>
  <c r="C67" i="15"/>
  <c r="B67" i="15"/>
  <c r="K64" i="15"/>
  <c r="I63" i="15"/>
  <c r="K63" i="15" s="1"/>
  <c r="K62" i="15"/>
  <c r="K61" i="15"/>
  <c r="K60" i="15"/>
  <c r="K59" i="15"/>
  <c r="K57" i="15"/>
  <c r="C57" i="15"/>
  <c r="B57" i="15"/>
  <c r="C56" i="15"/>
  <c r="B56" i="15"/>
  <c r="K51" i="15"/>
  <c r="C51" i="15"/>
  <c r="B51" i="15"/>
  <c r="K48" i="15"/>
  <c r="I47" i="15"/>
  <c r="K47" i="15" s="1"/>
  <c r="K46" i="15"/>
  <c r="K45" i="15"/>
  <c r="K44" i="15"/>
  <c r="K43" i="15"/>
  <c r="K41" i="15"/>
  <c r="C41" i="15"/>
  <c r="B41" i="15"/>
  <c r="F38" i="15"/>
  <c r="K38" i="15" s="1"/>
  <c r="K39" i="15" s="1"/>
  <c r="L36" i="15" s="1"/>
  <c r="K36" i="15"/>
  <c r="C36" i="15"/>
  <c r="B36" i="15"/>
  <c r="C35" i="15"/>
  <c r="B35" i="15"/>
  <c r="K32" i="15"/>
  <c r="K33" i="15" s="1"/>
  <c r="L30" i="15" s="1"/>
  <c r="K30" i="15"/>
  <c r="C30" i="15"/>
  <c r="B30" i="15"/>
  <c r="C29" i="15"/>
  <c r="B29" i="15"/>
  <c r="K26" i="15"/>
  <c r="K25" i="15"/>
  <c r="K23" i="15"/>
  <c r="C23" i="15"/>
  <c r="B23" i="15"/>
  <c r="K20" i="15"/>
  <c r="K21" i="15" s="1"/>
  <c r="L18" i="15" s="1"/>
  <c r="K18" i="15"/>
  <c r="C18" i="15"/>
  <c r="B18" i="15"/>
  <c r="K15" i="15"/>
  <c r="K16" i="15" s="1"/>
  <c r="L13" i="15" s="1"/>
  <c r="K13" i="15"/>
  <c r="C13" i="15"/>
  <c r="B13" i="15"/>
  <c r="C12" i="15"/>
  <c r="B12" i="15"/>
  <c r="G8" i="15"/>
  <c r="C8" i="15"/>
  <c r="J7" i="15"/>
  <c r="G7" i="15"/>
  <c r="D7" i="15"/>
  <c r="D2" i="15"/>
  <c r="H11" i="14"/>
  <c r="G68" i="14" l="1"/>
  <c r="H68" i="14" s="1"/>
  <c r="H67" i="14" s="1"/>
  <c r="G71" i="14"/>
  <c r="H71" i="14" s="1"/>
  <c r="H70" i="14" s="1"/>
  <c r="G39" i="14"/>
  <c r="H39" i="14" s="1"/>
  <c r="G29" i="14"/>
  <c r="H29" i="14" s="1"/>
  <c r="G24" i="14"/>
  <c r="H24" i="14" s="1"/>
  <c r="H23" i="14" s="1"/>
  <c r="G33" i="14"/>
  <c r="H33" i="14" s="1"/>
  <c r="G17" i="14"/>
  <c r="H17" i="14" s="1"/>
  <c r="G16" i="14"/>
  <c r="H16" i="14" s="1"/>
  <c r="K650" i="15"/>
  <c r="K682" i="15"/>
  <c r="G44" i="14"/>
  <c r="H44" i="14" s="1"/>
  <c r="G56" i="14"/>
  <c r="H56" i="14" s="1"/>
  <c r="G43" i="14"/>
  <c r="H43" i="14" s="1"/>
  <c r="G31" i="14"/>
  <c r="H31" i="14" s="1"/>
  <c r="G30" i="14"/>
  <c r="G63" i="14"/>
  <c r="H63" i="14" s="1"/>
  <c r="K27" i="15"/>
  <c r="L23" i="15" s="1"/>
  <c r="K120" i="15"/>
  <c r="L113" i="15" s="1"/>
  <c r="K747" i="15"/>
  <c r="L744" i="15" s="1"/>
  <c r="K752" i="15"/>
  <c r="L749" i="15" s="1"/>
  <c r="K74" i="15"/>
  <c r="L67" i="15" s="1"/>
  <c r="G53" i="15" s="1"/>
  <c r="K83" i="15"/>
  <c r="L76" i="15" s="1"/>
  <c r="H53" i="15" s="1"/>
  <c r="K111" i="15"/>
  <c r="L106" i="15" s="1"/>
  <c r="I124" i="15"/>
  <c r="K124" i="15" s="1"/>
  <c r="I125" i="15"/>
  <c r="K125" i="15" s="1"/>
  <c r="I126" i="15"/>
  <c r="K126" i="15" s="1"/>
  <c r="I127" i="15"/>
  <c r="K127" i="15" s="1"/>
  <c r="I128" i="15"/>
  <c r="K128" i="15" s="1"/>
  <c r="K148" i="15"/>
  <c r="L144" i="15" s="1"/>
  <c r="K187" i="15"/>
  <c r="L182" i="15" s="1"/>
  <c r="K224" i="15"/>
  <c r="L221" i="15" s="1"/>
  <c r="K238" i="15"/>
  <c r="K439" i="15"/>
  <c r="L435" i="15" s="1"/>
  <c r="K468" i="15"/>
  <c r="L464" i="15" s="1"/>
  <c r="K505" i="15"/>
  <c r="L500" i="15" s="1"/>
  <c r="K513" i="15"/>
  <c r="L508" i="15" s="1"/>
  <c r="K525" i="15"/>
  <c r="L520" i="15" s="1"/>
  <c r="K537" i="15"/>
  <c r="L533" i="15" s="1"/>
  <c r="K565" i="15"/>
  <c r="L561" i="15" s="1"/>
  <c r="K593" i="15"/>
  <c r="L589" i="15" s="1"/>
  <c r="K792" i="15"/>
  <c r="L789" i="15" s="1"/>
  <c r="K797" i="15"/>
  <c r="L794" i="15" s="1"/>
  <c r="K246" i="15"/>
  <c r="L240" i="15" s="1"/>
  <c r="K65" i="15"/>
  <c r="L57" i="15" s="1"/>
  <c r="K136" i="15"/>
  <c r="L131" i="15" s="1"/>
  <c r="K154" i="15"/>
  <c r="L150" i="15" s="1"/>
  <c r="K409" i="15"/>
  <c r="L402" i="15" s="1"/>
  <c r="K418" i="15"/>
  <c r="L411" i="15" s="1"/>
  <c r="K427" i="15"/>
  <c r="L420" i="15" s="1"/>
  <c r="K433" i="15"/>
  <c r="L429" i="15" s="1"/>
  <c r="K445" i="15"/>
  <c r="L441" i="15" s="1"/>
  <c r="K475" i="15"/>
  <c r="L470" i="15" s="1"/>
  <c r="K498" i="15"/>
  <c r="L493" i="15" s="1"/>
  <c r="K612" i="15"/>
  <c r="L608" i="15" s="1"/>
  <c r="K804" i="15"/>
  <c r="L801" i="15" s="1"/>
  <c r="K818" i="15"/>
  <c r="L815" i="15" s="1"/>
  <c r="E52" i="14" s="1"/>
  <c r="G51" i="14"/>
  <c r="H51" i="14" s="1"/>
  <c r="G58" i="14"/>
  <c r="H58" i="14" s="1"/>
  <c r="G20" i="14"/>
  <c r="H20" i="14" s="1"/>
  <c r="L621" i="15"/>
  <c r="K725" i="15"/>
  <c r="L718" i="15" s="1"/>
  <c r="E30" i="14" s="1"/>
  <c r="K49" i="15"/>
  <c r="L41" i="15" s="1"/>
  <c r="F53" i="15" s="1"/>
  <c r="K531" i="15"/>
  <c r="L527" i="15" s="1"/>
  <c r="K559" i="15"/>
  <c r="L555" i="15" s="1"/>
  <c r="K587" i="15"/>
  <c r="L583" i="15" s="1"/>
  <c r="G18" i="14"/>
  <c r="H18" i="14" s="1"/>
  <c r="G19" i="14"/>
  <c r="H19" i="14" s="1"/>
  <c r="G27" i="14"/>
  <c r="H27" i="14" s="1"/>
  <c r="G36" i="14"/>
  <c r="H36" i="14" s="1"/>
  <c r="G37" i="14"/>
  <c r="H37" i="14" s="1"/>
  <c r="G38" i="14"/>
  <c r="H38" i="14" s="1"/>
  <c r="G50" i="14"/>
  <c r="H50" i="14" s="1"/>
  <c r="G52" i="14"/>
  <c r="G62" i="14"/>
  <c r="H62" i="14" s="1"/>
  <c r="G64" i="14"/>
  <c r="H64" i="14" s="1"/>
  <c r="G65" i="14"/>
  <c r="H65" i="14" s="1"/>
  <c r="G28" i="14"/>
  <c r="G47" i="14"/>
  <c r="H47" i="14" s="1"/>
  <c r="G55" i="14"/>
  <c r="H55" i="14" s="1"/>
  <c r="G59" i="14"/>
  <c r="H59" i="14" s="1"/>
  <c r="K700" i="13"/>
  <c r="J630" i="13"/>
  <c r="K646" i="13"/>
  <c r="K647" i="13"/>
  <c r="K648" i="13"/>
  <c r="K649" i="13"/>
  <c r="K650" i="13"/>
  <c r="K651" i="13"/>
  <c r="K652" i="13"/>
  <c r="K653" i="13"/>
  <c r="K654" i="13"/>
  <c r="K655" i="13"/>
  <c r="K656" i="13"/>
  <c r="K657" i="13"/>
  <c r="K658" i="13"/>
  <c r="K659" i="13"/>
  <c r="K660" i="13"/>
  <c r="K661" i="13"/>
  <c r="K662" i="13"/>
  <c r="K643" i="13"/>
  <c r="K644" i="13"/>
  <c r="K645" i="13"/>
  <c r="J642" i="13"/>
  <c r="I642" i="13"/>
  <c r="J641" i="13"/>
  <c r="K854" i="13"/>
  <c r="K847" i="13"/>
  <c r="K848" i="13" s="1"/>
  <c r="L845" i="13" s="1"/>
  <c r="K839" i="13"/>
  <c r="K840" i="13"/>
  <c r="K841" i="13"/>
  <c r="K842" i="13"/>
  <c r="K828" i="13"/>
  <c r="K829" i="13" s="1"/>
  <c r="L826" i="13" s="1"/>
  <c r="K823" i="13"/>
  <c r="K824" i="13" s="1"/>
  <c r="L821" i="13" s="1"/>
  <c r="K816" i="13"/>
  <c r="K817" i="13" s="1"/>
  <c r="L814" i="13" s="1"/>
  <c r="K811" i="13"/>
  <c r="K812" i="13" s="1"/>
  <c r="L809" i="13" s="1"/>
  <c r="K806" i="13"/>
  <c r="K807" i="13" s="1"/>
  <c r="L804" i="13" s="1"/>
  <c r="K801" i="13"/>
  <c r="K802" i="13" s="1"/>
  <c r="L799" i="13" s="1"/>
  <c r="K796" i="13"/>
  <c r="K791" i="13"/>
  <c r="K784" i="13"/>
  <c r="K779" i="13"/>
  <c r="K780" i="13" s="1"/>
  <c r="L777" i="13" s="1"/>
  <c r="E47" i="12" s="1"/>
  <c r="K772" i="13"/>
  <c r="K754" i="13"/>
  <c r="K753" i="13"/>
  <c r="K752" i="13"/>
  <c r="K759" i="13"/>
  <c r="K760" i="13" s="1"/>
  <c r="L757" i="13" s="1"/>
  <c r="K765" i="13"/>
  <c r="K766" i="13"/>
  <c r="K767" i="13"/>
  <c r="K764" i="13"/>
  <c r="K747" i="13"/>
  <c r="K742" i="13"/>
  <c r="K736" i="13"/>
  <c r="K731" i="13"/>
  <c r="H35" i="14" l="1"/>
  <c r="H30" i="14"/>
  <c r="H52" i="14"/>
  <c r="H49" i="14" s="1"/>
  <c r="H61" i="14"/>
  <c r="K53" i="15"/>
  <c r="K54" i="15" s="1"/>
  <c r="L51" i="15" s="1"/>
  <c r="K129" i="15"/>
  <c r="L122" i="15" s="1"/>
  <c r="L652" i="15"/>
  <c r="E28" i="14" s="1"/>
  <c r="E32" i="14" s="1"/>
  <c r="K735" i="15"/>
  <c r="F734" i="15" s="1"/>
  <c r="K642" i="13"/>
  <c r="K755" i="13"/>
  <c r="L750" i="13" s="1"/>
  <c r="E41" i="12" s="1"/>
  <c r="K773" i="13"/>
  <c r="L770" i="13" s="1"/>
  <c r="E44" i="12" s="1"/>
  <c r="K737" i="13"/>
  <c r="L734" i="13" s="1"/>
  <c r="K602" i="13"/>
  <c r="K603" i="13"/>
  <c r="K601" i="13"/>
  <c r="K194" i="13"/>
  <c r="G122" i="6"/>
  <c r="G129" i="6" s="1"/>
  <c r="H28" i="14" l="1"/>
  <c r="L732" i="15"/>
  <c r="K734" i="15"/>
  <c r="K604" i="13"/>
  <c r="L599" i="13" s="1"/>
  <c r="G131" i="6"/>
  <c r="K855" i="13"/>
  <c r="L852" i="13" s="1"/>
  <c r="K838" i="13"/>
  <c r="K833" i="13"/>
  <c r="K834" i="13" s="1"/>
  <c r="L831" i="13" s="1"/>
  <c r="K797" i="13"/>
  <c r="L794" i="13" s="1"/>
  <c r="K792" i="13"/>
  <c r="L789" i="13" s="1"/>
  <c r="K785" i="13"/>
  <c r="L782" i="13" s="1"/>
  <c r="E48" i="12" s="1"/>
  <c r="K748" i="13"/>
  <c r="L745" i="13" s="1"/>
  <c r="E40" i="12" s="1"/>
  <c r="K743" i="13"/>
  <c r="L740" i="13" s="1"/>
  <c r="E39" i="12" s="1"/>
  <c r="K726" i="13"/>
  <c r="K725" i="13"/>
  <c r="K724" i="13"/>
  <c r="K719" i="13"/>
  <c r="K718" i="13"/>
  <c r="K717" i="13"/>
  <c r="K705" i="13"/>
  <c r="K699" i="13"/>
  <c r="K701" i="13" s="1"/>
  <c r="K641" i="13"/>
  <c r="K636" i="13"/>
  <c r="K635" i="13"/>
  <c r="K634" i="13"/>
  <c r="K633" i="13"/>
  <c r="K632" i="13"/>
  <c r="K631" i="13"/>
  <c r="K630" i="13"/>
  <c r="K629" i="13"/>
  <c r="K628" i="13"/>
  <c r="K627" i="13"/>
  <c r="K626" i="13"/>
  <c r="K625" i="13"/>
  <c r="K624" i="13"/>
  <c r="K623" i="13"/>
  <c r="K622" i="13"/>
  <c r="K621" i="13"/>
  <c r="K620" i="13"/>
  <c r="K619" i="13"/>
  <c r="K618" i="13"/>
  <c r="K617" i="13"/>
  <c r="K616" i="13"/>
  <c r="K615" i="13"/>
  <c r="K595" i="13"/>
  <c r="K596" i="13" s="1"/>
  <c r="L593" i="13" s="1"/>
  <c r="K593" i="13"/>
  <c r="C593" i="13"/>
  <c r="B593" i="13"/>
  <c r="K590" i="13"/>
  <c r="K589" i="13"/>
  <c r="K587" i="13"/>
  <c r="C587" i="13"/>
  <c r="B587" i="13"/>
  <c r="K583" i="13"/>
  <c r="K584" i="13" s="1"/>
  <c r="L581" i="13" s="1"/>
  <c r="K581" i="13"/>
  <c r="C581" i="13"/>
  <c r="B581" i="13"/>
  <c r="C580" i="13"/>
  <c r="B580" i="13"/>
  <c r="K577" i="13"/>
  <c r="K578" i="13" s="1"/>
  <c r="L575" i="13" s="1"/>
  <c r="K575" i="13"/>
  <c r="C575" i="13"/>
  <c r="B575" i="13"/>
  <c r="C574" i="13"/>
  <c r="B574" i="13"/>
  <c r="K571" i="13"/>
  <c r="K570" i="13"/>
  <c r="K568" i="13"/>
  <c r="C568" i="13"/>
  <c r="B568" i="13"/>
  <c r="K565" i="13"/>
  <c r="K564" i="13"/>
  <c r="K562" i="13"/>
  <c r="C562" i="13"/>
  <c r="B562" i="13"/>
  <c r="K559" i="13"/>
  <c r="K560" i="13" s="1"/>
  <c r="L557" i="13" s="1"/>
  <c r="K557" i="13"/>
  <c r="C557" i="13"/>
  <c r="B557" i="13"/>
  <c r="K554" i="13"/>
  <c r="K555" i="13" s="1"/>
  <c r="L552" i="13" s="1"/>
  <c r="K552" i="13"/>
  <c r="C552" i="13"/>
  <c r="B552" i="13"/>
  <c r="K549" i="13"/>
  <c r="K550" i="13" s="1"/>
  <c r="L547" i="13" s="1"/>
  <c r="K547" i="13"/>
  <c r="C547" i="13"/>
  <c r="B547" i="13"/>
  <c r="C546" i="13"/>
  <c r="B546" i="13"/>
  <c r="K543" i="13"/>
  <c r="K542" i="13"/>
  <c r="K540" i="13"/>
  <c r="C540" i="13"/>
  <c r="B540" i="13"/>
  <c r="K537" i="13"/>
  <c r="K536" i="13"/>
  <c r="K534" i="13"/>
  <c r="C534" i="13"/>
  <c r="B534" i="13"/>
  <c r="K531" i="13"/>
  <c r="K532" i="13" s="1"/>
  <c r="L529" i="13" s="1"/>
  <c r="K529" i="13"/>
  <c r="C529" i="13"/>
  <c r="B529" i="13"/>
  <c r="K526" i="13"/>
  <c r="K527" i="13" s="1"/>
  <c r="L524" i="13" s="1"/>
  <c r="K524" i="13"/>
  <c r="C524" i="13"/>
  <c r="B524" i="13"/>
  <c r="K521" i="13"/>
  <c r="K522" i="13" s="1"/>
  <c r="L519" i="13" s="1"/>
  <c r="K519" i="13"/>
  <c r="C519" i="13"/>
  <c r="B519" i="13"/>
  <c r="C518" i="13"/>
  <c r="B518" i="13"/>
  <c r="K515" i="13"/>
  <c r="K514" i="13"/>
  <c r="K512" i="13"/>
  <c r="C512" i="13"/>
  <c r="B512" i="13"/>
  <c r="K509" i="13"/>
  <c r="K508" i="13"/>
  <c r="K506" i="13"/>
  <c r="C506" i="13"/>
  <c r="B506" i="13"/>
  <c r="K503" i="13"/>
  <c r="K502" i="13"/>
  <c r="K501" i="13"/>
  <c r="K499" i="13"/>
  <c r="C499" i="13"/>
  <c r="B499" i="13"/>
  <c r="K496" i="13"/>
  <c r="K497" i="13" s="1"/>
  <c r="L494" i="13" s="1"/>
  <c r="K494" i="13"/>
  <c r="C494" i="13"/>
  <c r="B494" i="13"/>
  <c r="K491" i="13"/>
  <c r="K490" i="13"/>
  <c r="K489" i="13"/>
  <c r="K487" i="13"/>
  <c r="C487" i="13"/>
  <c r="B487" i="13"/>
  <c r="C486" i="13"/>
  <c r="B486" i="13"/>
  <c r="I483" i="13"/>
  <c r="K483" i="13" s="1"/>
  <c r="I482" i="13"/>
  <c r="K482" i="13" s="1"/>
  <c r="I481" i="13"/>
  <c r="K481" i="13" s="1"/>
  <c r="K479" i="13"/>
  <c r="C479" i="13"/>
  <c r="B479" i="13"/>
  <c r="K476" i="13"/>
  <c r="K475" i="13"/>
  <c r="K474" i="13"/>
  <c r="K472" i="13"/>
  <c r="C472" i="13"/>
  <c r="B472" i="13"/>
  <c r="K469" i="13"/>
  <c r="K470" i="13" s="1"/>
  <c r="L467" i="13" s="1"/>
  <c r="K467" i="13"/>
  <c r="C467" i="13"/>
  <c r="B467" i="13"/>
  <c r="K464" i="13"/>
  <c r="K465" i="13" s="1"/>
  <c r="L462" i="13" s="1"/>
  <c r="K462" i="13"/>
  <c r="C462" i="13"/>
  <c r="B462" i="13"/>
  <c r="K459" i="13"/>
  <c r="K460" i="13" s="1"/>
  <c r="L457" i="13" s="1"/>
  <c r="K457" i="13"/>
  <c r="C457" i="13"/>
  <c r="B457" i="13"/>
  <c r="C456" i="13"/>
  <c r="B456" i="13"/>
  <c r="K453" i="13"/>
  <c r="K452" i="13"/>
  <c r="K451" i="13"/>
  <c r="K449" i="13"/>
  <c r="C449" i="13"/>
  <c r="B449" i="13"/>
  <c r="K446" i="13"/>
  <c r="K445" i="13"/>
  <c r="K443" i="13"/>
  <c r="C443" i="13"/>
  <c r="B443" i="13"/>
  <c r="K440" i="13"/>
  <c r="K441" i="13" s="1"/>
  <c r="L438" i="13" s="1"/>
  <c r="K438" i="13"/>
  <c r="C438" i="13"/>
  <c r="B438" i="13"/>
  <c r="K435" i="13"/>
  <c r="K436" i="13" s="1"/>
  <c r="L433" i="13" s="1"/>
  <c r="K433" i="13"/>
  <c r="C433" i="13"/>
  <c r="B433" i="13"/>
  <c r="K430" i="13"/>
  <c r="K431" i="13" s="1"/>
  <c r="L428" i="13" s="1"/>
  <c r="K428" i="13"/>
  <c r="C428" i="13"/>
  <c r="B428" i="13"/>
  <c r="C427" i="13"/>
  <c r="B427" i="13"/>
  <c r="C426" i="13"/>
  <c r="B426" i="13"/>
  <c r="K423" i="13"/>
  <c r="K422" i="13"/>
  <c r="K420" i="13"/>
  <c r="C420" i="13"/>
  <c r="B420" i="13"/>
  <c r="K417" i="13"/>
  <c r="K416" i="13"/>
  <c r="K414" i="13"/>
  <c r="C414" i="13"/>
  <c r="B414" i="13"/>
  <c r="K411" i="13"/>
  <c r="K410" i="13"/>
  <c r="K408" i="13"/>
  <c r="C408" i="13"/>
  <c r="B408" i="13"/>
  <c r="K405" i="13"/>
  <c r="K404" i="13"/>
  <c r="K403" i="13"/>
  <c r="K402" i="13"/>
  <c r="K401" i="13"/>
  <c r="K399" i="13"/>
  <c r="C399" i="13"/>
  <c r="B399" i="13"/>
  <c r="K396" i="13"/>
  <c r="K395" i="13"/>
  <c r="K394" i="13"/>
  <c r="K393" i="13"/>
  <c r="K392" i="13"/>
  <c r="K390" i="13"/>
  <c r="C390" i="13"/>
  <c r="B390" i="13"/>
  <c r="K387" i="13"/>
  <c r="K386" i="13"/>
  <c r="K385" i="13"/>
  <c r="K384" i="13"/>
  <c r="K383" i="13"/>
  <c r="K381" i="13"/>
  <c r="C381" i="13"/>
  <c r="B381" i="13"/>
  <c r="C380" i="13"/>
  <c r="B380" i="13"/>
  <c r="I377" i="13"/>
  <c r="K377" i="13" s="1"/>
  <c r="K378" i="13" s="1"/>
  <c r="L375" i="13" s="1"/>
  <c r="K375" i="13"/>
  <c r="C375" i="13"/>
  <c r="B375" i="13"/>
  <c r="I372" i="13"/>
  <c r="K372" i="13" s="1"/>
  <c r="K373" i="13" s="1"/>
  <c r="L370" i="13" s="1"/>
  <c r="K370" i="13"/>
  <c r="C370" i="13"/>
  <c r="B370" i="13"/>
  <c r="K367" i="13"/>
  <c r="K368" i="13" s="1"/>
  <c r="L365" i="13" s="1"/>
  <c r="F367" i="13"/>
  <c r="K365" i="13"/>
  <c r="C365" i="13"/>
  <c r="B365" i="13"/>
  <c r="F362" i="13"/>
  <c r="K362" i="13" s="1"/>
  <c r="K363" i="13" s="1"/>
  <c r="L360" i="13" s="1"/>
  <c r="K360" i="13"/>
  <c r="C360" i="13"/>
  <c r="B360" i="13"/>
  <c r="I357" i="13"/>
  <c r="K357" i="13" s="1"/>
  <c r="K358" i="13" s="1"/>
  <c r="L355" i="13" s="1"/>
  <c r="K355" i="13"/>
  <c r="C355" i="13"/>
  <c r="B355" i="13"/>
  <c r="F352" i="13"/>
  <c r="K352" i="13" s="1"/>
  <c r="K353" i="13" s="1"/>
  <c r="L350" i="13" s="1"/>
  <c r="K350" i="13"/>
  <c r="C350" i="13"/>
  <c r="B350" i="13"/>
  <c r="F347" i="13"/>
  <c r="K347" i="13" s="1"/>
  <c r="K348" i="13" s="1"/>
  <c r="L345" i="13" s="1"/>
  <c r="K345" i="13"/>
  <c r="C345" i="13"/>
  <c r="B345" i="13"/>
  <c r="F342" i="13"/>
  <c r="K342" i="13" s="1"/>
  <c r="K343" i="13" s="1"/>
  <c r="L340" i="13" s="1"/>
  <c r="K340" i="13"/>
  <c r="C340" i="13"/>
  <c r="B340" i="13"/>
  <c r="F337" i="13"/>
  <c r="K337" i="13" s="1"/>
  <c r="K338" i="13" s="1"/>
  <c r="L335" i="13" s="1"/>
  <c r="K335" i="13"/>
  <c r="C335" i="13"/>
  <c r="B335" i="13"/>
  <c r="F332" i="13"/>
  <c r="K332" i="13" s="1"/>
  <c r="K333" i="13" s="1"/>
  <c r="L330" i="13" s="1"/>
  <c r="K330" i="13"/>
  <c r="C330" i="13"/>
  <c r="B330" i="13"/>
  <c r="F327" i="13"/>
  <c r="K327" i="13" s="1"/>
  <c r="K328" i="13" s="1"/>
  <c r="L325" i="13" s="1"/>
  <c r="K325" i="13"/>
  <c r="C325" i="13"/>
  <c r="B325" i="13"/>
  <c r="F322" i="13"/>
  <c r="K322" i="13" s="1"/>
  <c r="K323" i="13" s="1"/>
  <c r="L320" i="13" s="1"/>
  <c r="K320" i="13"/>
  <c r="C320" i="13"/>
  <c r="B320" i="13"/>
  <c r="F317" i="13"/>
  <c r="K317" i="13" s="1"/>
  <c r="K318" i="13" s="1"/>
  <c r="L315" i="13" s="1"/>
  <c r="K315" i="13"/>
  <c r="C315" i="13"/>
  <c r="B315" i="13"/>
  <c r="F312" i="13"/>
  <c r="K312" i="13" s="1"/>
  <c r="K313" i="13" s="1"/>
  <c r="L310" i="13" s="1"/>
  <c r="K310" i="13"/>
  <c r="C310" i="13"/>
  <c r="B310" i="13"/>
  <c r="F307" i="13"/>
  <c r="K307" i="13" s="1"/>
  <c r="K308" i="13" s="1"/>
  <c r="L305" i="13" s="1"/>
  <c r="K305" i="13"/>
  <c r="C305" i="13"/>
  <c r="B305" i="13"/>
  <c r="C304" i="13"/>
  <c r="B304" i="13"/>
  <c r="K301" i="13"/>
  <c r="K302" i="13" s="1"/>
  <c r="L299" i="13" s="1"/>
  <c r="K299" i="13"/>
  <c r="C299" i="13"/>
  <c r="B299" i="13"/>
  <c r="K296" i="13"/>
  <c r="K297" i="13" s="1"/>
  <c r="L294" i="13" s="1"/>
  <c r="K294" i="13"/>
  <c r="C294" i="13"/>
  <c r="B294" i="13"/>
  <c r="K291" i="13"/>
  <c r="K292" i="13" s="1"/>
  <c r="L289" i="13" s="1"/>
  <c r="K289" i="13"/>
  <c r="C289" i="13"/>
  <c r="B289" i="13"/>
  <c r="K286" i="13"/>
  <c r="K287" i="13" s="1"/>
  <c r="L284" i="13" s="1"/>
  <c r="K284" i="13"/>
  <c r="C284" i="13"/>
  <c r="B284" i="13"/>
  <c r="K281" i="13"/>
  <c r="K282" i="13" s="1"/>
  <c r="L279" i="13" s="1"/>
  <c r="K279" i="13"/>
  <c r="C279" i="13"/>
  <c r="B279" i="13"/>
  <c r="K276" i="13"/>
  <c r="K277" i="13" s="1"/>
  <c r="L274" i="13" s="1"/>
  <c r="K274" i="13"/>
  <c r="C274" i="13"/>
  <c r="B274" i="13"/>
  <c r="K271" i="13"/>
  <c r="K272" i="13" s="1"/>
  <c r="L269" i="13" s="1"/>
  <c r="K269" i="13"/>
  <c r="C269" i="13"/>
  <c r="B269" i="13"/>
  <c r="K266" i="13"/>
  <c r="K267" i="13" s="1"/>
  <c r="L264" i="13" s="1"/>
  <c r="K264" i="13"/>
  <c r="C264" i="13"/>
  <c r="B264" i="13"/>
  <c r="K261" i="13"/>
  <c r="K262" i="13" s="1"/>
  <c r="L259" i="13" s="1"/>
  <c r="K259" i="13"/>
  <c r="C259" i="13"/>
  <c r="B259" i="13"/>
  <c r="K256" i="13"/>
  <c r="K257" i="13" s="1"/>
  <c r="L254" i="13" s="1"/>
  <c r="K254" i="13"/>
  <c r="C254" i="13"/>
  <c r="B254" i="13"/>
  <c r="K251" i="13"/>
  <c r="K252" i="13" s="1"/>
  <c r="K249" i="13"/>
  <c r="K250" i="13" s="1"/>
  <c r="L248" i="13"/>
  <c r="K248" i="13"/>
  <c r="C248" i="13"/>
  <c r="B248" i="13"/>
  <c r="K245" i="13"/>
  <c r="K246" i="13" s="1"/>
  <c r="L243" i="13"/>
  <c r="K243" i="13"/>
  <c r="C243" i="13"/>
  <c r="B243" i="13"/>
  <c r="K241" i="13"/>
  <c r="K240" i="13"/>
  <c r="L238" i="13"/>
  <c r="K238" i="13"/>
  <c r="C238" i="13"/>
  <c r="B238" i="13"/>
  <c r="L235" i="13"/>
  <c r="K235" i="13"/>
  <c r="C235" i="13"/>
  <c r="B235" i="13"/>
  <c r="K234" i="13"/>
  <c r="K232" i="13"/>
  <c r="K231" i="13"/>
  <c r="K230" i="13"/>
  <c r="K229" i="13"/>
  <c r="K227" i="13"/>
  <c r="K224" i="13"/>
  <c r="I223" i="13"/>
  <c r="K223" i="13" s="1"/>
  <c r="K222" i="13"/>
  <c r="I221" i="13"/>
  <c r="K221" i="13" s="1"/>
  <c r="K219" i="13"/>
  <c r="C219" i="13"/>
  <c r="B219" i="13"/>
  <c r="K216" i="13"/>
  <c r="I215" i="13"/>
  <c r="K215" i="13" s="1"/>
  <c r="K214" i="13"/>
  <c r="I213" i="13"/>
  <c r="K213" i="13" s="1"/>
  <c r="K210" i="13"/>
  <c r="K205" i="13"/>
  <c r="K206" i="13" s="1"/>
  <c r="L203" i="13" s="1"/>
  <c r="K200" i="13"/>
  <c r="K201" i="13" s="1"/>
  <c r="L198" i="13" s="1"/>
  <c r="K198" i="13"/>
  <c r="K193" i="13"/>
  <c r="K195" i="13" s="1"/>
  <c r="L191" i="13" s="1"/>
  <c r="K191" i="13"/>
  <c r="K186" i="13"/>
  <c r="I185" i="13"/>
  <c r="K185" i="13" s="1"/>
  <c r="I184" i="13"/>
  <c r="K184" i="13" s="1"/>
  <c r="K182" i="13"/>
  <c r="C182" i="13"/>
  <c r="B182" i="13"/>
  <c r="C181" i="13"/>
  <c r="B181" i="13"/>
  <c r="K178" i="13"/>
  <c r="K179" i="13" s="1"/>
  <c r="L176" i="13" s="1"/>
  <c r="K176" i="13"/>
  <c r="C176" i="13"/>
  <c r="B176" i="13"/>
  <c r="K173" i="13"/>
  <c r="K174" i="13" s="1"/>
  <c r="L171" i="13" s="1"/>
  <c r="K171" i="13"/>
  <c r="C171" i="13"/>
  <c r="B171" i="13"/>
  <c r="K168" i="13"/>
  <c r="K169" i="13" s="1"/>
  <c r="L166" i="13" s="1"/>
  <c r="K166" i="13"/>
  <c r="C166" i="13"/>
  <c r="B166" i="13"/>
  <c r="K163" i="13"/>
  <c r="K164" i="13" s="1"/>
  <c r="L161" i="13" s="1"/>
  <c r="K161" i="13"/>
  <c r="C161" i="13"/>
  <c r="B161" i="13"/>
  <c r="K158" i="13"/>
  <c r="K159" i="13" s="1"/>
  <c r="L156" i="13" s="1"/>
  <c r="K156" i="13"/>
  <c r="C156" i="13"/>
  <c r="B156" i="13"/>
  <c r="K153" i="13"/>
  <c r="K152" i="13"/>
  <c r="K150" i="13"/>
  <c r="C150" i="13"/>
  <c r="B150" i="13"/>
  <c r="K147" i="13"/>
  <c r="K146" i="13"/>
  <c r="K144" i="13"/>
  <c r="C144" i="13"/>
  <c r="B144" i="13"/>
  <c r="K141" i="13"/>
  <c r="K140" i="13"/>
  <c r="K142" i="13" s="1"/>
  <c r="L138" i="13" s="1"/>
  <c r="K138" i="13"/>
  <c r="C138" i="13"/>
  <c r="B138" i="13"/>
  <c r="K135" i="13"/>
  <c r="K134" i="13"/>
  <c r="K133" i="13"/>
  <c r="K131" i="13"/>
  <c r="C131" i="13"/>
  <c r="B131" i="13"/>
  <c r="H128" i="13"/>
  <c r="G128" i="13"/>
  <c r="H127" i="13"/>
  <c r="G127" i="13"/>
  <c r="H126" i="13"/>
  <c r="G126" i="13"/>
  <c r="H125" i="13"/>
  <c r="G125" i="13"/>
  <c r="H124" i="13"/>
  <c r="G124" i="13"/>
  <c r="K122" i="13"/>
  <c r="C122" i="13"/>
  <c r="B122" i="13"/>
  <c r="G119" i="13"/>
  <c r="K119" i="13" s="1"/>
  <c r="G118" i="13"/>
  <c r="K118" i="13" s="1"/>
  <c r="G117" i="13"/>
  <c r="K117" i="13" s="1"/>
  <c r="G116" i="13"/>
  <c r="K116" i="13" s="1"/>
  <c r="G115" i="13"/>
  <c r="K115" i="13" s="1"/>
  <c r="K113" i="13"/>
  <c r="C113" i="13"/>
  <c r="B113" i="13"/>
  <c r="K110" i="13"/>
  <c r="K109" i="13"/>
  <c r="K108" i="13"/>
  <c r="K106" i="13"/>
  <c r="C106" i="13"/>
  <c r="B106" i="13"/>
  <c r="K103" i="13"/>
  <c r="K104" i="13" s="1"/>
  <c r="L101" i="13" s="1"/>
  <c r="K101" i="13"/>
  <c r="C101" i="13"/>
  <c r="B101" i="13"/>
  <c r="C100" i="13"/>
  <c r="B100" i="13"/>
  <c r="K97" i="13"/>
  <c r="K98" i="13" s="1"/>
  <c r="L95" i="13" s="1"/>
  <c r="K95" i="13"/>
  <c r="C95" i="13"/>
  <c r="B95" i="13"/>
  <c r="K92" i="13"/>
  <c r="K93" i="13" s="1"/>
  <c r="L90" i="13" s="1"/>
  <c r="K90" i="13"/>
  <c r="C90" i="13"/>
  <c r="B90" i="13"/>
  <c r="K87" i="13"/>
  <c r="K88" i="13" s="1"/>
  <c r="L85" i="13" s="1"/>
  <c r="K85" i="13"/>
  <c r="C85" i="13"/>
  <c r="B85" i="13"/>
  <c r="K82" i="13"/>
  <c r="I81" i="13"/>
  <c r="K81" i="13" s="1"/>
  <c r="K80" i="13"/>
  <c r="K79" i="13"/>
  <c r="K78" i="13"/>
  <c r="K76" i="13"/>
  <c r="C76" i="13"/>
  <c r="B76" i="13"/>
  <c r="K73" i="13"/>
  <c r="I72" i="13"/>
  <c r="K72" i="13" s="1"/>
  <c r="K71" i="13"/>
  <c r="K70" i="13"/>
  <c r="K69" i="13"/>
  <c r="K67" i="13"/>
  <c r="C67" i="13"/>
  <c r="B67" i="13"/>
  <c r="K64" i="13"/>
  <c r="I63" i="13"/>
  <c r="K63" i="13" s="1"/>
  <c r="K62" i="13"/>
  <c r="K61" i="13"/>
  <c r="K60" i="13"/>
  <c r="K59" i="13"/>
  <c r="K57" i="13"/>
  <c r="C57" i="13"/>
  <c r="B57" i="13"/>
  <c r="C56" i="13"/>
  <c r="B56" i="13"/>
  <c r="K51" i="13"/>
  <c r="C51" i="13"/>
  <c r="B51" i="13"/>
  <c r="K48" i="13"/>
  <c r="I47" i="13"/>
  <c r="K47" i="13" s="1"/>
  <c r="K46" i="13"/>
  <c r="K45" i="13"/>
  <c r="K44" i="13"/>
  <c r="K43" i="13"/>
  <c r="K41" i="13"/>
  <c r="C41" i="13"/>
  <c r="B41" i="13"/>
  <c r="F38" i="13"/>
  <c r="K38" i="13" s="1"/>
  <c r="K39" i="13" s="1"/>
  <c r="L36" i="13" s="1"/>
  <c r="K36" i="13"/>
  <c r="C36" i="13"/>
  <c r="B36" i="13"/>
  <c r="C35" i="13"/>
  <c r="B35" i="13"/>
  <c r="K32" i="13"/>
  <c r="K33" i="13" s="1"/>
  <c r="L30" i="13" s="1"/>
  <c r="K30" i="13"/>
  <c r="C30" i="13"/>
  <c r="B30" i="13"/>
  <c r="C29" i="13"/>
  <c r="B29" i="13"/>
  <c r="K26" i="13"/>
  <c r="K25" i="13"/>
  <c r="K23" i="13"/>
  <c r="C23" i="13"/>
  <c r="B23" i="13"/>
  <c r="K20" i="13"/>
  <c r="K21" i="13" s="1"/>
  <c r="L18" i="13" s="1"/>
  <c r="K18" i="13"/>
  <c r="C18" i="13"/>
  <c r="B18" i="13"/>
  <c r="K15" i="13"/>
  <c r="K16" i="13" s="1"/>
  <c r="L13" i="13" s="1"/>
  <c r="K13" i="13"/>
  <c r="C13" i="13"/>
  <c r="B13" i="13"/>
  <c r="C12" i="13"/>
  <c r="B12" i="13"/>
  <c r="G8" i="13"/>
  <c r="C8" i="13"/>
  <c r="J7" i="13"/>
  <c r="G7" i="13"/>
  <c r="D7" i="13"/>
  <c r="D2" i="13"/>
  <c r="F67" i="9" l="1"/>
  <c r="F66" i="12"/>
  <c r="K663" i="13"/>
  <c r="L639" i="13" s="1"/>
  <c r="K843" i="13"/>
  <c r="L836" i="13" s="1"/>
  <c r="K120" i="13"/>
  <c r="L113" i="13" s="1"/>
  <c r="K148" i="13"/>
  <c r="L144" i="13" s="1"/>
  <c r="K111" i="13"/>
  <c r="L106" i="13" s="1"/>
  <c r="I124" i="13"/>
  <c r="K124" i="13" s="1"/>
  <c r="I125" i="13"/>
  <c r="K125" i="13" s="1"/>
  <c r="I126" i="13"/>
  <c r="K126" i="13" s="1"/>
  <c r="I127" i="13"/>
  <c r="K127" i="13" s="1"/>
  <c r="I128" i="13"/>
  <c r="K128" i="13" s="1"/>
  <c r="K136" i="13"/>
  <c r="L131" i="13" s="1"/>
  <c r="K83" i="13"/>
  <c r="L76" i="13" s="1"/>
  <c r="H53" i="13" s="1"/>
  <c r="K572" i="13"/>
  <c r="L568" i="13" s="1"/>
  <c r="L697" i="13"/>
  <c r="K727" i="13"/>
  <c r="L722" i="13" s="1"/>
  <c r="K732" i="13"/>
  <c r="L729" i="13" s="1"/>
  <c r="K768" i="13"/>
  <c r="L762" i="13" s="1"/>
  <c r="E43" i="12" s="1"/>
  <c r="K720" i="13"/>
  <c r="L715" i="13" s="1"/>
  <c r="K706" i="13"/>
  <c r="K492" i="13"/>
  <c r="L487" i="13" s="1"/>
  <c r="K504" i="13"/>
  <c r="L499" i="13" s="1"/>
  <c r="K516" i="13"/>
  <c r="L512" i="13" s="1"/>
  <c r="K544" i="13"/>
  <c r="L540" i="13" s="1"/>
  <c r="K27" i="13"/>
  <c r="L23" i="13" s="1"/>
  <c r="K388" i="13"/>
  <c r="L381" i="13" s="1"/>
  <c r="K397" i="13"/>
  <c r="L390" i="13" s="1"/>
  <c r="K406" i="13"/>
  <c r="L399" i="13" s="1"/>
  <c r="K412" i="13"/>
  <c r="L408" i="13" s="1"/>
  <c r="K424" i="13"/>
  <c r="L420" i="13" s="1"/>
  <c r="K454" i="13"/>
  <c r="L449" i="13" s="1"/>
  <c r="K477" i="13"/>
  <c r="L472" i="13" s="1"/>
  <c r="K484" i="13"/>
  <c r="L479" i="13" s="1"/>
  <c r="K211" i="13"/>
  <c r="L208" i="13" s="1"/>
  <c r="K225" i="13"/>
  <c r="L219" i="13" s="1"/>
  <c r="K510" i="13"/>
  <c r="L506" i="13" s="1"/>
  <c r="K538" i="13"/>
  <c r="L534" i="13" s="1"/>
  <c r="K566" i="13"/>
  <c r="L562" i="13" s="1"/>
  <c r="K591" i="13"/>
  <c r="L587" i="13" s="1"/>
  <c r="K637" i="13"/>
  <c r="L613" i="13" s="1"/>
  <c r="E24" i="12" s="1"/>
  <c r="K49" i="13"/>
  <c r="L41" i="13" s="1"/>
  <c r="F53" i="13" s="1"/>
  <c r="K65" i="13"/>
  <c r="L57" i="13" s="1"/>
  <c r="K154" i="13"/>
  <c r="L150" i="13" s="1"/>
  <c r="K74" i="13"/>
  <c r="L67" i="13" s="1"/>
  <c r="G53" i="13" s="1"/>
  <c r="K187" i="13"/>
  <c r="L182" i="13" s="1"/>
  <c r="K217" i="13"/>
  <c r="K418" i="13"/>
  <c r="L414" i="13" s="1"/>
  <c r="K447" i="13"/>
  <c r="L443" i="13" s="1"/>
  <c r="H11" i="12"/>
  <c r="G26" i="12" s="1"/>
  <c r="H26" i="12" s="1"/>
  <c r="K910" i="11"/>
  <c r="K911" i="11" s="1"/>
  <c r="L908" i="11" s="1"/>
  <c r="K681" i="11"/>
  <c r="J719" i="11"/>
  <c r="K719" i="11" s="1"/>
  <c r="K713" i="11"/>
  <c r="K714" i="11"/>
  <c r="K715" i="11"/>
  <c r="K716" i="11"/>
  <c r="K717" i="11"/>
  <c r="K718" i="11"/>
  <c r="K659" i="11"/>
  <c r="K660" i="11"/>
  <c r="K661" i="11"/>
  <c r="K662" i="11"/>
  <c r="K663" i="11"/>
  <c r="K664" i="11"/>
  <c r="K665" i="11"/>
  <c r="K666" i="11"/>
  <c r="K667" i="11"/>
  <c r="K668" i="11"/>
  <c r="K669" i="11"/>
  <c r="K670" i="11"/>
  <c r="K671" i="11"/>
  <c r="K672" i="11"/>
  <c r="K673" i="11"/>
  <c r="K674" i="11"/>
  <c r="J651" i="11"/>
  <c r="K651" i="11" s="1"/>
  <c r="K706" i="11"/>
  <c r="K707" i="11"/>
  <c r="K708" i="11"/>
  <c r="K709" i="11"/>
  <c r="K710" i="11"/>
  <c r="K711" i="11"/>
  <c r="K712" i="11"/>
  <c r="K705" i="11"/>
  <c r="K645" i="11"/>
  <c r="K646" i="11"/>
  <c r="K647" i="11"/>
  <c r="K648" i="11"/>
  <c r="K649" i="11"/>
  <c r="K650" i="11"/>
  <c r="K652" i="11"/>
  <c r="K653" i="11"/>
  <c r="K654" i="11"/>
  <c r="K655" i="11"/>
  <c r="K656" i="11"/>
  <c r="K657" i="11"/>
  <c r="K658" i="11"/>
  <c r="J639" i="11"/>
  <c r="K639" i="11" s="1"/>
  <c r="K634" i="11"/>
  <c r="K636" i="11"/>
  <c r="K637" i="11"/>
  <c r="K638" i="11"/>
  <c r="K640" i="11"/>
  <c r="K641" i="11"/>
  <c r="K642" i="11"/>
  <c r="K643" i="11"/>
  <c r="K644" i="11"/>
  <c r="J635" i="11"/>
  <c r="K635" i="11" s="1"/>
  <c r="J631" i="11"/>
  <c r="K631" i="11" s="1"/>
  <c r="J627" i="11"/>
  <c r="K627" i="11" s="1"/>
  <c r="J623" i="11"/>
  <c r="K623" i="11" s="1"/>
  <c r="J622" i="11"/>
  <c r="K622" i="11" s="1"/>
  <c r="J615" i="11"/>
  <c r="I615" i="11"/>
  <c r="I683" i="11"/>
  <c r="K683" i="11" s="1"/>
  <c r="J614" i="11"/>
  <c r="I614" i="11"/>
  <c r="I682" i="11"/>
  <c r="K616" i="11"/>
  <c r="K617" i="11"/>
  <c r="K618" i="11"/>
  <c r="K619" i="11"/>
  <c r="K620" i="11"/>
  <c r="K621" i="11"/>
  <c r="K624" i="11"/>
  <c r="K625" i="11"/>
  <c r="K626" i="11"/>
  <c r="K628" i="11"/>
  <c r="K629" i="11"/>
  <c r="K630" i="11"/>
  <c r="K632" i="11"/>
  <c r="K633" i="11"/>
  <c r="J613" i="11"/>
  <c r="I613" i="11"/>
  <c r="I680" i="11"/>
  <c r="K680" i="11" s="1"/>
  <c r="K684" i="11"/>
  <c r="K685" i="11"/>
  <c r="K686" i="11"/>
  <c r="K687" i="11"/>
  <c r="K688" i="11"/>
  <c r="K689" i="11"/>
  <c r="K690" i="11"/>
  <c r="K691" i="11"/>
  <c r="K692" i="11"/>
  <c r="K693" i="11"/>
  <c r="K694" i="11"/>
  <c r="K695" i="11"/>
  <c r="K696" i="11"/>
  <c r="K697" i="11"/>
  <c r="K698" i="11"/>
  <c r="K699" i="11"/>
  <c r="K700" i="11"/>
  <c r="K701" i="11"/>
  <c r="K702" i="11"/>
  <c r="K703" i="11"/>
  <c r="K704" i="11"/>
  <c r="I679" i="11"/>
  <c r="K679" i="11" s="1"/>
  <c r="E28" i="12" l="1"/>
  <c r="L703" i="13"/>
  <c r="E29" i="12" s="1"/>
  <c r="G30" i="12"/>
  <c r="H30" i="12" s="1"/>
  <c r="G67" i="12"/>
  <c r="H67" i="12" s="1"/>
  <c r="G21" i="12"/>
  <c r="H21" i="12" s="1"/>
  <c r="E25" i="12"/>
  <c r="G28" i="12"/>
  <c r="H28" i="12" s="1"/>
  <c r="G36" i="12"/>
  <c r="H36" i="12" s="1"/>
  <c r="G59" i="12"/>
  <c r="H59" i="12" s="1"/>
  <c r="G61" i="12"/>
  <c r="H61" i="12" s="1"/>
  <c r="G56" i="12"/>
  <c r="H56" i="12" s="1"/>
  <c r="G54" i="12"/>
  <c r="H54" i="12" s="1"/>
  <c r="G55" i="12"/>
  <c r="H55" i="12" s="1"/>
  <c r="G66" i="12"/>
  <c r="H66" i="12" s="1"/>
  <c r="K129" i="13"/>
  <c r="L122" i="13" s="1"/>
  <c r="K53" i="13"/>
  <c r="K54" i="13" s="1"/>
  <c r="L51" i="13" s="1"/>
  <c r="G16" i="12"/>
  <c r="H16" i="12" s="1"/>
  <c r="G44" i="12"/>
  <c r="H44" i="12" s="1"/>
  <c r="G53" i="12"/>
  <c r="H53" i="12" s="1"/>
  <c r="G25" i="12"/>
  <c r="G51" i="12"/>
  <c r="H51" i="12" s="1"/>
  <c r="G40" i="12"/>
  <c r="H40" i="12" s="1"/>
  <c r="G17" i="12"/>
  <c r="H17" i="12" s="1"/>
  <c r="G18" i="12"/>
  <c r="H18" i="12" s="1"/>
  <c r="G24" i="12"/>
  <c r="H24" i="12" s="1"/>
  <c r="G27" i="12"/>
  <c r="H27" i="12" s="1"/>
  <c r="G33" i="12"/>
  <c r="H33" i="12" s="1"/>
  <c r="G34" i="12"/>
  <c r="H34" i="12" s="1"/>
  <c r="G35" i="12"/>
  <c r="H35" i="12" s="1"/>
  <c r="G47" i="12"/>
  <c r="H47" i="12" s="1"/>
  <c r="G48" i="12"/>
  <c r="H48" i="12" s="1"/>
  <c r="G60" i="12"/>
  <c r="H60" i="12" s="1"/>
  <c r="G62" i="12"/>
  <c r="H62" i="12" s="1"/>
  <c r="G63" i="12"/>
  <c r="H63" i="12" s="1"/>
  <c r="K614" i="11"/>
  <c r="K613" i="11"/>
  <c r="K615" i="11"/>
  <c r="K682" i="11"/>
  <c r="K720" i="11" s="1"/>
  <c r="K860" i="11"/>
  <c r="K861" i="11" s="1"/>
  <c r="L858" i="11" s="1"/>
  <c r="K843" i="11"/>
  <c r="K842" i="11"/>
  <c r="H25" i="12" l="1"/>
  <c r="H65" i="12"/>
  <c r="H32" i="12"/>
  <c r="H58" i="12"/>
  <c r="H46" i="12"/>
  <c r="E26" i="9"/>
  <c r="K844" i="11"/>
  <c r="L840" i="11" s="1"/>
  <c r="G115" i="6"/>
  <c r="G117" i="6" s="1"/>
  <c r="G114" i="6"/>
  <c r="G113" i="6"/>
  <c r="K903" i="11"/>
  <c r="K898" i="11"/>
  <c r="K893" i="11"/>
  <c r="K875" i="11"/>
  <c r="K870" i="11"/>
  <c r="K848" i="11"/>
  <c r="K834" i="11"/>
  <c r="K835" i="11"/>
  <c r="K833" i="11"/>
  <c r="K826" i="11"/>
  <c r="K827" i="11"/>
  <c r="K828" i="11"/>
  <c r="K825" i="11"/>
  <c r="K820" i="11"/>
  <c r="K815" i="11"/>
  <c r="K810" i="11"/>
  <c r="K803" i="11"/>
  <c r="G116" i="6" l="1"/>
  <c r="G119" i="6" s="1"/>
  <c r="F68" i="9" s="1"/>
  <c r="K811" i="11"/>
  <c r="L808" i="11" s="1"/>
  <c r="G106" i="6"/>
  <c r="G108" i="6" s="1"/>
  <c r="G105" i="6"/>
  <c r="G109" i="6" s="1"/>
  <c r="G104" i="6"/>
  <c r="G103" i="6"/>
  <c r="G96" i="6"/>
  <c r="G97" i="6" s="1"/>
  <c r="G100" i="6" s="1"/>
  <c r="K798" i="11"/>
  <c r="K797" i="11"/>
  <c r="K796" i="11"/>
  <c r="K795" i="11"/>
  <c r="K790" i="11"/>
  <c r="K789" i="11"/>
  <c r="K788" i="11"/>
  <c r="K787" i="11"/>
  <c r="K198" i="11"/>
  <c r="K200" i="11" s="1"/>
  <c r="L196" i="11" s="1"/>
  <c r="K211" i="11"/>
  <c r="K212" i="11"/>
  <c r="K213" i="11"/>
  <c r="K210" i="11"/>
  <c r="K193" i="11"/>
  <c r="K194" i="11" s="1"/>
  <c r="F21" i="14" l="1"/>
  <c r="F19" i="9"/>
  <c r="F20" i="16"/>
  <c r="G20" i="16" s="1"/>
  <c r="H20" i="16" s="1"/>
  <c r="F20" i="32"/>
  <c r="G20" i="32" s="1"/>
  <c r="H20" i="32" s="1"/>
  <c r="H15" i="32" s="1"/>
  <c r="F20" i="12"/>
  <c r="G20" i="12" s="1"/>
  <c r="H20" i="12" s="1"/>
  <c r="G21" i="14"/>
  <c r="H21" i="14" s="1"/>
  <c r="H15" i="14" s="1"/>
  <c r="G107" i="6"/>
  <c r="K214" i="11"/>
  <c r="L208" i="11" s="1"/>
  <c r="K894" i="11"/>
  <c r="L891" i="11" s="1"/>
  <c r="K871" i="11"/>
  <c r="L868" i="11" s="1"/>
  <c r="G110" i="6" l="1"/>
  <c r="F40" i="9" s="1"/>
  <c r="K836" i="11"/>
  <c r="L831" i="11" s="1"/>
  <c r="K904" i="11"/>
  <c r="L901" i="11" s="1"/>
  <c r="K899" i="11"/>
  <c r="L896" i="11" s="1"/>
  <c r="K876" i="11"/>
  <c r="L873" i="11" s="1"/>
  <c r="K854" i="11"/>
  <c r="L851" i="11" s="1"/>
  <c r="K849" i="11"/>
  <c r="L846" i="11" s="1"/>
  <c r="E46" i="9" s="1"/>
  <c r="K816" i="11"/>
  <c r="L813" i="11" s="1"/>
  <c r="K606" i="11"/>
  <c r="K607" i="11" s="1"/>
  <c r="L604" i="11" s="1"/>
  <c r="K604" i="11"/>
  <c r="C604" i="11"/>
  <c r="B604" i="11"/>
  <c r="K601" i="11"/>
  <c r="K600" i="11"/>
  <c r="K598" i="11"/>
  <c r="C598" i="11"/>
  <c r="B598" i="11"/>
  <c r="K594" i="11"/>
  <c r="K595" i="11" s="1"/>
  <c r="L592" i="11" s="1"/>
  <c r="K592" i="11"/>
  <c r="C592" i="11"/>
  <c r="B592" i="11"/>
  <c r="C591" i="11"/>
  <c r="B591" i="11"/>
  <c r="K588" i="11"/>
  <c r="K589" i="11" s="1"/>
  <c r="L586" i="11" s="1"/>
  <c r="K586" i="11"/>
  <c r="C586" i="11"/>
  <c r="B586" i="11"/>
  <c r="C585" i="11"/>
  <c r="B585" i="11"/>
  <c r="K582" i="11"/>
  <c r="K581" i="11"/>
  <c r="K579" i="11"/>
  <c r="C579" i="11"/>
  <c r="B579" i="11"/>
  <c r="K576" i="11"/>
  <c r="K575" i="11"/>
  <c r="K573" i="11"/>
  <c r="C573" i="11"/>
  <c r="B573" i="11"/>
  <c r="K570" i="11"/>
  <c r="K571" i="11" s="1"/>
  <c r="L568" i="11" s="1"/>
  <c r="K568" i="11"/>
  <c r="C568" i="11"/>
  <c r="B568" i="11"/>
  <c r="K565" i="11"/>
  <c r="K566" i="11" s="1"/>
  <c r="L563" i="11" s="1"/>
  <c r="K563" i="11"/>
  <c r="C563" i="11"/>
  <c r="B563" i="11"/>
  <c r="K560" i="11"/>
  <c r="K561" i="11" s="1"/>
  <c r="L558" i="11" s="1"/>
  <c r="K558" i="11"/>
  <c r="C558" i="11"/>
  <c r="B558" i="11"/>
  <c r="C557" i="11"/>
  <c r="B557" i="11"/>
  <c r="K554" i="11"/>
  <c r="K553" i="11"/>
  <c r="K551" i="11"/>
  <c r="C551" i="11"/>
  <c r="B551" i="11"/>
  <c r="K548" i="11"/>
  <c r="K547" i="11"/>
  <c r="K545" i="11"/>
  <c r="C545" i="11"/>
  <c r="B545" i="11"/>
  <c r="K542" i="11"/>
  <c r="K543" i="11" s="1"/>
  <c r="L540" i="11" s="1"/>
  <c r="K540" i="11"/>
  <c r="C540" i="11"/>
  <c r="B540" i="11"/>
  <c r="K537" i="11"/>
  <c r="K538" i="11" s="1"/>
  <c r="L535" i="11" s="1"/>
  <c r="K535" i="11"/>
  <c r="C535" i="11"/>
  <c r="B535" i="11"/>
  <c r="K532" i="11"/>
  <c r="K533" i="11" s="1"/>
  <c r="L530" i="11" s="1"/>
  <c r="K530" i="11"/>
  <c r="C530" i="11"/>
  <c r="B530" i="11"/>
  <c r="C529" i="11"/>
  <c r="B529" i="11"/>
  <c r="K526" i="11"/>
  <c r="K525" i="11"/>
  <c r="K523" i="11"/>
  <c r="C523" i="11"/>
  <c r="B523" i="11"/>
  <c r="K520" i="11"/>
  <c r="K519" i="11"/>
  <c r="K517" i="11"/>
  <c r="C517" i="11"/>
  <c r="B517" i="11"/>
  <c r="K514" i="11"/>
  <c r="K513" i="11"/>
  <c r="K512" i="11"/>
  <c r="K510" i="11"/>
  <c r="C510" i="11"/>
  <c r="B510" i="11"/>
  <c r="K507" i="11"/>
  <c r="K508" i="11" s="1"/>
  <c r="L505" i="11" s="1"/>
  <c r="K505" i="11"/>
  <c r="C505" i="11"/>
  <c r="B505" i="11"/>
  <c r="K502" i="11"/>
  <c r="K501" i="11"/>
  <c r="K500" i="11"/>
  <c r="K498" i="11"/>
  <c r="C498" i="11"/>
  <c r="B498" i="11"/>
  <c r="C497" i="11"/>
  <c r="B497" i="11"/>
  <c r="I494" i="11"/>
  <c r="K494" i="11" s="1"/>
  <c r="I493" i="11"/>
  <c r="K493" i="11" s="1"/>
  <c r="I492" i="11"/>
  <c r="K492" i="11" s="1"/>
  <c r="K490" i="11"/>
  <c r="C490" i="11"/>
  <c r="B490" i="11"/>
  <c r="K487" i="11"/>
  <c r="K486" i="11"/>
  <c r="K485" i="11"/>
  <c r="K483" i="11"/>
  <c r="C483" i="11"/>
  <c r="B483" i="11"/>
  <c r="K480" i="11"/>
  <c r="K481" i="11" s="1"/>
  <c r="L478" i="11" s="1"/>
  <c r="K478" i="11"/>
  <c r="C478" i="11"/>
  <c r="B478" i="11"/>
  <c r="K475" i="11"/>
  <c r="K476" i="11" s="1"/>
  <c r="L473" i="11" s="1"/>
  <c r="K473" i="11"/>
  <c r="C473" i="11"/>
  <c r="B473" i="11"/>
  <c r="K470" i="11"/>
  <c r="K471" i="11" s="1"/>
  <c r="L468" i="11" s="1"/>
  <c r="K468" i="11"/>
  <c r="C468" i="11"/>
  <c r="B468" i="11"/>
  <c r="C467" i="11"/>
  <c r="B467" i="11"/>
  <c r="K464" i="11"/>
  <c r="K463" i="11"/>
  <c r="K462" i="11"/>
  <c r="K460" i="11"/>
  <c r="C460" i="11"/>
  <c r="B460" i="11"/>
  <c r="K457" i="11"/>
  <c r="K456" i="11"/>
  <c r="K454" i="11"/>
  <c r="C454" i="11"/>
  <c r="B454" i="11"/>
  <c r="K451" i="11"/>
  <c r="K452" i="11" s="1"/>
  <c r="L449" i="11" s="1"/>
  <c r="K449" i="11"/>
  <c r="C449" i="11"/>
  <c r="B449" i="11"/>
  <c r="K446" i="11"/>
  <c r="K447" i="11" s="1"/>
  <c r="L444" i="11" s="1"/>
  <c r="K444" i="11"/>
  <c r="C444" i="11"/>
  <c r="B444" i="11"/>
  <c r="K441" i="11"/>
  <c r="K442" i="11" s="1"/>
  <c r="L439" i="11" s="1"/>
  <c r="K439" i="11"/>
  <c r="C439" i="11"/>
  <c r="B439" i="11"/>
  <c r="C438" i="11"/>
  <c r="B438" i="11"/>
  <c r="C437" i="11"/>
  <c r="B437" i="11"/>
  <c r="K434" i="11"/>
  <c r="K433" i="11"/>
  <c r="K431" i="11"/>
  <c r="C431" i="11"/>
  <c r="B431" i="11"/>
  <c r="K428" i="11"/>
  <c r="K427" i="11"/>
  <c r="K425" i="11"/>
  <c r="C425" i="11"/>
  <c r="B425" i="11"/>
  <c r="K422" i="11"/>
  <c r="K421" i="11"/>
  <c r="K419" i="11"/>
  <c r="C419" i="11"/>
  <c r="B419" i="11"/>
  <c r="K416" i="11"/>
  <c r="K415" i="11"/>
  <c r="K414" i="11"/>
  <c r="K413" i="11"/>
  <c r="K412" i="11"/>
  <c r="K410" i="11"/>
  <c r="C410" i="11"/>
  <c r="B410" i="11"/>
  <c r="K407" i="11"/>
  <c r="K406" i="11"/>
  <c r="K405" i="11"/>
  <c r="K404" i="11"/>
  <c r="K403" i="11"/>
  <c r="K401" i="11"/>
  <c r="C401" i="11"/>
  <c r="B401" i="11"/>
  <c r="K398" i="11"/>
  <c r="K397" i="11"/>
  <c r="K396" i="11"/>
  <c r="K395" i="11"/>
  <c r="K394" i="11"/>
  <c r="K392" i="11"/>
  <c r="C392" i="11"/>
  <c r="B392" i="11"/>
  <c r="C391" i="11"/>
  <c r="B391" i="11"/>
  <c r="I388" i="11"/>
  <c r="K388" i="11" s="1"/>
  <c r="K389" i="11" s="1"/>
  <c r="L386" i="11" s="1"/>
  <c r="K386" i="11"/>
  <c r="C386" i="11"/>
  <c r="B386" i="11"/>
  <c r="I383" i="11"/>
  <c r="K383" i="11" s="1"/>
  <c r="K384" i="11" s="1"/>
  <c r="L381" i="11" s="1"/>
  <c r="K381" i="11"/>
  <c r="C381" i="11"/>
  <c r="B381" i="11"/>
  <c r="K378" i="11"/>
  <c r="K379" i="11" s="1"/>
  <c r="L376" i="11" s="1"/>
  <c r="F378" i="11"/>
  <c r="K376" i="11"/>
  <c r="C376" i="11"/>
  <c r="B376" i="11"/>
  <c r="F373" i="11"/>
  <c r="K373" i="11" s="1"/>
  <c r="K374" i="11" s="1"/>
  <c r="L371" i="11" s="1"/>
  <c r="K371" i="11"/>
  <c r="C371" i="11"/>
  <c r="B371" i="11"/>
  <c r="I368" i="11"/>
  <c r="K368" i="11" s="1"/>
  <c r="K369" i="11" s="1"/>
  <c r="L366" i="11" s="1"/>
  <c r="K366" i="11"/>
  <c r="C366" i="11"/>
  <c r="B366" i="11"/>
  <c r="F363" i="11"/>
  <c r="K363" i="11" s="1"/>
  <c r="K364" i="11" s="1"/>
  <c r="L361" i="11" s="1"/>
  <c r="K361" i="11"/>
  <c r="C361" i="11"/>
  <c r="B361" i="11"/>
  <c r="F358" i="11"/>
  <c r="K358" i="11" s="1"/>
  <c r="K359" i="11" s="1"/>
  <c r="L356" i="11" s="1"/>
  <c r="K356" i="11"/>
  <c r="C356" i="11"/>
  <c r="B356" i="11"/>
  <c r="F353" i="11"/>
  <c r="K353" i="11" s="1"/>
  <c r="K354" i="11" s="1"/>
  <c r="L351" i="11" s="1"/>
  <c r="K351" i="11"/>
  <c r="C351" i="11"/>
  <c r="B351" i="11"/>
  <c r="F348" i="11"/>
  <c r="K348" i="11" s="1"/>
  <c r="K349" i="11" s="1"/>
  <c r="L346" i="11" s="1"/>
  <c r="K346" i="11"/>
  <c r="C346" i="11"/>
  <c r="B346" i="11"/>
  <c r="F343" i="11"/>
  <c r="K343" i="11" s="1"/>
  <c r="K344" i="11" s="1"/>
  <c r="L341" i="11" s="1"/>
  <c r="K341" i="11"/>
  <c r="C341" i="11"/>
  <c r="B341" i="11"/>
  <c r="F338" i="11"/>
  <c r="K338" i="11" s="1"/>
  <c r="K339" i="11" s="1"/>
  <c r="L336" i="11" s="1"/>
  <c r="K336" i="11"/>
  <c r="C336" i="11"/>
  <c r="B336" i="11"/>
  <c r="F333" i="11"/>
  <c r="K333" i="11" s="1"/>
  <c r="K334" i="11" s="1"/>
  <c r="L331" i="11" s="1"/>
  <c r="K331" i="11"/>
  <c r="C331" i="11"/>
  <c r="B331" i="11"/>
  <c r="F328" i="11"/>
  <c r="K328" i="11" s="1"/>
  <c r="K329" i="11" s="1"/>
  <c r="L326" i="11" s="1"/>
  <c r="K326" i="11"/>
  <c r="C326" i="11"/>
  <c r="B326" i="11"/>
  <c r="F323" i="11"/>
  <c r="K323" i="11" s="1"/>
  <c r="K324" i="11" s="1"/>
  <c r="L321" i="11" s="1"/>
  <c r="K321" i="11"/>
  <c r="C321" i="11"/>
  <c r="B321" i="11"/>
  <c r="F318" i="11"/>
  <c r="K318" i="11" s="1"/>
  <c r="K319" i="11" s="1"/>
  <c r="L316" i="11" s="1"/>
  <c r="K316" i="11"/>
  <c r="C316" i="11"/>
  <c r="B316" i="11"/>
  <c r="C315" i="11"/>
  <c r="B315" i="11"/>
  <c r="K312" i="11"/>
  <c r="K313" i="11" s="1"/>
  <c r="L310" i="11" s="1"/>
  <c r="K310" i="11"/>
  <c r="C310" i="11"/>
  <c r="B310" i="11"/>
  <c r="K307" i="11"/>
  <c r="K308" i="11" s="1"/>
  <c r="L305" i="11" s="1"/>
  <c r="K305" i="11"/>
  <c r="C305" i="11"/>
  <c r="B305" i="11"/>
  <c r="K302" i="11"/>
  <c r="K303" i="11" s="1"/>
  <c r="L300" i="11" s="1"/>
  <c r="K300" i="11"/>
  <c r="C300" i="11"/>
  <c r="B300" i="11"/>
  <c r="K297" i="11"/>
  <c r="K298" i="11" s="1"/>
  <c r="L295" i="11" s="1"/>
  <c r="K295" i="11"/>
  <c r="C295" i="11"/>
  <c r="B295" i="11"/>
  <c r="K292" i="11"/>
  <c r="K293" i="11" s="1"/>
  <c r="L290" i="11" s="1"/>
  <c r="K290" i="11"/>
  <c r="C290" i="11"/>
  <c r="B290" i="11"/>
  <c r="K287" i="11"/>
  <c r="K288" i="11" s="1"/>
  <c r="L285" i="11" s="1"/>
  <c r="K285" i="11"/>
  <c r="C285" i="11"/>
  <c r="B285" i="11"/>
  <c r="K282" i="11"/>
  <c r="K283" i="11" s="1"/>
  <c r="L280" i="11" s="1"/>
  <c r="K280" i="11"/>
  <c r="C280" i="11"/>
  <c r="B280" i="11"/>
  <c r="K277" i="11"/>
  <c r="K278" i="11" s="1"/>
  <c r="L275" i="11" s="1"/>
  <c r="K275" i="11"/>
  <c r="C275" i="11"/>
  <c r="B275" i="11"/>
  <c r="K272" i="11"/>
  <c r="K273" i="11" s="1"/>
  <c r="L270" i="11" s="1"/>
  <c r="K270" i="11"/>
  <c r="C270" i="11"/>
  <c r="B270" i="11"/>
  <c r="K267" i="11"/>
  <c r="K268" i="11" s="1"/>
  <c r="L265" i="11" s="1"/>
  <c r="K265" i="11"/>
  <c r="C265" i="11"/>
  <c r="B265" i="11"/>
  <c r="K262" i="11"/>
  <c r="K263" i="11" s="1"/>
  <c r="K260" i="11"/>
  <c r="K261" i="11" s="1"/>
  <c r="L259" i="11"/>
  <c r="K259" i="11"/>
  <c r="C259" i="11"/>
  <c r="B259" i="11"/>
  <c r="K256" i="11"/>
  <c r="K257" i="11" s="1"/>
  <c r="L254" i="11"/>
  <c r="K254" i="11"/>
  <c r="C254" i="11"/>
  <c r="B254" i="11"/>
  <c r="K252" i="11"/>
  <c r="K251" i="11"/>
  <c r="L249" i="11"/>
  <c r="K249" i="11"/>
  <c r="C249" i="11"/>
  <c r="B249" i="11"/>
  <c r="L246" i="11"/>
  <c r="K246" i="11"/>
  <c r="C246" i="11"/>
  <c r="B246" i="11"/>
  <c r="K245" i="11"/>
  <c r="K243" i="11"/>
  <c r="K242" i="11"/>
  <c r="K241" i="11"/>
  <c r="K240" i="11"/>
  <c r="K238" i="11"/>
  <c r="K235" i="11"/>
  <c r="I234" i="11"/>
  <c r="K234" i="11" s="1"/>
  <c r="K233" i="11"/>
  <c r="I232" i="11"/>
  <c r="K232" i="11" s="1"/>
  <c r="K230" i="11"/>
  <c r="C230" i="11"/>
  <c r="B230" i="11"/>
  <c r="K227" i="11"/>
  <c r="I226" i="11"/>
  <c r="K226" i="11" s="1"/>
  <c r="K225" i="11"/>
  <c r="I224" i="11"/>
  <c r="K224" i="11" s="1"/>
  <c r="L191" i="11"/>
  <c r="K191" i="11"/>
  <c r="K186" i="11"/>
  <c r="I185" i="11"/>
  <c r="K185" i="11" s="1"/>
  <c r="I184" i="11"/>
  <c r="K184" i="11" s="1"/>
  <c r="K182" i="11"/>
  <c r="C182" i="11"/>
  <c r="B182" i="11"/>
  <c r="C181" i="11"/>
  <c r="B181" i="11"/>
  <c r="K178" i="11"/>
  <c r="K179" i="11" s="1"/>
  <c r="L176" i="11" s="1"/>
  <c r="K176" i="11"/>
  <c r="C176" i="11"/>
  <c r="B176" i="11"/>
  <c r="K173" i="11"/>
  <c r="K174" i="11" s="1"/>
  <c r="L171" i="11" s="1"/>
  <c r="K171" i="11"/>
  <c r="C171" i="11"/>
  <c r="B171" i="11"/>
  <c r="K168" i="11"/>
  <c r="K169" i="11" s="1"/>
  <c r="L166" i="11" s="1"/>
  <c r="K166" i="11"/>
  <c r="C166" i="11"/>
  <c r="B166" i="11"/>
  <c r="K163" i="11"/>
  <c r="K164" i="11" s="1"/>
  <c r="L161" i="11" s="1"/>
  <c r="K161" i="11"/>
  <c r="C161" i="11"/>
  <c r="B161" i="11"/>
  <c r="K158" i="11"/>
  <c r="K159" i="11" s="1"/>
  <c r="L156" i="11" s="1"/>
  <c r="K156" i="11"/>
  <c r="C156" i="11"/>
  <c r="B156" i="11"/>
  <c r="K153" i="11"/>
  <c r="K152" i="11"/>
  <c r="K150" i="11"/>
  <c r="C150" i="11"/>
  <c r="B150" i="11"/>
  <c r="K147" i="11"/>
  <c r="K146" i="11"/>
  <c r="K144" i="11"/>
  <c r="C144" i="11"/>
  <c r="B144" i="11"/>
  <c r="K141" i="11"/>
  <c r="K140" i="11"/>
  <c r="K142" i="11" s="1"/>
  <c r="L138" i="11" s="1"/>
  <c r="K138" i="11"/>
  <c r="C138" i="11"/>
  <c r="B138" i="11"/>
  <c r="K135" i="11"/>
  <c r="K134" i="11"/>
  <c r="K133" i="11"/>
  <c r="K131" i="11"/>
  <c r="C131" i="11"/>
  <c r="B131" i="11"/>
  <c r="H128" i="11"/>
  <c r="G128" i="11"/>
  <c r="H127" i="11"/>
  <c r="G127" i="11"/>
  <c r="H126" i="11"/>
  <c r="G126" i="11"/>
  <c r="H125" i="11"/>
  <c r="G125" i="11"/>
  <c r="H124" i="11"/>
  <c r="G124" i="11"/>
  <c r="K122" i="11"/>
  <c r="C122" i="11"/>
  <c r="B122" i="11"/>
  <c r="G119" i="11"/>
  <c r="K119" i="11" s="1"/>
  <c r="G118" i="11"/>
  <c r="K118" i="11" s="1"/>
  <c r="G117" i="11"/>
  <c r="K117" i="11" s="1"/>
  <c r="G116" i="11"/>
  <c r="K116" i="11" s="1"/>
  <c r="G115" i="11"/>
  <c r="K115" i="11" s="1"/>
  <c r="K113" i="11"/>
  <c r="C113" i="11"/>
  <c r="B113" i="11"/>
  <c r="K110" i="11"/>
  <c r="K109" i="11"/>
  <c r="K108" i="11"/>
  <c r="K106" i="11"/>
  <c r="C106" i="11"/>
  <c r="B106" i="11"/>
  <c r="K103" i="11"/>
  <c r="K104" i="11" s="1"/>
  <c r="L101" i="11" s="1"/>
  <c r="K101" i="11"/>
  <c r="C101" i="11"/>
  <c r="B101" i="11"/>
  <c r="C100" i="11"/>
  <c r="B100" i="11"/>
  <c r="K97" i="11"/>
  <c r="K98" i="11" s="1"/>
  <c r="L95" i="11" s="1"/>
  <c r="K95" i="11"/>
  <c r="C95" i="11"/>
  <c r="B95" i="11"/>
  <c r="K92" i="11"/>
  <c r="K93" i="11" s="1"/>
  <c r="L90" i="11" s="1"/>
  <c r="K90" i="11"/>
  <c r="C90" i="11"/>
  <c r="B90" i="11"/>
  <c r="K87" i="11"/>
  <c r="K88" i="11" s="1"/>
  <c r="L85" i="11" s="1"/>
  <c r="K85" i="11"/>
  <c r="C85" i="11"/>
  <c r="B85" i="11"/>
  <c r="K82" i="11"/>
  <c r="I81" i="11"/>
  <c r="K81" i="11" s="1"/>
  <c r="K80" i="11"/>
  <c r="K79" i="11"/>
  <c r="K78" i="11"/>
  <c r="K76" i="11"/>
  <c r="C76" i="11"/>
  <c r="B76" i="11"/>
  <c r="K73" i="11"/>
  <c r="I72" i="11"/>
  <c r="K72" i="11" s="1"/>
  <c r="K71" i="11"/>
  <c r="K70" i="11"/>
  <c r="K69" i="11"/>
  <c r="K67" i="11"/>
  <c r="C67" i="11"/>
  <c r="B67" i="11"/>
  <c r="K64" i="11"/>
  <c r="I63" i="11"/>
  <c r="K63" i="11" s="1"/>
  <c r="K62" i="11"/>
  <c r="K61" i="11"/>
  <c r="K60" i="11"/>
  <c r="K59" i="11"/>
  <c r="K57" i="11"/>
  <c r="C57" i="11"/>
  <c r="B57" i="11"/>
  <c r="C56" i="11"/>
  <c r="B56" i="11"/>
  <c r="K51" i="11"/>
  <c r="C51" i="11"/>
  <c r="B51" i="11"/>
  <c r="K48" i="11"/>
  <c r="I47" i="11"/>
  <c r="K47" i="11" s="1"/>
  <c r="K46" i="11"/>
  <c r="K45" i="11"/>
  <c r="K44" i="11"/>
  <c r="K43" i="11"/>
  <c r="K41" i="11"/>
  <c r="C41" i="11"/>
  <c r="B41" i="11"/>
  <c r="F38" i="11"/>
  <c r="K38" i="11" s="1"/>
  <c r="K39" i="11" s="1"/>
  <c r="L36" i="11" s="1"/>
  <c r="K36" i="11"/>
  <c r="C36" i="11"/>
  <c r="B36" i="11"/>
  <c r="C35" i="11"/>
  <c r="B35" i="11"/>
  <c r="K32" i="11"/>
  <c r="K33" i="11" s="1"/>
  <c r="L30" i="11" s="1"/>
  <c r="K30" i="11"/>
  <c r="C30" i="11"/>
  <c r="B30" i="11"/>
  <c r="C29" i="11"/>
  <c r="B29" i="11"/>
  <c r="K26" i="11"/>
  <c r="K25" i="11"/>
  <c r="K23" i="11"/>
  <c r="C23" i="11"/>
  <c r="B23" i="11"/>
  <c r="K20" i="11"/>
  <c r="K21" i="11" s="1"/>
  <c r="L18" i="11" s="1"/>
  <c r="K18" i="11"/>
  <c r="C18" i="11"/>
  <c r="B18" i="11"/>
  <c r="K15" i="11"/>
  <c r="K16" i="11" s="1"/>
  <c r="L13" i="11" s="1"/>
  <c r="K13" i="11"/>
  <c r="C13" i="11"/>
  <c r="B13" i="11"/>
  <c r="C12" i="11"/>
  <c r="B12" i="11"/>
  <c r="G8" i="11"/>
  <c r="C8" i="11"/>
  <c r="J7" i="11"/>
  <c r="G7" i="11"/>
  <c r="D7" i="11"/>
  <c r="D2" i="11"/>
  <c r="F41" i="12" l="1"/>
  <c r="G41" i="12" s="1"/>
  <c r="H41" i="12" s="1"/>
  <c r="K829" i="11"/>
  <c r="L823" i="11" s="1"/>
  <c r="K120" i="11"/>
  <c r="L113" i="11" s="1"/>
  <c r="I124" i="11"/>
  <c r="K124" i="11" s="1"/>
  <c r="I125" i="11"/>
  <c r="K125" i="11" s="1"/>
  <c r="I126" i="11"/>
  <c r="K126" i="11" s="1"/>
  <c r="I127" i="11"/>
  <c r="K127" i="11" s="1"/>
  <c r="I128" i="11"/>
  <c r="K128" i="11" s="1"/>
  <c r="K136" i="11"/>
  <c r="L131" i="11" s="1"/>
  <c r="K148" i="11"/>
  <c r="L144" i="11" s="1"/>
  <c r="K228" i="11"/>
  <c r="K27" i="11"/>
  <c r="L23" i="11" s="1"/>
  <c r="K65" i="11"/>
  <c r="L57" i="11" s="1"/>
  <c r="K503" i="11"/>
  <c r="L498" i="11" s="1"/>
  <c r="K515" i="11"/>
  <c r="L510" i="11" s="1"/>
  <c r="K521" i="11"/>
  <c r="L517" i="11" s="1"/>
  <c r="K527" i="11"/>
  <c r="L523" i="11" s="1"/>
  <c r="K549" i="11"/>
  <c r="L545" i="11" s="1"/>
  <c r="K555" i="11"/>
  <c r="L551" i="11" s="1"/>
  <c r="K577" i="11"/>
  <c r="L573" i="11" s="1"/>
  <c r="K583" i="11"/>
  <c r="L579" i="11" s="1"/>
  <c r="K602" i="11"/>
  <c r="L598" i="11" s="1"/>
  <c r="K675" i="11"/>
  <c r="L677" i="11"/>
  <c r="K791" i="11"/>
  <c r="L785" i="11" s="1"/>
  <c r="K799" i="11"/>
  <c r="L793" i="11" s="1"/>
  <c r="K804" i="11"/>
  <c r="L801" i="11" s="1"/>
  <c r="K821" i="11"/>
  <c r="L818" i="11" s="1"/>
  <c r="K236" i="11"/>
  <c r="L230" i="11" s="1"/>
  <c r="K49" i="11"/>
  <c r="L41" i="11" s="1"/>
  <c r="F53" i="11" s="1"/>
  <c r="K74" i="11"/>
  <c r="L67" i="11" s="1"/>
  <c r="G53" i="11" s="1"/>
  <c r="K83" i="11"/>
  <c r="L76" i="11" s="1"/>
  <c r="H53" i="11" s="1"/>
  <c r="K111" i="11"/>
  <c r="L106" i="11" s="1"/>
  <c r="K154" i="11"/>
  <c r="L150" i="11" s="1"/>
  <c r="K399" i="11"/>
  <c r="L392" i="11" s="1"/>
  <c r="K408" i="11"/>
  <c r="L401" i="11" s="1"/>
  <c r="K417" i="11"/>
  <c r="L410" i="11" s="1"/>
  <c r="K423" i="11"/>
  <c r="L419" i="11" s="1"/>
  <c r="K429" i="11"/>
  <c r="L425" i="11" s="1"/>
  <c r="K435" i="11"/>
  <c r="L431" i="11" s="1"/>
  <c r="K458" i="11"/>
  <c r="L454" i="11" s="1"/>
  <c r="K465" i="11"/>
  <c r="L460" i="11" s="1"/>
  <c r="K488" i="11"/>
  <c r="L483" i="11" s="1"/>
  <c r="K187" i="11"/>
  <c r="L182" i="11" s="1"/>
  <c r="K495" i="11"/>
  <c r="L490" i="11" s="1"/>
  <c r="H11" i="9"/>
  <c r="G46" i="9" s="1"/>
  <c r="H46" i="9" s="1"/>
  <c r="K743" i="4"/>
  <c r="K735" i="4"/>
  <c r="G27" i="9" l="1"/>
  <c r="H27" i="9" s="1"/>
  <c r="G69" i="9"/>
  <c r="H69" i="9" s="1"/>
  <c r="G68" i="9"/>
  <c r="H68" i="9" s="1"/>
  <c r="G67" i="9"/>
  <c r="H67" i="9" s="1"/>
  <c r="G66" i="9"/>
  <c r="H66" i="9" s="1"/>
  <c r="G22" i="9"/>
  <c r="H22" i="9" s="1"/>
  <c r="H21" i="9" s="1"/>
  <c r="G51" i="9"/>
  <c r="H51" i="9" s="1"/>
  <c r="G57" i="9"/>
  <c r="H57" i="9" s="1"/>
  <c r="G58" i="9"/>
  <c r="H58" i="9" s="1"/>
  <c r="G30" i="9"/>
  <c r="H30" i="9" s="1"/>
  <c r="G18" i="9"/>
  <c r="H18" i="9" s="1"/>
  <c r="G50" i="9"/>
  <c r="H50" i="9" s="1"/>
  <c r="G63" i="9"/>
  <c r="H63" i="9" s="1"/>
  <c r="H62" i="9" s="1"/>
  <c r="E28" i="9"/>
  <c r="L611" i="11"/>
  <c r="E25" i="9"/>
  <c r="E29" i="9" s="1"/>
  <c r="K775" i="11" s="1"/>
  <c r="G52" i="9"/>
  <c r="H52" i="9" s="1"/>
  <c r="G45" i="9"/>
  <c r="H45" i="9" s="1"/>
  <c r="G19" i="9"/>
  <c r="H19" i="9" s="1"/>
  <c r="G39" i="9"/>
  <c r="H39" i="9" s="1"/>
  <c r="K129" i="11"/>
  <c r="L122" i="11" s="1"/>
  <c r="K53" i="11"/>
  <c r="K54" i="11" s="1"/>
  <c r="L51" i="11" s="1"/>
  <c r="G42" i="9"/>
  <c r="H42" i="9" s="1"/>
  <c r="G60" i="9"/>
  <c r="H60" i="9" s="1"/>
  <c r="G54" i="9"/>
  <c r="H54" i="9" s="1"/>
  <c r="G17" i="9"/>
  <c r="H17" i="9" s="1"/>
  <c r="G26" i="9"/>
  <c r="H26" i="9" s="1"/>
  <c r="G33" i="9"/>
  <c r="H33" i="9" s="1"/>
  <c r="G35" i="9"/>
  <c r="H35" i="9" s="1"/>
  <c r="G47" i="9"/>
  <c r="H47" i="9" s="1"/>
  <c r="G16" i="9"/>
  <c r="H16" i="9" s="1"/>
  <c r="G25" i="9"/>
  <c r="G28" i="9"/>
  <c r="G34" i="9"/>
  <c r="H34" i="9" s="1"/>
  <c r="G40" i="9"/>
  <c r="H40" i="9" s="1"/>
  <c r="G59" i="9"/>
  <c r="H59" i="9" s="1"/>
  <c r="K625" i="4"/>
  <c r="K624" i="4"/>
  <c r="K622" i="4"/>
  <c r="K621" i="4"/>
  <c r="K623" i="4"/>
  <c r="K615" i="4"/>
  <c r="K616" i="4"/>
  <c r="K617" i="4"/>
  <c r="K618" i="4"/>
  <c r="K619" i="4"/>
  <c r="K620" i="4"/>
  <c r="K626" i="4"/>
  <c r="K627" i="4"/>
  <c r="K628" i="4"/>
  <c r="K629" i="4"/>
  <c r="K630" i="4"/>
  <c r="K631" i="4"/>
  <c r="K632" i="4"/>
  <c r="K633" i="4"/>
  <c r="K634" i="4"/>
  <c r="K635" i="4"/>
  <c r="K614" i="4"/>
  <c r="K704" i="4"/>
  <c r="K703" i="4"/>
  <c r="E45" i="7"/>
  <c r="D45" i="7"/>
  <c r="E39" i="7"/>
  <c r="D39" i="7"/>
  <c r="E30" i="7"/>
  <c r="D30" i="7"/>
  <c r="E15" i="7"/>
  <c r="D15" i="7"/>
  <c r="F775" i="11" l="1"/>
  <c r="K776" i="11"/>
  <c r="L773" i="11" s="1"/>
  <c r="H28" i="9"/>
  <c r="E47" i="7"/>
  <c r="H65" i="9"/>
  <c r="H56" i="9"/>
  <c r="H15" i="9"/>
  <c r="H25" i="9"/>
  <c r="H44" i="9"/>
  <c r="H32" i="9"/>
  <c r="G76" i="6"/>
  <c r="G77" i="6" s="1"/>
  <c r="G75" i="6"/>
  <c r="G78" i="6" s="1"/>
  <c r="K719" i="4"/>
  <c r="K664" i="4"/>
  <c r="K663" i="4"/>
  <c r="K662" i="4"/>
  <c r="K661" i="4"/>
  <c r="K660" i="4"/>
  <c r="K659" i="4"/>
  <c r="K658" i="4"/>
  <c r="K657" i="4"/>
  <c r="K656" i="4"/>
  <c r="K655" i="4"/>
  <c r="K654" i="4"/>
  <c r="K653" i="4"/>
  <c r="K652" i="4"/>
  <c r="K651" i="4"/>
  <c r="K650" i="4"/>
  <c r="K649" i="4"/>
  <c r="K648" i="4"/>
  <c r="K647" i="4"/>
  <c r="K646" i="4"/>
  <c r="K645" i="4"/>
  <c r="K644" i="4"/>
  <c r="K643" i="4"/>
  <c r="K642" i="4"/>
  <c r="K641" i="4"/>
  <c r="K640" i="4"/>
  <c r="K665" i="4" l="1"/>
  <c r="L638" i="4" s="1"/>
  <c r="E24" i="2" s="1"/>
  <c r="G80" i="6"/>
  <c r="K713" i="4"/>
  <c r="K714" i="4"/>
  <c r="K711" i="4"/>
  <c r="K712" i="4"/>
  <c r="K710" i="4"/>
  <c r="K709" i="4"/>
  <c r="K210" i="4"/>
  <c r="K211" i="4"/>
  <c r="K212" i="4"/>
  <c r="K213" i="4"/>
  <c r="K214" i="4"/>
  <c r="K215" i="4"/>
  <c r="K209" i="4"/>
  <c r="K702" i="4"/>
  <c r="K701" i="4"/>
  <c r="K700" i="4"/>
  <c r="F29" i="12" l="1"/>
  <c r="F29" i="9"/>
  <c r="F25" i="48"/>
  <c r="G25" i="48" s="1"/>
  <c r="H25" i="48" s="1"/>
  <c r="H20" i="48" s="1"/>
  <c r="F24" i="30"/>
  <c r="G24" i="30" s="1"/>
  <c r="H24" i="30" s="1"/>
  <c r="H19" i="30" s="1"/>
  <c r="F32" i="16"/>
  <c r="K216" i="4"/>
  <c r="G32" i="16"/>
  <c r="H32" i="16" s="1"/>
  <c r="H26" i="16" s="1"/>
  <c r="F30" i="32"/>
  <c r="G30" i="32" s="1"/>
  <c r="H30" i="32" s="1"/>
  <c r="H25" i="32" s="1"/>
  <c r="G29" i="12"/>
  <c r="H29" i="12" s="1"/>
  <c r="H23" i="12" s="1"/>
  <c r="G29" i="9"/>
  <c r="H29" i="9" s="1"/>
  <c r="H24" i="9" s="1"/>
  <c r="F32" i="14"/>
  <c r="G32" i="14" s="1"/>
  <c r="H32" i="14" s="1"/>
  <c r="H26" i="14" s="1"/>
  <c r="F28" i="2"/>
  <c r="K715" i="4"/>
  <c r="L707" i="4" s="1"/>
  <c r="K756" i="4"/>
  <c r="G47" i="6"/>
  <c r="G60" i="6" l="1"/>
  <c r="G61" i="6"/>
  <c r="G66" i="6"/>
  <c r="G65" i="6" l="1"/>
  <c r="G64" i="6"/>
  <c r="G63" i="6"/>
  <c r="G62" i="6"/>
  <c r="G68" i="6" l="1"/>
  <c r="G67" i="6"/>
  <c r="G70" i="6" l="1"/>
  <c r="F41" i="9" s="1"/>
  <c r="G37" i="6"/>
  <c r="G36" i="6"/>
  <c r="G35" i="6"/>
  <c r="G34" i="6"/>
  <c r="G33" i="6"/>
  <c r="G26" i="6"/>
  <c r="G27" i="6" s="1"/>
  <c r="G25" i="6"/>
  <c r="G28" i="6" s="1"/>
  <c r="F44" i="16" l="1"/>
  <c r="G44" i="16" s="1"/>
  <c r="H44" i="16" s="1"/>
  <c r="F46" i="14"/>
  <c r="F45" i="32"/>
  <c r="G45" i="32" s="1"/>
  <c r="H45" i="32" s="1"/>
  <c r="F43" i="12"/>
  <c r="G43" i="12" s="1"/>
  <c r="H43" i="12" s="1"/>
  <c r="G41" i="9"/>
  <c r="H41" i="9" s="1"/>
  <c r="F41" i="2"/>
  <c r="G46" i="14"/>
  <c r="H46" i="14" s="1"/>
  <c r="G39" i="6"/>
  <c r="G38" i="6"/>
  <c r="G30" i="6"/>
  <c r="F38" i="9" s="1"/>
  <c r="F30" i="48" l="1"/>
  <c r="G30" i="48" s="1"/>
  <c r="H30" i="48" s="1"/>
  <c r="H29" i="48" s="1"/>
  <c r="H80" i="48" s="1"/>
  <c r="F27" i="30"/>
  <c r="G27" i="30" s="1"/>
  <c r="H27" i="30" s="1"/>
  <c r="H26" i="30" s="1"/>
  <c r="F41" i="16"/>
  <c r="G41" i="16" s="1"/>
  <c r="H41" i="16" s="1"/>
  <c r="F39" i="12"/>
  <c r="G39" i="12" s="1"/>
  <c r="H39" i="12" s="1"/>
  <c r="F39" i="32"/>
  <c r="G39" i="32" s="1"/>
  <c r="H39" i="32" s="1"/>
  <c r="H38" i="32" s="1"/>
  <c r="G38" i="9"/>
  <c r="H38" i="9" s="1"/>
  <c r="H37" i="9" s="1"/>
  <c r="F38" i="2"/>
  <c r="F42" i="14"/>
  <c r="G42" i="14" s="1"/>
  <c r="H42" i="14" s="1"/>
  <c r="G41" i="6"/>
  <c r="F53" i="9" s="1"/>
  <c r="E9" i="21" l="1"/>
  <c r="D30" i="25" s="1"/>
  <c r="F38" i="30"/>
  <c r="G38" i="30" s="1"/>
  <c r="H38" i="30" s="1"/>
  <c r="H36" i="30" s="1"/>
  <c r="H50" i="30" s="1"/>
  <c r="E7" i="21" s="1"/>
  <c r="D24" i="25" s="1"/>
  <c r="F56" i="16"/>
  <c r="F52" i="12"/>
  <c r="G52" i="12" s="1"/>
  <c r="H52" i="12" s="1"/>
  <c r="H50" i="12" s="1"/>
  <c r="F49" i="2"/>
  <c r="F57" i="32"/>
  <c r="G57" i="32" s="1"/>
  <c r="G53" i="9"/>
  <c r="H53" i="9" s="1"/>
  <c r="H49" i="9" s="1"/>
  <c r="H71" i="9" s="1"/>
  <c r="F57" i="14"/>
  <c r="G57" i="14" s="1"/>
  <c r="H57" i="14" s="1"/>
  <c r="H54" i="14" s="1"/>
  <c r="G10" i="6"/>
  <c r="G12" i="6" s="1"/>
  <c r="G9" i="6"/>
  <c r="G8" i="6"/>
  <c r="G6" i="6"/>
  <c r="G11" i="6" s="1"/>
  <c r="G7" i="6"/>
  <c r="G51" i="6"/>
  <c r="G50" i="6"/>
  <c r="G49" i="6"/>
  <c r="E48" i="6"/>
  <c r="G48" i="6" s="1"/>
  <c r="G17" i="6"/>
  <c r="G19" i="6" s="1"/>
  <c r="L42" i="5"/>
  <c r="L44" i="5" s="1"/>
  <c r="L46" i="5" s="1"/>
  <c r="L15" i="5"/>
  <c r="O29" i="5" s="1"/>
  <c r="F32" i="25" l="1"/>
  <c r="H32" i="25"/>
  <c r="G32" i="25"/>
  <c r="D15" i="25"/>
  <c r="E4" i="21"/>
  <c r="G26" i="25"/>
  <c r="F26" i="25"/>
  <c r="H26" i="25"/>
  <c r="H57" i="32"/>
  <c r="H53" i="32" s="1"/>
  <c r="H72" i="32" s="1"/>
  <c r="E8" i="21" s="1"/>
  <c r="D27" i="25" s="1"/>
  <c r="H17" i="25"/>
  <c r="F17" i="25"/>
  <c r="G17" i="25"/>
  <c r="G53" i="6"/>
  <c r="G52" i="6"/>
  <c r="G13" i="6"/>
  <c r="G14" i="6" s="1"/>
  <c r="F16" i="2" s="1"/>
  <c r="G22" i="6"/>
  <c r="L26" i="25" l="1"/>
  <c r="L17" i="25"/>
  <c r="F29" i="25"/>
  <c r="H29" i="25"/>
  <c r="G29" i="25"/>
  <c r="F20" i="2"/>
  <c r="F18" i="16"/>
  <c r="G18" i="16" s="1"/>
  <c r="H18" i="16" s="1"/>
  <c r="H16" i="16" s="1"/>
  <c r="F19" i="12"/>
  <c r="G19" i="12" s="1"/>
  <c r="H19" i="12" s="1"/>
  <c r="H15" i="12" s="1"/>
  <c r="G55" i="6"/>
  <c r="F45" i="14" s="1"/>
  <c r="G45" i="14" s="1"/>
  <c r="H45" i="14" s="1"/>
  <c r="H41" i="14" s="1"/>
  <c r="H73" i="14" s="1"/>
  <c r="E3" i="21" s="1"/>
  <c r="D12" i="25" s="1"/>
  <c r="H14" i="25" s="1"/>
  <c r="K741" i="4"/>
  <c r="K742" i="4"/>
  <c r="K740" i="4"/>
  <c r="K734" i="4"/>
  <c r="K733" i="4"/>
  <c r="K732" i="4"/>
  <c r="K731" i="4"/>
  <c r="F14" i="25" l="1"/>
  <c r="G14" i="25"/>
  <c r="F43" i="16"/>
  <c r="F42" i="12"/>
  <c r="F40" i="2"/>
  <c r="G56" i="16"/>
  <c r="H56" i="16" s="1"/>
  <c r="H53" i="16" s="1"/>
  <c r="G43" i="16"/>
  <c r="H43" i="16" s="1"/>
  <c r="H40" i="16" s="1"/>
  <c r="G42" i="12"/>
  <c r="H42" i="12" s="1"/>
  <c r="H38" i="12" s="1"/>
  <c r="H69" i="12" s="1"/>
  <c r="E5" i="21" s="1"/>
  <c r="D18" i="25" s="1"/>
  <c r="L14" i="25"/>
  <c r="K736" i="4"/>
  <c r="K744" i="4"/>
  <c r="K636" i="4"/>
  <c r="L612" i="4" s="1"/>
  <c r="K823" i="4"/>
  <c r="K818" i="4"/>
  <c r="K813" i="4"/>
  <c r="K808" i="4"/>
  <c r="K803" i="4"/>
  <c r="H20" i="25" l="1"/>
  <c r="F20" i="25"/>
  <c r="G20" i="25"/>
  <c r="H75" i="16"/>
  <c r="K786" i="4"/>
  <c r="K784" i="4"/>
  <c r="K785" i="4"/>
  <c r="K779" i="4"/>
  <c r="K773" i="4"/>
  <c r="K774" i="4" s="1"/>
  <c r="L771" i="4" s="1"/>
  <c r="K768" i="4"/>
  <c r="K769" i="4" s="1"/>
  <c r="L766" i="4" s="1"/>
  <c r="K202" i="4"/>
  <c r="K824" i="4"/>
  <c r="L821" i="4" s="1"/>
  <c r="K819" i="4"/>
  <c r="L816" i="4" s="1"/>
  <c r="K814" i="4"/>
  <c r="L811" i="4" s="1"/>
  <c r="K809" i="4"/>
  <c r="L806" i="4" s="1"/>
  <c r="K804" i="4"/>
  <c r="L801" i="4" s="1"/>
  <c r="K797" i="4"/>
  <c r="K798" i="4" s="1"/>
  <c r="L795" i="4" s="1"/>
  <c r="K778" i="4"/>
  <c r="L746" i="4"/>
  <c r="E34" i="2" s="1"/>
  <c r="L738" i="4"/>
  <c r="E33" i="2" s="1"/>
  <c r="L729" i="4"/>
  <c r="K699" i="4"/>
  <c r="K606" i="4"/>
  <c r="K607" i="4" s="1"/>
  <c r="L604" i="4" s="1"/>
  <c r="K604" i="4"/>
  <c r="C604" i="4"/>
  <c r="B604" i="4"/>
  <c r="K601" i="4"/>
  <c r="K600" i="4"/>
  <c r="K598" i="4"/>
  <c r="C598" i="4"/>
  <c r="B598" i="4"/>
  <c r="K594" i="4"/>
  <c r="K595" i="4" s="1"/>
  <c r="L592" i="4" s="1"/>
  <c r="K592" i="4"/>
  <c r="C592" i="4"/>
  <c r="B592" i="4"/>
  <c r="C591" i="4"/>
  <c r="B591" i="4"/>
  <c r="K588" i="4"/>
  <c r="K589" i="4" s="1"/>
  <c r="L586" i="4" s="1"/>
  <c r="K586" i="4"/>
  <c r="C586" i="4"/>
  <c r="B586" i="4"/>
  <c r="C585" i="4"/>
  <c r="B585" i="4"/>
  <c r="K582" i="4"/>
  <c r="K581" i="4"/>
  <c r="K579" i="4"/>
  <c r="C579" i="4"/>
  <c r="B579" i="4"/>
  <c r="K576" i="4"/>
  <c r="K575" i="4"/>
  <c r="K573" i="4"/>
  <c r="C573" i="4"/>
  <c r="B573" i="4"/>
  <c r="K570" i="4"/>
  <c r="K571" i="4" s="1"/>
  <c r="L568" i="4" s="1"/>
  <c r="K568" i="4"/>
  <c r="C568" i="4"/>
  <c r="B568" i="4"/>
  <c r="K565" i="4"/>
  <c r="K566" i="4" s="1"/>
  <c r="L563" i="4" s="1"/>
  <c r="K563" i="4"/>
  <c r="C563" i="4"/>
  <c r="B563" i="4"/>
  <c r="K560" i="4"/>
  <c r="K561" i="4" s="1"/>
  <c r="L558" i="4" s="1"/>
  <c r="K558" i="4"/>
  <c r="C558" i="4"/>
  <c r="B558" i="4"/>
  <c r="C557" i="4"/>
  <c r="B557" i="4"/>
  <c r="K554" i="4"/>
  <c r="K553" i="4"/>
  <c r="K551" i="4"/>
  <c r="C551" i="4"/>
  <c r="B551" i="4"/>
  <c r="K548" i="4"/>
  <c r="K547" i="4"/>
  <c r="K545" i="4"/>
  <c r="C545" i="4"/>
  <c r="B545" i="4"/>
  <c r="K542" i="4"/>
  <c r="K543" i="4" s="1"/>
  <c r="L540" i="4" s="1"/>
  <c r="K540" i="4"/>
  <c r="C540" i="4"/>
  <c r="B540" i="4"/>
  <c r="K537" i="4"/>
  <c r="K538" i="4" s="1"/>
  <c r="L535" i="4" s="1"/>
  <c r="K535" i="4"/>
  <c r="C535" i="4"/>
  <c r="B535" i="4"/>
  <c r="K532" i="4"/>
  <c r="K533" i="4" s="1"/>
  <c r="L530" i="4" s="1"/>
  <c r="K530" i="4"/>
  <c r="C530" i="4"/>
  <c r="B530" i="4"/>
  <c r="C529" i="4"/>
  <c r="B529" i="4"/>
  <c r="K526" i="4"/>
  <c r="K525" i="4"/>
  <c r="K523" i="4"/>
  <c r="C523" i="4"/>
  <c r="B523" i="4"/>
  <c r="K520" i="4"/>
  <c r="K519" i="4"/>
  <c r="K517" i="4"/>
  <c r="C517" i="4"/>
  <c r="B517" i="4"/>
  <c r="K514" i="4"/>
  <c r="K513" i="4"/>
  <c r="K512" i="4"/>
  <c r="K510" i="4"/>
  <c r="C510" i="4"/>
  <c r="B510" i="4"/>
  <c r="K507" i="4"/>
  <c r="K508" i="4" s="1"/>
  <c r="L505" i="4" s="1"/>
  <c r="K505" i="4"/>
  <c r="C505" i="4"/>
  <c r="B505" i="4"/>
  <c r="K502" i="4"/>
  <c r="K501" i="4"/>
  <c r="K500" i="4"/>
  <c r="K498" i="4"/>
  <c r="C498" i="4"/>
  <c r="B498" i="4"/>
  <c r="C497" i="4"/>
  <c r="B497" i="4"/>
  <c r="I494" i="4"/>
  <c r="K494" i="4" s="1"/>
  <c r="I493" i="4"/>
  <c r="K493" i="4" s="1"/>
  <c r="I492" i="4"/>
  <c r="K492" i="4" s="1"/>
  <c r="K490" i="4"/>
  <c r="C490" i="4"/>
  <c r="B490" i="4"/>
  <c r="K487" i="4"/>
  <c r="K486" i="4"/>
  <c r="K485" i="4"/>
  <c r="K483" i="4"/>
  <c r="C483" i="4"/>
  <c r="B483" i="4"/>
  <c r="K480" i="4"/>
  <c r="K481" i="4" s="1"/>
  <c r="L478" i="4" s="1"/>
  <c r="K478" i="4"/>
  <c r="C478" i="4"/>
  <c r="B478" i="4"/>
  <c r="K475" i="4"/>
  <c r="K476" i="4" s="1"/>
  <c r="L473" i="4" s="1"/>
  <c r="K473" i="4"/>
  <c r="C473" i="4"/>
  <c r="B473" i="4"/>
  <c r="K470" i="4"/>
  <c r="K471" i="4" s="1"/>
  <c r="L468" i="4" s="1"/>
  <c r="K468" i="4"/>
  <c r="C468" i="4"/>
  <c r="B468" i="4"/>
  <c r="C467" i="4"/>
  <c r="B467" i="4"/>
  <c r="K464" i="4"/>
  <c r="K463" i="4"/>
  <c r="K462" i="4"/>
  <c r="K460" i="4"/>
  <c r="C460" i="4"/>
  <c r="B460" i="4"/>
  <c r="K457" i="4"/>
  <c r="K456" i="4"/>
  <c r="K454" i="4"/>
  <c r="C454" i="4"/>
  <c r="B454" i="4"/>
  <c r="K451" i="4"/>
  <c r="K452" i="4" s="1"/>
  <c r="L449" i="4" s="1"/>
  <c r="K449" i="4"/>
  <c r="C449" i="4"/>
  <c r="B449" i="4"/>
  <c r="K446" i="4"/>
  <c r="K447" i="4" s="1"/>
  <c r="L444" i="4" s="1"/>
  <c r="K444" i="4"/>
  <c r="C444" i="4"/>
  <c r="B444" i="4"/>
  <c r="K441" i="4"/>
  <c r="K442" i="4" s="1"/>
  <c r="L439" i="4" s="1"/>
  <c r="K439" i="4"/>
  <c r="C439" i="4"/>
  <c r="B439" i="4"/>
  <c r="C438" i="4"/>
  <c r="B438" i="4"/>
  <c r="C437" i="4"/>
  <c r="B437" i="4"/>
  <c r="K434" i="4"/>
  <c r="K433" i="4"/>
  <c r="K431" i="4"/>
  <c r="C431" i="4"/>
  <c r="B431" i="4"/>
  <c r="K428" i="4"/>
  <c r="K427" i="4"/>
  <c r="K425" i="4"/>
  <c r="C425" i="4"/>
  <c r="B425" i="4"/>
  <c r="K422" i="4"/>
  <c r="K421" i="4"/>
  <c r="K419" i="4"/>
  <c r="C419" i="4"/>
  <c r="B419" i="4"/>
  <c r="K416" i="4"/>
  <c r="K415" i="4"/>
  <c r="K414" i="4"/>
  <c r="K413" i="4"/>
  <c r="K412" i="4"/>
  <c r="K410" i="4"/>
  <c r="C410" i="4"/>
  <c r="B410" i="4"/>
  <c r="K407" i="4"/>
  <c r="K406" i="4"/>
  <c r="K405" i="4"/>
  <c r="K404" i="4"/>
  <c r="K403" i="4"/>
  <c r="K401" i="4"/>
  <c r="C401" i="4"/>
  <c r="B401" i="4"/>
  <c r="K398" i="4"/>
  <c r="K397" i="4"/>
  <c r="K396" i="4"/>
  <c r="K395" i="4"/>
  <c r="K394" i="4"/>
  <c r="K392" i="4"/>
  <c r="C392" i="4"/>
  <c r="B392" i="4"/>
  <c r="C391" i="4"/>
  <c r="B391" i="4"/>
  <c r="I388" i="4"/>
  <c r="K388" i="4" s="1"/>
  <c r="K389" i="4" s="1"/>
  <c r="L386" i="4" s="1"/>
  <c r="K386" i="4"/>
  <c r="C386" i="4"/>
  <c r="B386" i="4"/>
  <c r="I383" i="4"/>
  <c r="K383" i="4" s="1"/>
  <c r="K384" i="4" s="1"/>
  <c r="L381" i="4" s="1"/>
  <c r="K381" i="4"/>
  <c r="C381" i="4"/>
  <c r="B381" i="4"/>
  <c r="K378" i="4"/>
  <c r="K379" i="4" s="1"/>
  <c r="L376" i="4" s="1"/>
  <c r="F378" i="4"/>
  <c r="K376" i="4"/>
  <c r="C376" i="4"/>
  <c r="B376" i="4"/>
  <c r="F373" i="4"/>
  <c r="K373" i="4" s="1"/>
  <c r="K374" i="4" s="1"/>
  <c r="L371" i="4" s="1"/>
  <c r="K371" i="4"/>
  <c r="C371" i="4"/>
  <c r="B371" i="4"/>
  <c r="I368" i="4"/>
  <c r="K368" i="4" s="1"/>
  <c r="K369" i="4" s="1"/>
  <c r="L366" i="4" s="1"/>
  <c r="K366" i="4"/>
  <c r="C366" i="4"/>
  <c r="B366" i="4"/>
  <c r="F363" i="4"/>
  <c r="K363" i="4" s="1"/>
  <c r="K364" i="4" s="1"/>
  <c r="L361" i="4" s="1"/>
  <c r="K361" i="4"/>
  <c r="C361" i="4"/>
  <c r="B361" i="4"/>
  <c r="F358" i="4"/>
  <c r="K358" i="4" s="1"/>
  <c r="K359" i="4" s="1"/>
  <c r="L356" i="4" s="1"/>
  <c r="K356" i="4"/>
  <c r="C356" i="4"/>
  <c r="B356" i="4"/>
  <c r="F353" i="4"/>
  <c r="K353" i="4" s="1"/>
  <c r="K354" i="4" s="1"/>
  <c r="L351" i="4" s="1"/>
  <c r="K351" i="4"/>
  <c r="C351" i="4"/>
  <c r="B351" i="4"/>
  <c r="F348" i="4"/>
  <c r="K348" i="4" s="1"/>
  <c r="K349" i="4" s="1"/>
  <c r="L346" i="4" s="1"/>
  <c r="K346" i="4"/>
  <c r="C346" i="4"/>
  <c r="B346" i="4"/>
  <c r="F343" i="4"/>
  <c r="K343" i="4" s="1"/>
  <c r="K344" i="4" s="1"/>
  <c r="L341" i="4" s="1"/>
  <c r="K341" i="4"/>
  <c r="C341" i="4"/>
  <c r="B341" i="4"/>
  <c r="F338" i="4"/>
  <c r="K338" i="4" s="1"/>
  <c r="K339" i="4" s="1"/>
  <c r="L336" i="4" s="1"/>
  <c r="K336" i="4"/>
  <c r="C336" i="4"/>
  <c r="B336" i="4"/>
  <c r="F333" i="4"/>
  <c r="K333" i="4" s="1"/>
  <c r="K334" i="4" s="1"/>
  <c r="L331" i="4" s="1"/>
  <c r="K331" i="4"/>
  <c r="C331" i="4"/>
  <c r="B331" i="4"/>
  <c r="F328" i="4"/>
  <c r="K328" i="4" s="1"/>
  <c r="K329" i="4" s="1"/>
  <c r="L326" i="4" s="1"/>
  <c r="K326" i="4"/>
  <c r="C326" i="4"/>
  <c r="B326" i="4"/>
  <c r="F323" i="4"/>
  <c r="K323" i="4" s="1"/>
  <c r="K324" i="4" s="1"/>
  <c r="L321" i="4" s="1"/>
  <c r="K321" i="4"/>
  <c r="C321" i="4"/>
  <c r="B321" i="4"/>
  <c r="F318" i="4"/>
  <c r="K318" i="4" s="1"/>
  <c r="K319" i="4" s="1"/>
  <c r="L316" i="4" s="1"/>
  <c r="K316" i="4"/>
  <c r="C316" i="4"/>
  <c r="B316" i="4"/>
  <c r="C315" i="4"/>
  <c r="B315" i="4"/>
  <c r="K312" i="4"/>
  <c r="K313" i="4" s="1"/>
  <c r="L310" i="4" s="1"/>
  <c r="K310" i="4"/>
  <c r="C310" i="4"/>
  <c r="B310" i="4"/>
  <c r="K307" i="4"/>
  <c r="K308" i="4" s="1"/>
  <c r="L305" i="4" s="1"/>
  <c r="K305" i="4"/>
  <c r="C305" i="4"/>
  <c r="B305" i="4"/>
  <c r="K302" i="4"/>
  <c r="K303" i="4" s="1"/>
  <c r="L300" i="4" s="1"/>
  <c r="K300" i="4"/>
  <c r="C300" i="4"/>
  <c r="B300" i="4"/>
  <c r="K297" i="4"/>
  <c r="K298" i="4" s="1"/>
  <c r="L295" i="4" s="1"/>
  <c r="K295" i="4"/>
  <c r="C295" i="4"/>
  <c r="B295" i="4"/>
  <c r="K292" i="4"/>
  <c r="K293" i="4" s="1"/>
  <c r="L290" i="4" s="1"/>
  <c r="K290" i="4"/>
  <c r="C290" i="4"/>
  <c r="B290" i="4"/>
  <c r="K287" i="4"/>
  <c r="K288" i="4" s="1"/>
  <c r="L285" i="4" s="1"/>
  <c r="K285" i="4"/>
  <c r="C285" i="4"/>
  <c r="B285" i="4"/>
  <c r="K282" i="4"/>
  <c r="K283" i="4" s="1"/>
  <c r="L280" i="4" s="1"/>
  <c r="K280" i="4"/>
  <c r="C280" i="4"/>
  <c r="B280" i="4"/>
  <c r="K277" i="4"/>
  <c r="K278" i="4" s="1"/>
  <c r="L275" i="4" s="1"/>
  <c r="K275" i="4"/>
  <c r="C275" i="4"/>
  <c r="B275" i="4"/>
  <c r="K272" i="4"/>
  <c r="K273" i="4" s="1"/>
  <c r="L270" i="4" s="1"/>
  <c r="K270" i="4"/>
  <c r="C270" i="4"/>
  <c r="B270" i="4"/>
  <c r="K267" i="4"/>
  <c r="K268" i="4" s="1"/>
  <c r="L265" i="4" s="1"/>
  <c r="K265" i="4"/>
  <c r="C265" i="4"/>
  <c r="B265" i="4"/>
  <c r="K262" i="4"/>
  <c r="K263" i="4" s="1"/>
  <c r="K260" i="4"/>
  <c r="K261" i="4" s="1"/>
  <c r="L259" i="4"/>
  <c r="K259" i="4"/>
  <c r="C259" i="4"/>
  <c r="B259" i="4"/>
  <c r="K256" i="4"/>
  <c r="K257" i="4" s="1"/>
  <c r="L254" i="4"/>
  <c r="K254" i="4"/>
  <c r="C254" i="4"/>
  <c r="B254" i="4"/>
  <c r="K252" i="4"/>
  <c r="K251" i="4"/>
  <c r="L249" i="4"/>
  <c r="K249" i="4"/>
  <c r="C249" i="4"/>
  <c r="B249" i="4"/>
  <c r="L246" i="4"/>
  <c r="K246" i="4"/>
  <c r="C246" i="4"/>
  <c r="B246" i="4"/>
  <c r="K245" i="4"/>
  <c r="K243" i="4"/>
  <c r="K242" i="4"/>
  <c r="K241" i="4"/>
  <c r="K240" i="4"/>
  <c r="K238" i="4"/>
  <c r="K235" i="4"/>
  <c r="I234" i="4"/>
  <c r="K234" i="4" s="1"/>
  <c r="K233" i="4"/>
  <c r="I232" i="4"/>
  <c r="K232" i="4" s="1"/>
  <c r="K230" i="4"/>
  <c r="C230" i="4"/>
  <c r="B230" i="4"/>
  <c r="K227" i="4"/>
  <c r="I226" i="4"/>
  <c r="K226" i="4" s="1"/>
  <c r="K225" i="4"/>
  <c r="I224" i="4"/>
  <c r="K224" i="4" s="1"/>
  <c r="L207" i="4"/>
  <c r="E19" i="2" s="1"/>
  <c r="K204" i="4"/>
  <c r="K205" i="4" s="1"/>
  <c r="L202" i="4" s="1"/>
  <c r="E18" i="2" s="1"/>
  <c r="K198" i="4"/>
  <c r="K199" i="4" s="1"/>
  <c r="L196" i="4" s="1"/>
  <c r="K196" i="4"/>
  <c r="K186" i="4"/>
  <c r="I185" i="4"/>
  <c r="K185" i="4" s="1"/>
  <c r="I184" i="4"/>
  <c r="K184" i="4" s="1"/>
  <c r="K182" i="4"/>
  <c r="C182" i="4"/>
  <c r="B182" i="4"/>
  <c r="C181" i="4"/>
  <c r="B181" i="4"/>
  <c r="K178" i="4"/>
  <c r="K179" i="4" s="1"/>
  <c r="L176" i="4" s="1"/>
  <c r="K176" i="4"/>
  <c r="C176" i="4"/>
  <c r="B176" i="4"/>
  <c r="K173" i="4"/>
  <c r="K174" i="4" s="1"/>
  <c r="L171" i="4" s="1"/>
  <c r="K171" i="4"/>
  <c r="C171" i="4"/>
  <c r="B171" i="4"/>
  <c r="K168" i="4"/>
  <c r="K169" i="4" s="1"/>
  <c r="L166" i="4" s="1"/>
  <c r="K166" i="4"/>
  <c r="C166" i="4"/>
  <c r="B166" i="4"/>
  <c r="K163" i="4"/>
  <c r="K164" i="4" s="1"/>
  <c r="L161" i="4" s="1"/>
  <c r="K161" i="4"/>
  <c r="C161" i="4"/>
  <c r="B161" i="4"/>
  <c r="K158" i="4"/>
  <c r="K159" i="4" s="1"/>
  <c r="L156" i="4" s="1"/>
  <c r="K156" i="4"/>
  <c r="C156" i="4"/>
  <c r="B156" i="4"/>
  <c r="K153" i="4"/>
  <c r="K152" i="4"/>
  <c r="K150" i="4"/>
  <c r="C150" i="4"/>
  <c r="B150" i="4"/>
  <c r="K147" i="4"/>
  <c r="K146" i="4"/>
  <c r="K144" i="4"/>
  <c r="C144" i="4"/>
  <c r="B144" i="4"/>
  <c r="K141" i="4"/>
  <c r="K140" i="4"/>
  <c r="K142" i="4" s="1"/>
  <c r="L138" i="4" s="1"/>
  <c r="K138" i="4"/>
  <c r="C138" i="4"/>
  <c r="B138" i="4"/>
  <c r="K135" i="4"/>
  <c r="K134" i="4"/>
  <c r="K133" i="4"/>
  <c r="K131" i="4"/>
  <c r="C131" i="4"/>
  <c r="B131" i="4"/>
  <c r="H128" i="4"/>
  <c r="G128" i="4"/>
  <c r="H127" i="4"/>
  <c r="G127" i="4"/>
  <c r="H126" i="4"/>
  <c r="G126" i="4"/>
  <c r="H125" i="4"/>
  <c r="G125" i="4"/>
  <c r="H124" i="4"/>
  <c r="G124" i="4"/>
  <c r="K122" i="4"/>
  <c r="C122" i="4"/>
  <c r="B122" i="4"/>
  <c r="G119" i="4"/>
  <c r="K119" i="4" s="1"/>
  <c r="G118" i="4"/>
  <c r="K118" i="4" s="1"/>
  <c r="G117" i="4"/>
  <c r="K117" i="4" s="1"/>
  <c r="G116" i="4"/>
  <c r="K116" i="4" s="1"/>
  <c r="G115" i="4"/>
  <c r="K115" i="4" s="1"/>
  <c r="K113" i="4"/>
  <c r="C113" i="4"/>
  <c r="B113" i="4"/>
  <c r="K110" i="4"/>
  <c r="K109" i="4"/>
  <c r="K108" i="4"/>
  <c r="K106" i="4"/>
  <c r="C106" i="4"/>
  <c r="B106" i="4"/>
  <c r="K103" i="4"/>
  <c r="K104" i="4" s="1"/>
  <c r="L101" i="4" s="1"/>
  <c r="K101" i="4"/>
  <c r="C101" i="4"/>
  <c r="B101" i="4"/>
  <c r="C100" i="4"/>
  <c r="B100" i="4"/>
  <c r="K97" i="4"/>
  <c r="K98" i="4" s="1"/>
  <c r="L95" i="4" s="1"/>
  <c r="K95" i="4"/>
  <c r="C95" i="4"/>
  <c r="B95" i="4"/>
  <c r="K92" i="4"/>
  <c r="K93" i="4" s="1"/>
  <c r="L90" i="4" s="1"/>
  <c r="K90" i="4"/>
  <c r="C90" i="4"/>
  <c r="B90" i="4"/>
  <c r="K87" i="4"/>
  <c r="K88" i="4" s="1"/>
  <c r="L85" i="4" s="1"/>
  <c r="K85" i="4"/>
  <c r="C85" i="4"/>
  <c r="B85" i="4"/>
  <c r="K82" i="4"/>
  <c r="I81" i="4"/>
  <c r="K81" i="4" s="1"/>
  <c r="K80" i="4"/>
  <c r="K79" i="4"/>
  <c r="K78" i="4"/>
  <c r="K76" i="4"/>
  <c r="C76" i="4"/>
  <c r="B76" i="4"/>
  <c r="K73" i="4"/>
  <c r="I72" i="4"/>
  <c r="K72" i="4" s="1"/>
  <c r="K71" i="4"/>
  <c r="K70" i="4"/>
  <c r="K69" i="4"/>
  <c r="K67" i="4"/>
  <c r="C67" i="4"/>
  <c r="B67" i="4"/>
  <c r="K64" i="4"/>
  <c r="I63" i="4"/>
  <c r="K63" i="4" s="1"/>
  <c r="K62" i="4"/>
  <c r="K61" i="4"/>
  <c r="K60" i="4"/>
  <c r="K59" i="4"/>
  <c r="K57" i="4"/>
  <c r="C57" i="4"/>
  <c r="B57" i="4"/>
  <c r="C56" i="4"/>
  <c r="B56" i="4"/>
  <c r="K51" i="4"/>
  <c r="C51" i="4"/>
  <c r="B51" i="4"/>
  <c r="K48" i="4"/>
  <c r="I47" i="4"/>
  <c r="K47" i="4" s="1"/>
  <c r="K46" i="4"/>
  <c r="K45" i="4"/>
  <c r="K44" i="4"/>
  <c r="K43" i="4"/>
  <c r="K41" i="4"/>
  <c r="C41" i="4"/>
  <c r="B41" i="4"/>
  <c r="F38" i="4"/>
  <c r="K38" i="4" s="1"/>
  <c r="K39" i="4" s="1"/>
  <c r="L36" i="4" s="1"/>
  <c r="K36" i="4"/>
  <c r="C36" i="4"/>
  <c r="B36" i="4"/>
  <c r="C35" i="4"/>
  <c r="B35" i="4"/>
  <c r="K32" i="4"/>
  <c r="K33" i="4" s="1"/>
  <c r="L30" i="4" s="1"/>
  <c r="K30" i="4"/>
  <c r="C30" i="4"/>
  <c r="B30" i="4"/>
  <c r="C29" i="4"/>
  <c r="B29" i="4"/>
  <c r="K26" i="4"/>
  <c r="K25" i="4"/>
  <c r="K23" i="4"/>
  <c r="C23" i="4"/>
  <c r="B23" i="4"/>
  <c r="K20" i="4"/>
  <c r="K21" i="4" s="1"/>
  <c r="L18" i="4" s="1"/>
  <c r="K18" i="4"/>
  <c r="C18" i="4"/>
  <c r="B18" i="4"/>
  <c r="K15" i="4"/>
  <c r="K16" i="4" s="1"/>
  <c r="L13" i="4" s="1"/>
  <c r="K13" i="4"/>
  <c r="C13" i="4"/>
  <c r="B13" i="4"/>
  <c r="C12" i="4"/>
  <c r="B12" i="4"/>
  <c r="G8" i="4"/>
  <c r="C8" i="4"/>
  <c r="J7" i="4"/>
  <c r="G7" i="4"/>
  <c r="D7" i="4"/>
  <c r="D2" i="4"/>
  <c r="L20" i="25" l="1"/>
  <c r="D196" i="16"/>
  <c r="D198" i="16" s="1"/>
  <c r="E6" i="21" s="1"/>
  <c r="I86" i="16"/>
  <c r="K780" i="4"/>
  <c r="L776" i="4" s="1"/>
  <c r="K705" i="4"/>
  <c r="K787" i="4"/>
  <c r="L782" i="4" s="1"/>
  <c r="K194" i="4"/>
  <c r="L190" i="4" s="1"/>
  <c r="E16" i="2" s="1"/>
  <c r="K228" i="4"/>
  <c r="K495" i="4"/>
  <c r="L490" i="4" s="1"/>
  <c r="K120" i="4"/>
  <c r="L113" i="4" s="1"/>
  <c r="K154" i="4"/>
  <c r="L150" i="4" s="1"/>
  <c r="K503" i="4"/>
  <c r="L498" i="4" s="1"/>
  <c r="K515" i="4"/>
  <c r="L510" i="4" s="1"/>
  <c r="K521" i="4"/>
  <c r="L517" i="4" s="1"/>
  <c r="K549" i="4"/>
  <c r="L545" i="4" s="1"/>
  <c r="K577" i="4"/>
  <c r="L573" i="4" s="1"/>
  <c r="K602" i="4"/>
  <c r="L598" i="4" s="1"/>
  <c r="K27" i="4"/>
  <c r="L23" i="4" s="1"/>
  <c r="K74" i="4"/>
  <c r="L67" i="4" s="1"/>
  <c r="G53" i="4" s="1"/>
  <c r="K83" i="4"/>
  <c r="L76" i="4" s="1"/>
  <c r="H53" i="4" s="1"/>
  <c r="K111" i="4"/>
  <c r="L106" i="4" s="1"/>
  <c r="I124" i="4"/>
  <c r="K124" i="4" s="1"/>
  <c r="I125" i="4"/>
  <c r="K125" i="4" s="1"/>
  <c r="I126" i="4"/>
  <c r="K126" i="4" s="1"/>
  <c r="I127" i="4"/>
  <c r="K127" i="4" s="1"/>
  <c r="I128" i="4"/>
  <c r="K128" i="4" s="1"/>
  <c r="K136" i="4"/>
  <c r="L131" i="4" s="1"/>
  <c r="K148" i="4"/>
  <c r="L144" i="4" s="1"/>
  <c r="K187" i="4"/>
  <c r="L182" i="4" s="1"/>
  <c r="K236" i="4"/>
  <c r="L230" i="4" s="1"/>
  <c r="K429" i="4"/>
  <c r="L425" i="4" s="1"/>
  <c r="K458" i="4"/>
  <c r="L454" i="4" s="1"/>
  <c r="K465" i="4"/>
  <c r="L460" i="4" s="1"/>
  <c r="K488" i="4"/>
  <c r="L483" i="4" s="1"/>
  <c r="K65" i="4"/>
  <c r="L57" i="4" s="1"/>
  <c r="K49" i="4"/>
  <c r="L41" i="4" s="1"/>
  <c r="F53" i="4" s="1"/>
  <c r="K399" i="4"/>
  <c r="L392" i="4" s="1"/>
  <c r="K408" i="4"/>
  <c r="L401" i="4" s="1"/>
  <c r="K417" i="4"/>
  <c r="L410" i="4" s="1"/>
  <c r="K423" i="4"/>
  <c r="L419" i="4" s="1"/>
  <c r="K435" i="4"/>
  <c r="L431" i="4" s="1"/>
  <c r="K527" i="4"/>
  <c r="L523" i="4" s="1"/>
  <c r="K555" i="4"/>
  <c r="L551" i="4" s="1"/>
  <c r="K583" i="4"/>
  <c r="L579" i="4" s="1"/>
  <c r="L697" i="4" l="1"/>
  <c r="K720" i="4" s="1"/>
  <c r="L717" i="4" s="1"/>
  <c r="E26" i="2"/>
  <c r="H15" i="16"/>
  <c r="K53" i="4"/>
  <c r="K54" i="4" s="1"/>
  <c r="L51" i="4" s="1"/>
  <c r="K129" i="4"/>
  <c r="L122" i="4" s="1"/>
  <c r="H11" i="2"/>
  <c r="G25" i="2" s="1"/>
  <c r="H25" i="2" s="1"/>
  <c r="D21" i="25" l="1"/>
  <c r="G57" i="2"/>
  <c r="H57" i="2" s="1"/>
  <c r="G29" i="2"/>
  <c r="H29" i="2" s="1"/>
  <c r="G35" i="2"/>
  <c r="H35" i="2" s="1"/>
  <c r="G42" i="2"/>
  <c r="H42" i="2" s="1"/>
  <c r="G18" i="2"/>
  <c r="H18" i="2" s="1"/>
  <c r="G20" i="2"/>
  <c r="H20" i="2" s="1"/>
  <c r="G23" i="2"/>
  <c r="H23" i="2" s="1"/>
  <c r="G26" i="2"/>
  <c r="H26" i="2" s="1"/>
  <c r="G28" i="2"/>
  <c r="H28" i="2" s="1"/>
  <c r="G33" i="2"/>
  <c r="H33" i="2" s="1"/>
  <c r="G38" i="2"/>
  <c r="H38" i="2" s="1"/>
  <c r="G40" i="2"/>
  <c r="H40" i="2" s="1"/>
  <c r="G45" i="2"/>
  <c r="H45" i="2" s="1"/>
  <c r="H44" i="2" s="1"/>
  <c r="G48" i="2"/>
  <c r="H48" i="2" s="1"/>
  <c r="G52" i="2"/>
  <c r="H52" i="2" s="1"/>
  <c r="G56" i="2"/>
  <c r="H56" i="2" s="1"/>
  <c r="G17" i="2"/>
  <c r="H17" i="2" s="1"/>
  <c r="G19" i="2"/>
  <c r="H19" i="2" s="1"/>
  <c r="G24" i="2"/>
  <c r="H24" i="2" s="1"/>
  <c r="G27" i="2"/>
  <c r="H27" i="2" s="1"/>
  <c r="G32" i="2"/>
  <c r="G34" i="2"/>
  <c r="H34" i="2" s="1"/>
  <c r="G39" i="2"/>
  <c r="H39" i="2" s="1"/>
  <c r="G41" i="2"/>
  <c r="H41" i="2" s="1"/>
  <c r="G49" i="2"/>
  <c r="H49" i="2" s="1"/>
  <c r="G53" i="2"/>
  <c r="H53" i="2" s="1"/>
  <c r="G16" i="2"/>
  <c r="H16" i="2" s="1"/>
  <c r="J23" i="25" l="1"/>
  <c r="J35" i="25" s="1"/>
  <c r="K23" i="25"/>
  <c r="K35" i="25" s="1"/>
  <c r="F23" i="25"/>
  <c r="I23" i="25"/>
  <c r="I35" i="25" s="1"/>
  <c r="G23" i="25"/>
  <c r="H23" i="25"/>
  <c r="H55" i="2"/>
  <c r="H22" i="2"/>
  <c r="H51" i="2"/>
  <c r="H47" i="2"/>
  <c r="H15" i="2"/>
  <c r="H37" i="2"/>
  <c r="L23" i="25" l="1"/>
  <c r="H32" i="2"/>
  <c r="H31" i="2" l="1"/>
  <c r="H59" i="2" s="1"/>
  <c r="E2" i="21" s="1"/>
  <c r="E10" i="21" s="1"/>
  <c r="D9" i="25" l="1"/>
  <c r="H11" i="25" l="1"/>
  <c r="H35" i="25" s="1"/>
  <c r="F11" i="25"/>
  <c r="G11" i="25"/>
  <c r="G35" i="25" s="1"/>
  <c r="D36" i="25"/>
  <c r="K33" i="25" l="1"/>
  <c r="I33" i="25"/>
  <c r="J33" i="25"/>
  <c r="L11" i="25"/>
  <c r="F35" i="25"/>
  <c r="G33" i="25"/>
  <c r="H33" i="25"/>
  <c r="F36" i="25" l="1"/>
  <c r="L35" i="25"/>
  <c r="F33" i="25"/>
  <c r="L33" i="25" l="1"/>
  <c r="F34" i="25"/>
  <c r="G36" i="25"/>
  <c r="H36" i="25" s="1"/>
  <c r="I36" i="25" s="1"/>
  <c r="J36" i="25" s="1"/>
  <c r="K36" i="25" s="1"/>
  <c r="L36" i="25" l="1"/>
  <c r="G34" i="25"/>
  <c r="H34" i="25" s="1"/>
  <c r="I34" i="25" s="1"/>
  <c r="J34" i="25" s="1"/>
  <c r="K34" i="25" s="1"/>
  <c r="L34" i="25" l="1"/>
  <c r="C774" i="6"/>
  <c r="C632" i="6"/>
  <c r="C634" i="6" s="1"/>
  <c r="C738" i="6"/>
  <c r="C640" i="6"/>
  <c r="C642" i="6" s="1"/>
</calcChain>
</file>

<file path=xl/sharedStrings.xml><?xml version="1.0" encoding="utf-8"?>
<sst xmlns="http://schemas.openxmlformats.org/spreadsheetml/2006/main" count="16738" uniqueCount="1642">
  <si>
    <t>DATA:</t>
  </si>
  <si>
    <t>TABELA DE REFERÊNCIA:</t>
  </si>
  <si>
    <t>BDI:</t>
  </si>
  <si>
    <t>QUANT</t>
  </si>
  <si>
    <t>1.0</t>
  </si>
  <si>
    <t>SERVIÇOS PRELIMINARES</t>
  </si>
  <si>
    <t>1.1</t>
  </si>
  <si>
    <t>M2</t>
  </si>
  <si>
    <t>DEMOLIÇÃO DE REVESTIMENTO CERÂMICO, DE FORMA MANUAL, SEM REAPROVEITAMENTO. AF_12/2017</t>
  </si>
  <si>
    <t>98524/SINAPI</t>
  </si>
  <si>
    <t>LIMPEZA MANUAL DE VEGETAÇÃO EM TERRENO COM ENXADA.AF_05/2018</t>
  </si>
  <si>
    <t>2.0</t>
  </si>
  <si>
    <t>2.1</t>
  </si>
  <si>
    <t>3.0</t>
  </si>
  <si>
    <t>3.1</t>
  </si>
  <si>
    <t>M3</t>
  </si>
  <si>
    <t>97631 / SINAPI</t>
  </si>
  <si>
    <t xml:space="preserve">PLANILHA ORÇAMENTÁRIA </t>
  </si>
  <si>
    <t>CODIGO/FONTE</t>
  </si>
  <si>
    <t>ITENS</t>
  </si>
  <si>
    <t>DESCRIÇÃO</t>
  </si>
  <si>
    <t>UND</t>
  </si>
  <si>
    <t>QUANT.</t>
  </si>
  <si>
    <t>UNIT.S/ BDI</t>
  </si>
  <si>
    <t>UNIT. C/ BDI</t>
  </si>
  <si>
    <t>TOTAL</t>
  </si>
  <si>
    <t>1.</t>
  </si>
  <si>
    <t>DEMOLIÇÃO DE ARGAMASSAS, DE FORMA MANUAL, SEM REAPROVEITAMENTO. AF_12/ 2017</t>
  </si>
  <si>
    <t>97633 / SINAPI</t>
  </si>
  <si>
    <t>1.2</t>
  </si>
  <si>
    <t>M²</t>
  </si>
  <si>
    <t>1.3</t>
  </si>
  <si>
    <t>2.</t>
  </si>
  <si>
    <t>3.</t>
  </si>
  <si>
    <t>PINTURA</t>
  </si>
  <si>
    <t>3.2</t>
  </si>
  <si>
    <t>88489 / SINAPI</t>
  </si>
  <si>
    <t>3.3</t>
  </si>
  <si>
    <t>APLICAÇÃO MANUAL DE PINTURA COM TINTA LÁTEX ACRÍLICA EM PAREDES, DUAS DEMÃOS.</t>
  </si>
  <si>
    <t>3.4</t>
  </si>
  <si>
    <t>APLICAÇÃO MECÂNICA DE PINTURA COM TINTA LÁTEX PVA EM TETO, DUAS DEMÃOS</t>
  </si>
  <si>
    <t>PINTURA COM TINTA ALQUÍDICA DE ACABAMENTO (ESMALTE SINTÉTICO BRILHANTE) APLICADA A ROLO OU PINCEL SOBRE PERFIL METÁLICO EXECUTADO EM FÁBRICA (POR DEMÃO). AF_01/2020</t>
  </si>
  <si>
    <t>4.</t>
  </si>
  <si>
    <t>REVESTIMENTO</t>
  </si>
  <si>
    <t>87878/SINAPI</t>
  </si>
  <si>
    <t>4.1</t>
  </si>
  <si>
    <t>CHAPISCO APLICADO EM ALVENARIAS E ESTRUTURAS DE CONCRETO INTERNAS, COM COLHER DE PEDREIRO. ARGAMASSA TRAÇO 1:3 COM PREPARO MANUAL.</t>
  </si>
  <si>
    <t>87529 / SINAPI</t>
  </si>
  <si>
    <t>MASSA ÚNICA, PARA RECEBIMENTO DE PINTURA, EM ARGAMASSA TRAÇO 1:2:8, PREPARO MECÂNICO COM BETONEIRA 400L, APLICADA MANUALMENTE EM FACES INTERNAS DE PAREDES, ESPESSURA DE 20MM, COM EXECUÇÃO DE TALISCAS. AF_06/2014</t>
  </si>
  <si>
    <t>87275 / SINAPI</t>
  </si>
  <si>
    <t>4.3</t>
  </si>
  <si>
    <t>REVESTIMENTO CERÂMICO PARA PAREDES INTERNAS COM PLACAS TIPO ESMALTADA EXTRA DE DIMENSÕES 33X45 CM APLICADAS EM AMBIENTES DE ÁREA MAIOR QUE 5 M² A MEIA ALTURA DAS PAREDES. AF_06/2014</t>
  </si>
  <si>
    <t>5.</t>
  </si>
  <si>
    <t>ESQUADRIAS</t>
  </si>
  <si>
    <t>5.1</t>
  </si>
  <si>
    <t>5.2</t>
  </si>
  <si>
    <t>6.</t>
  </si>
  <si>
    <t>COBERTA</t>
  </si>
  <si>
    <t>100330 / SINAPI</t>
  </si>
  <si>
    <t>6.1</t>
  </si>
  <si>
    <t>RETIRADA E RECOLOCAÇÃO DE TELHA CERÂMICA CAPA-CANAL, COM ATÉ DUAS ÁGUAS, INCLUSO IÇAMENTO. AF_07/2019</t>
  </si>
  <si>
    <t>6.2</t>
  </si>
  <si>
    <t>7.</t>
  </si>
  <si>
    <t>INTALAÇÕES HIDROSANITÁRIAS</t>
  </si>
  <si>
    <t>7.1</t>
  </si>
  <si>
    <t>8.</t>
  </si>
  <si>
    <t>INSTALAÇÕES ELÉTRICAS</t>
  </si>
  <si>
    <t>93141 / SINAPI</t>
  </si>
  <si>
    <t>8.1</t>
  </si>
  <si>
    <t>PONTO DE TOMADA RESIDENCIAL INCLUINDO TOMADA 10A/250V, CAIXA ELÉTRICA, ELETRODUTO, CABO, RASGO, QUEBRA E CHUMBAMENTO. AF_01/2016</t>
  </si>
  <si>
    <t>97610 / SINAPI</t>
  </si>
  <si>
    <t>LÂMPADA COMPACTA DE LED 10 W, BASE E27 - FORNECIMENTO E INSTALAÇÃO. AF_02/2020</t>
  </si>
  <si>
    <t>9.</t>
  </si>
  <si>
    <t>DIVERSOS</t>
  </si>
  <si>
    <t>99837 / SINAPI</t>
  </si>
  <si>
    <t>9.1</t>
  </si>
  <si>
    <t xml:space="preserve">GUARDA-CORPO DE AÇO GALVANIZADO DE 1,10M, MONTANTES TUBULARES DE 1.1/4 M " ESPAÇADOS DE 1,20M, TRAVESSA SUPERIOR DE 1.1/2", GRADIL FORMADO POR TUBOS HORIZONTAIS DE 1" E VERTICAIS DE 3/4", FIXADO COM CHUMBADOR MECÂNICO. AF_04/2019_P </t>
  </si>
  <si>
    <t>M</t>
  </si>
  <si>
    <t xml:space="preserve">TOTAL </t>
  </si>
  <si>
    <t>1.4</t>
  </si>
  <si>
    <t>TABELA DE REFERENCIA:</t>
  </si>
  <si>
    <t>87757/SINAPI</t>
  </si>
  <si>
    <t>CONTRAPISO EM ARGAMASSA TRAÇO 1:4 (CIMENTO E AREIA), PREPARO MANUAL, APLICADO EM ÁREAS MOLHADAS SOBRE IMPERMEABILIZAÇÃO, ESPESSURA 3CM. AF_06/2014</t>
  </si>
  <si>
    <t>100744/SINAPI</t>
  </si>
  <si>
    <t>COMPOSIÇÃO 01</t>
  </si>
  <si>
    <t>5.3</t>
  </si>
  <si>
    <t>FORNECIMENTO E ASSENTAMENTO DE FERROLHO / FECHO CHATO, DE SOBREPOR, EM FERRO ZINCADO, REFORCADO, 6", COM PORTA CADEADO, PARA PORTAO, PORTA E JANELA</t>
  </si>
  <si>
    <t>90822 / SINAPI</t>
  </si>
  <si>
    <t>PORTA DE MADEIRA PARA PINTURA, SEMI-OCA (LEVE OU MÉDIA), 80X210CM, ESPESSURA DE 3,5CM, INCLUSO DOBRADIÇAS - FORNECIMENTO E INSTALAÇÃO. AF_12/2019</t>
  </si>
  <si>
    <t>CAIXA D´ÁGUA EM POLIETILENO, 1000 LITROS, COM ACESSÓRIOS</t>
  </si>
  <si>
    <t>CAIXA COM VAZAMENTOS</t>
  </si>
  <si>
    <t>ÁREA LATERAL DA ESCOLA - PARA REGULARIZAR</t>
  </si>
  <si>
    <t>DEMOLIÇAO DE ARGAMASSA COZINHA</t>
  </si>
  <si>
    <t>DEMOLIÇAO DE CERAMICA NA COZINHA</t>
  </si>
  <si>
    <t>DEMOLIÇÃO ÁREA LATERAL ONDE VAI SER O ATERRO</t>
  </si>
  <si>
    <t>PINTURA GERAL</t>
  </si>
  <si>
    <t>DEPOSITO AO LADO DA COZINHA</t>
  </si>
  <si>
    <t>COZINHA</t>
  </si>
  <si>
    <t>REVISÃO DE ESQUADRIA DE FERRO</t>
  </si>
  <si>
    <t>REVISÃO DE ESQUEDRIA DE MADEIRA</t>
  </si>
  <si>
    <t>ÁREA DO PROJETO/COBERTA COMPLETA</t>
  </si>
  <si>
    <t>7.2</t>
  </si>
  <si>
    <t>REVISÃO DE ESGOTO</t>
  </si>
  <si>
    <t>MEMÓRIA DE CÁLCULO</t>
  </si>
  <si>
    <t>ENCARGOS SOCIAIS:</t>
  </si>
  <si>
    <t xml:space="preserve">BDI: </t>
  </si>
  <si>
    <t>TOTAL:</t>
  </si>
  <si>
    <t>ENG. RESP.:</t>
  </si>
  <si>
    <t>FABRÍCIO VALÉRIO FERREIRA DE LIMA</t>
  </si>
  <si>
    <t>CREA.:</t>
  </si>
  <si>
    <t>1616767308</t>
  </si>
  <si>
    <t>ALT.</t>
  </si>
  <si>
    <t>LARG.</t>
  </si>
  <si>
    <t>COMPR.</t>
  </si>
  <si>
    <t>DESC.</t>
  </si>
  <si>
    <t>Placa de obra</t>
  </si>
  <si>
    <t>QUANTIDADE TOTAL</t>
  </si>
  <si>
    <t>ÁREA</t>
  </si>
  <si>
    <t>Área total do terreno, quantitativo obtido pelo projeto arquitetonico</t>
  </si>
  <si>
    <t>Área da edificação</t>
  </si>
  <si>
    <t>Aparelhos de ginástica</t>
  </si>
  <si>
    <t>Muro atual da escola</t>
  </si>
  <si>
    <t>Regularização do terreno</t>
  </si>
  <si>
    <t>Alv frente e fundo banheiro</t>
  </si>
  <si>
    <t>Alv laterais</t>
  </si>
  <si>
    <t>Alv div do banheiro pro depósito</t>
  </si>
  <si>
    <t>Alv div banheiro masc e fem</t>
  </si>
  <si>
    <t>Amarração do pilar</t>
  </si>
  <si>
    <t>Blocos de fundação</t>
  </si>
  <si>
    <t>Escavado</t>
  </si>
  <si>
    <t>Pedra Arg</t>
  </si>
  <si>
    <t>Alv. Embas.</t>
  </si>
  <si>
    <t>Lastro</t>
  </si>
  <si>
    <t>PES. ESP.</t>
  </si>
  <si>
    <t xml:space="preserve">Adotado sapata de 60x60cm, 10 barras de 10mm com 82cm cada </t>
  </si>
  <si>
    <t>Adotado sapata de 60x60x60cm</t>
  </si>
  <si>
    <t>LADOS</t>
  </si>
  <si>
    <t>Cinta inferior</t>
  </si>
  <si>
    <t>Pilar 19x19cm</t>
  </si>
  <si>
    <t>Pilar 15x40m</t>
  </si>
  <si>
    <t>Pilar 19x19cm (compr. * 4 barras)</t>
  </si>
  <si>
    <t>Pilar 15x40m (compr. * 6 barras)</t>
  </si>
  <si>
    <t>Viga 15x25m (compr. * 4 barras)</t>
  </si>
  <si>
    <t>Alt/Espaçam</t>
  </si>
  <si>
    <t>Mts Lineares</t>
  </si>
  <si>
    <t>Pilar 19x19cm (estribos 20cm espaç)</t>
  </si>
  <si>
    <t>Pilar 15x40m (estribos 20 cm espaç)</t>
  </si>
  <si>
    <t>Viga 15x25m (estribos 20 cm espaç)</t>
  </si>
  <si>
    <t>Lados</t>
  </si>
  <si>
    <t>Viga 15x25cm</t>
  </si>
  <si>
    <t>Laje 1º pav e coberta</t>
  </si>
  <si>
    <t>Laje para caixas d'água</t>
  </si>
  <si>
    <t>Laje de coberta</t>
  </si>
  <si>
    <t>Acesso para as caixas d'agua</t>
  </si>
  <si>
    <t>PERÍMETRO</t>
  </si>
  <si>
    <t>Perímetro</t>
  </si>
  <si>
    <t>Laterais</t>
  </si>
  <si>
    <t>Divisória banheiro</t>
  </si>
  <si>
    <t>6.0</t>
  </si>
  <si>
    <t>Paredes de fundo e de frente</t>
  </si>
  <si>
    <t>Paredes internas</t>
  </si>
  <si>
    <t>Divisorias banheiros</t>
  </si>
  <si>
    <t>vermelho</t>
  </si>
  <si>
    <t>medição anterior</t>
  </si>
  <si>
    <t>Frente dos banheiros</t>
  </si>
  <si>
    <t>Espaço vivência</t>
  </si>
  <si>
    <t>Portas de entrada</t>
  </si>
  <si>
    <t>Depósito</t>
  </si>
  <si>
    <t>Banheiro masculino</t>
  </si>
  <si>
    <t>Banheiro masculino - complemento</t>
  </si>
  <si>
    <t>Banheiro feminino</t>
  </si>
  <si>
    <t>Banheiro feminino - complemento</t>
  </si>
  <si>
    <t>Paredes de fundo e de frente caixa dágua</t>
  </si>
  <si>
    <t>Laterais caixa dágua</t>
  </si>
  <si>
    <t>Escavação para fixação dos tubos</t>
  </si>
  <si>
    <t>Fixação dos tubos</t>
  </si>
  <si>
    <t>Vertical</t>
  </si>
  <si>
    <t>Horizontal</t>
  </si>
  <si>
    <t>Raio</t>
  </si>
  <si>
    <t>Bases Horizontais</t>
  </si>
  <si>
    <t>Tipo 1</t>
  </si>
  <si>
    <t>Tipo 2</t>
  </si>
  <si>
    <t>Tipo 3</t>
  </si>
  <si>
    <t>Escavação para fixação dos tubos 1</t>
  </si>
  <si>
    <t>Escavação para fixação dos tubos 2</t>
  </si>
  <si>
    <t>Escavação para fixação dos tubos 3</t>
  </si>
  <si>
    <t>Para fixação dos tubos 1</t>
  </si>
  <si>
    <t>Para fixação dos tubos 2</t>
  </si>
  <si>
    <t>Para fixação dos tubos 3</t>
  </si>
  <si>
    <t>Tubos verticais</t>
  </si>
  <si>
    <t>Tubos horizontais</t>
  </si>
  <si>
    <t>Para fixação dos tubos</t>
  </si>
  <si>
    <t>BANCOS DE APOIO</t>
  </si>
  <si>
    <t xml:space="preserve">PRANCHAS </t>
  </si>
  <si>
    <t>banheiro masculino</t>
  </si>
  <si>
    <t>ATERRO COM AREIA FINA, COMPACTADO MECANICAMENTE, INCLUSIVE AQUISIÇÃO EM DEPOSITO DE MATERIAL, EXCLUSIVE TRANSPORTE - REV.03</t>
  </si>
  <si>
    <t>1.5</t>
  </si>
  <si>
    <t>4.0</t>
  </si>
  <si>
    <t>4.2</t>
  </si>
  <si>
    <t>5.0</t>
  </si>
  <si>
    <t>5.4</t>
  </si>
  <si>
    <t>7.0</t>
  </si>
  <si>
    <t>8.2</t>
  </si>
  <si>
    <t>ÁREA LATERAL</t>
  </si>
  <si>
    <t>ÁREA LATERAL 01</t>
  </si>
  <si>
    <t>ÁREA LATERAL 02</t>
  </si>
  <si>
    <t>ÁREA FOSSA</t>
  </si>
  <si>
    <t>ÁREA FRENTE</t>
  </si>
  <si>
    <t>SALA DE ARQUIVO</t>
  </si>
  <si>
    <t>FERROLHOS</t>
  </si>
  <si>
    <t>PORTAS</t>
  </si>
  <si>
    <t>GRADES</t>
  </si>
  <si>
    <t>JANELAS 2x1,10</t>
  </si>
  <si>
    <t>PORTAS 1X2,10</t>
  </si>
  <si>
    <t>PORTAS 0,80X2,10</t>
  </si>
  <si>
    <t>COBERTA AREA DE PROJETO</t>
  </si>
  <si>
    <t>CAIXA D´ÁGUA EM POLIETILENO 1000L</t>
  </si>
  <si>
    <t>PONTOS</t>
  </si>
  <si>
    <t>CORREDOR E SALAS</t>
  </si>
  <si>
    <t>ENTRADA PRINCIPAL DA ESCOLA</t>
  </si>
  <si>
    <t>Resp. Técnico</t>
  </si>
  <si>
    <t>JOSÉ CLAUDIO ANDRÉ FILHO</t>
  </si>
  <si>
    <t>MURO EXTETRNO</t>
  </si>
  <si>
    <t>FACHADA FRONTAL EXTERNO</t>
  </si>
  <si>
    <t>FACHADA SUL EXTERNO</t>
  </si>
  <si>
    <t>FACHADA LATERAL EXTERNO</t>
  </si>
  <si>
    <t>FACHADA LATERAL 02 EXTERNO</t>
  </si>
  <si>
    <t>FRENTE LATERAL ENCOSTADO AO MURO EXTERNO</t>
  </si>
  <si>
    <t>BWC LATERAL EXTETRNO</t>
  </si>
  <si>
    <t>LATERAL ENCOSTADO AO MURO EXTERNO ESQUERDO EXTERNO</t>
  </si>
  <si>
    <t>BWC FRENTE EXTERNO</t>
  </si>
  <si>
    <t>ESCADA</t>
  </si>
  <si>
    <t>PILAR BWC</t>
  </si>
  <si>
    <t xml:space="preserve">PILAR </t>
  </si>
  <si>
    <t>PINTURA GERAL EXTERNA</t>
  </si>
  <si>
    <t>SALA DE AULA 01 + BIBLIOTECA</t>
  </si>
  <si>
    <t>DIRETORIA</t>
  </si>
  <si>
    <t>BWC</t>
  </si>
  <si>
    <t>SALA DE AULA 02</t>
  </si>
  <si>
    <t>SALA DE AULA 03</t>
  </si>
  <si>
    <t>SECRETARIA</t>
  </si>
  <si>
    <t>SALA DE AULA 04</t>
  </si>
  <si>
    <t>ARQUIVO</t>
  </si>
  <si>
    <t>SALA DOS PROFESSORES</t>
  </si>
  <si>
    <t>DEPOSITO</t>
  </si>
  <si>
    <t>SALA 01 SUB-SOLO</t>
  </si>
  <si>
    <t>SALA 02 SUB-SOLO</t>
  </si>
  <si>
    <t>SALA 03 SUB-SOLO</t>
  </si>
  <si>
    <t>QUADRO DE COMPOSIÇÃO DA TAXA DE BDI</t>
  </si>
  <si>
    <t xml:space="preserve">MODALIDADE DE LICITAÇÃO:  </t>
  </si>
  <si>
    <t>1. CUSTO DIRETO DA OBRA (CD):</t>
  </si>
  <si>
    <t>2. COMPOSIÇÃO DO CUSTO INDIRETO (CI) QUE INCIDE SOBRE OS CUSTOS DIRETOS (CD)</t>
  </si>
  <si>
    <t>DISCRIMINAÇÃO DOS CUSTOS INDIRETOS (CI)</t>
  </si>
  <si>
    <t>PORCENTAGEM (%) ADOTADA</t>
  </si>
  <si>
    <r>
      <t xml:space="preserve">Custo de Administração Central  </t>
    </r>
    <r>
      <rPr>
        <b/>
        <sz val="10"/>
        <rFont val="Arial"/>
        <family val="2"/>
      </rPr>
      <t>(AC)</t>
    </r>
  </si>
  <si>
    <r>
      <t xml:space="preserve">Custo de Seguro </t>
    </r>
    <r>
      <rPr>
        <b/>
        <sz val="10"/>
        <rFont val="Arial"/>
        <family val="2"/>
      </rPr>
      <t>(S)</t>
    </r>
    <r>
      <rPr>
        <sz val="10"/>
        <rFont val="Arial"/>
        <family val="2"/>
      </rPr>
      <t xml:space="preserve"> e Garantia </t>
    </r>
    <r>
      <rPr>
        <b/>
        <sz val="10"/>
        <rFont val="Arial"/>
        <family val="2"/>
      </rPr>
      <t>(G)</t>
    </r>
  </si>
  <si>
    <r>
      <t xml:space="preserve">Custo de Margem de Incerteza do Empreendimento </t>
    </r>
    <r>
      <rPr>
        <b/>
        <sz val="10"/>
        <rFont val="Arial"/>
        <family val="2"/>
      </rPr>
      <t>(R)</t>
    </r>
  </si>
  <si>
    <r>
      <t xml:space="preserve">Despesas Financeiras </t>
    </r>
    <r>
      <rPr>
        <b/>
        <sz val="10"/>
        <rFont val="Arial"/>
        <family val="2"/>
      </rPr>
      <t>(DF)</t>
    </r>
  </si>
  <si>
    <t>3. COMPOSIÇÃO DO CUSTO INDIRETO (CI) QUE INCIDE SOBRE O PREÇO TOTAL DA OBRA (PT)</t>
  </si>
  <si>
    <r>
      <t xml:space="preserve">Custos Tributários - Total </t>
    </r>
    <r>
      <rPr>
        <b/>
        <sz val="10"/>
        <rFont val="Arial"/>
        <family val="2"/>
      </rPr>
      <t>(T)</t>
    </r>
  </si>
  <si>
    <t xml:space="preserve">           PIS</t>
  </si>
  <si>
    <t xml:space="preserve">           CONFINS</t>
  </si>
  <si>
    <t xml:space="preserve">           ISS</t>
  </si>
  <si>
    <t xml:space="preserve">           CPRB</t>
  </si>
  <si>
    <r>
      <t xml:space="preserve">Margem de Contribuição Bruta - Benefício ou Lucro - </t>
    </r>
    <r>
      <rPr>
        <b/>
        <sz val="10"/>
        <rFont val="Arial"/>
        <family val="2"/>
      </rPr>
      <t>(L)</t>
    </r>
  </si>
  <si>
    <t>Fórmula do BDI</t>
  </si>
  <si>
    <t>Onde:</t>
  </si>
  <si>
    <t>AC: Administração Central</t>
  </si>
  <si>
    <r>
      <rPr>
        <b/>
        <i/>
        <sz val="16"/>
        <rFont val="Arial"/>
        <family val="2"/>
      </rPr>
      <t xml:space="preserve">BDI </t>
    </r>
    <r>
      <rPr>
        <b/>
        <i/>
        <sz val="16"/>
        <rFont val="Calibri"/>
        <family val="2"/>
      </rPr>
      <t xml:space="preserve">= </t>
    </r>
    <r>
      <rPr>
        <b/>
        <i/>
        <u/>
        <sz val="16"/>
        <rFont val="Arial"/>
        <family val="2"/>
      </rPr>
      <t xml:space="preserve">(1 + AC + R + S + G)( 1 + DF)(1 + L) </t>
    </r>
    <r>
      <rPr>
        <b/>
        <i/>
        <sz val="16"/>
        <rFont val="Arial"/>
        <family val="2"/>
      </rPr>
      <t xml:space="preserve">   -  1</t>
    </r>
  </si>
  <si>
    <t>R: Corresponde aos Riscos</t>
  </si>
  <si>
    <t>S: taxa representativa de Seguros</t>
  </si>
  <si>
    <t>G: é a taxa que representa o ônus das garantias exigidas em edital;</t>
  </si>
  <si>
    <t>(1 - T)</t>
  </si>
  <si>
    <t>DF: é a taxa representativa das despesas financeiras;</t>
  </si>
  <si>
    <t>L: corresponde ao lucro/remuneração bruta do construtor</t>
  </si>
  <si>
    <t>I: é a taxa representativa dos tributos incidentes sobre o preço de venda (PIS, Cofins, CPRB e ISS).</t>
  </si>
  <si>
    <t>4. TAXA DE BDI:</t>
  </si>
  <si>
    <t xml:space="preserve">5. PREÇO TOTAL DA OBRA COM BDI(PT = CDx(1+BDI/100))  </t>
  </si>
  <si>
    <t xml:space="preserve">MODALIDADE DA LICITAÇÃO: </t>
  </si>
  <si>
    <t xml:space="preserve">ORÇAMENTISTA: </t>
  </si>
  <si>
    <t xml:space="preserve">DATA:  </t>
  </si>
  <si>
    <t>CUSTOS TRIBUTÁRIOS COM MATERIAL</t>
  </si>
  <si>
    <t>TIPO DE IMPOSTO</t>
  </si>
  <si>
    <t>LUCRO PRESUMIDO(%)</t>
  </si>
  <si>
    <t>PIS - Programa de Integração Social</t>
  </si>
  <si>
    <t>COFINS - Finaciamento da Seguridade Social</t>
  </si>
  <si>
    <t>ISS - Imposto sobre Serviço</t>
  </si>
  <si>
    <t xml:space="preserve">SUB-TOTAL </t>
  </si>
  <si>
    <t>CPRB</t>
  </si>
  <si>
    <t>TOTAL GERAL</t>
  </si>
  <si>
    <t>⁽*⁾ A taxa de incidência do ISS pode ser de 2% a 5%. Foi considerada a taxa cobrada pela PREFEITURA MUNICIPAL DE ITAMBÉ, ou seja, 5% sobre a mão-de-obra e considerada essa última 50% do custo total da obra, logo 5% x 50% = 2,5%.</t>
  </si>
  <si>
    <t>COEF.</t>
  </si>
  <si>
    <t>P.UNIT</t>
  </si>
  <si>
    <t>P.TOTAL</t>
  </si>
  <si>
    <t>FERROLHO / FECHO CHATO, DE SOBREPOR, EM FERRO ZINCADO, REFORCADO, 6", COM PORTA CADEADO, PARA PORTAO, PORTA E JANELA - INCLUI PARAFUSOS</t>
  </si>
  <si>
    <t>CARPINTEIRO DE ESQUADRIA COM ENCARGOS COMPLEMENTARES</t>
  </si>
  <si>
    <t>H</t>
  </si>
  <si>
    <t>Mão de obra</t>
  </si>
  <si>
    <t>Material</t>
  </si>
  <si>
    <t>Equipamento</t>
  </si>
  <si>
    <t>TOTAL (R$)</t>
  </si>
  <si>
    <t>COMPOSIÇÃO 02</t>
  </si>
  <si>
    <t>COMPOSIÇÃO 03</t>
  </si>
  <si>
    <t>REVISÃO DE PONTO DE ESGOTO</t>
  </si>
  <si>
    <t>I 00000122  SINAPI</t>
  </si>
  <si>
    <t>ADESIVO PLASTICO PARA PVC, FRASCO COM 850 GR</t>
  </si>
  <si>
    <t>C 88267 SINAPI</t>
  </si>
  <si>
    <t>ENCANADOR OU BOMBEIRO HIDRÁULICO COM ENCARGOS COMPLEMENTARES</t>
  </si>
  <si>
    <t>C 88316 SINAPI</t>
  </si>
  <si>
    <t>SERVENTE COM ENCARGOS COMPLEMENTARES</t>
  </si>
  <si>
    <t>I 00009836 SINAPI</t>
  </si>
  <si>
    <t>TUBO PVC SERIE NORMAL, DN 100 MM, PARA ESGOTO PREDIAL (NBR 5688)</t>
  </si>
  <si>
    <t>I 00001966 SINAPI</t>
  </si>
  <si>
    <t>CURVA PVC CURTA 90 GRAUS, 100 MM, PARA ESGOTO PREDIAL</t>
  </si>
  <si>
    <t>COMPOSIÇÃO 04</t>
  </si>
  <si>
    <t>COMPOSIÇÃO 05</t>
  </si>
  <si>
    <t>COMPOSIÇÃO 06</t>
  </si>
  <si>
    <t>KG</t>
  </si>
  <si>
    <t>CHAPA DE ACO GALVANIZADA BITOLA GSG 24, E = 0,64 (5,12 KG/M2)</t>
  </si>
  <si>
    <t>SOLDA DE TOPO EM CHAPA/PERFIL/TUBO DE AÇO CHANFRADO, ESPESSURA=1/4''. AF_06/2018</t>
  </si>
  <si>
    <t>AUXILIAR DE SERRALHEIRO COM ENCARGOS COMPLEMENTARES</t>
  </si>
  <si>
    <t>SERRALHEIRO COM ENCARGOS COMPLEMENTARES</t>
  </si>
  <si>
    <t>MOTONIVELADORA POTÊNCIA BÁSICA LÍQUIDA (PRIMEIRA MARCHA) 125 HP, PESO BRUTO 13032 KG, LARGURA DA LÂMINA DE 3,7 M - MATERIAIS NA OPERAÇÃO. AF
_06/2014</t>
  </si>
  <si>
    <t>CAMINHÃO TANQUE 6000L (m. benz - ATEGO 1418/42 - 136,0 hp OU EQUIVALENTE)</t>
  </si>
  <si>
    <t>ROLO COMPACTADOR VIBRATORIO TANDEM, ACO LISO, POTENCIA 125 HP, PESO SE M/COM LASTRO 10,20/11,65 T, LARGURA DE TRABALHO 1,73 M - DEPRECIAÇÃO.
AF_11/2016</t>
  </si>
  <si>
    <t>AREIA FINA - POSTO JAZIDA/FORNECEDOR (RETIRADO NA JAZIDA, SEM TRANSPORTE)</t>
  </si>
  <si>
    <t>REVISÃO DE ESQUADRIA DE MADEIRA</t>
  </si>
  <si>
    <t xml:space="preserve">BATENTE (CAIXÃO) EM MADEIRA DE LEI, L=14cm, COMPLETO, C/ 02 JOGOS DE ALIZAR </t>
  </si>
  <si>
    <t>I 2418</t>
  </si>
  <si>
    <t>DOBRADICA EM ACO/FERRO, 3" X 2 1/2", E= 1,2 A 1,8 MM, SEM ANEL,  CROMADO OU ZINCADO, TAMPA BOLA, COM PARAFUSOS</t>
  </si>
  <si>
    <t>ALIZAR DE 5X1,5CM PARA PORTA FIXADO COM PREGOS, PADRÃO MÉDIO - FORNECIMENTO E INSTALAÇÃO. AF_12/2019</t>
  </si>
  <si>
    <t>PARAFUSO DE METAL 2'' x 12 (SEXTRAVADO)</t>
  </si>
  <si>
    <t>FECHADURA ROSETA REDONDA PARA PORTA INTERNA, EM ACO INOX (MAQUINA, TESTA E CONTRA-TESTA) E EM ZAMAC (MACANETA, LINGUETA E TRINCOS) COM ACABAMENTO CROMADO, MAQUINA DE 40 MM, INCLUINDO CHAVE TIPO INTERNA</t>
  </si>
  <si>
    <t>C 88262</t>
  </si>
  <si>
    <t>CARPINTEIRO DE FORMAS COM ENCARGOS COMPLEMENTARES</t>
  </si>
  <si>
    <t>C 88316</t>
  </si>
  <si>
    <t>ALAVANCA REDONDA 6kg 1'' x 1,5m</t>
  </si>
  <si>
    <t>ÁREA LATEAL AO BWC</t>
  </si>
  <si>
    <t>SALA 01</t>
  </si>
  <si>
    <t>BIBLIOTECA</t>
  </si>
  <si>
    <t>SALA DOS PROFESSOR</t>
  </si>
  <si>
    <t>WC</t>
  </si>
  <si>
    <t>ESQUADRIAS DE FERRO</t>
  </si>
  <si>
    <t>PREPARO DE SUPERFICIE COM LIXAMENO DE PAREDES E TETOS</t>
  </si>
  <si>
    <t>ÁREA TOTAL PINTURA</t>
  </si>
  <si>
    <t>ÁREA GERAL DA PINTURA</t>
  </si>
  <si>
    <t>I 3767</t>
  </si>
  <si>
    <t>LIXA EM FOLHA PARA PAREDE OU MADEIRA, NUMERO 120 (COR VERMELHA)</t>
  </si>
  <si>
    <t>C 88310</t>
  </si>
  <si>
    <t>PINTOR COM ENCARGOS COMPLEMENTARES</t>
  </si>
  <si>
    <t>COMPOSIÇÃO 07</t>
  </si>
  <si>
    <t xml:space="preserve"> TABELA DOS ENCARGOS SOCIAIS - NÃO DESONERADO</t>
  </si>
  <si>
    <t>GRUPO A - ENCARGOS PREVIDENCIÁRIOS</t>
  </si>
  <si>
    <t>ALÍQUOTA  %</t>
  </si>
  <si>
    <t>Código</t>
  </si>
  <si>
    <t>Descrição</t>
  </si>
  <si>
    <t>Horista</t>
  </si>
  <si>
    <t>Mensalista</t>
  </si>
  <si>
    <t>A1</t>
  </si>
  <si>
    <t>PREVIDENCIA SOCIAL (INSS)</t>
  </si>
  <si>
    <t>A2</t>
  </si>
  <si>
    <t xml:space="preserve">SESI </t>
  </si>
  <si>
    <t>A3</t>
  </si>
  <si>
    <t>SENAI</t>
  </si>
  <si>
    <t>A4</t>
  </si>
  <si>
    <t>INCRA</t>
  </si>
  <si>
    <t>A5</t>
  </si>
  <si>
    <t>SEBRAE</t>
  </si>
  <si>
    <t>A6</t>
  </si>
  <si>
    <t>SALÁRIO EDUCAÇÃO</t>
  </si>
  <si>
    <t>A7</t>
  </si>
  <si>
    <t>SEGURO CONTRA ACIDENTES DE TRABALHO</t>
  </si>
  <si>
    <t>A8</t>
  </si>
  <si>
    <t>FGTS</t>
  </si>
  <si>
    <t>A9</t>
  </si>
  <si>
    <t>SECONCI</t>
  </si>
  <si>
    <t>TOTAL DO GRUPO A</t>
  </si>
  <si>
    <t>GRUPO B - ENCARGOS TRABALHISTAS</t>
  </si>
  <si>
    <t>B1</t>
  </si>
  <si>
    <t>REPOUSO SEMANAL REMUNERADO</t>
  </si>
  <si>
    <t>Não incide</t>
  </si>
  <si>
    <t>B2</t>
  </si>
  <si>
    <t>FERIADO</t>
  </si>
  <si>
    <t>B3</t>
  </si>
  <si>
    <t>AUXÍLIO ENFERMIDADE</t>
  </si>
  <si>
    <t>B4</t>
  </si>
  <si>
    <t>13° SALÁRIO</t>
  </si>
  <si>
    <t>B5</t>
  </si>
  <si>
    <t>LICENÇA PATERNIDADE</t>
  </si>
  <si>
    <t>B6</t>
  </si>
  <si>
    <t>FALTAS JUSTIFICADAS</t>
  </si>
  <si>
    <t>B7</t>
  </si>
  <si>
    <t>DIAS DE CHUVA</t>
  </si>
  <si>
    <t>B8</t>
  </si>
  <si>
    <t>AUXÍLIO ACIDENTE DE TRABALHO</t>
  </si>
  <si>
    <t>B9</t>
  </si>
  <si>
    <t>FÉRIAS GOZADAS</t>
  </si>
  <si>
    <t>B10</t>
  </si>
  <si>
    <t>SALÁRIO MATERNIDADE</t>
  </si>
  <si>
    <t>TOTAL DO GRUPO B</t>
  </si>
  <si>
    <t>GRUPO C - OUTROS ENCARGOS TRABALHISTAS</t>
  </si>
  <si>
    <t>C1</t>
  </si>
  <si>
    <t>AVISO PRÉVIO INDENIZADO</t>
  </si>
  <si>
    <t>C2</t>
  </si>
  <si>
    <t>AVISO PRÉVIO TRABALHADO</t>
  </si>
  <si>
    <t>C3</t>
  </si>
  <si>
    <t>FÉRIAS INDENIZADAS</t>
  </si>
  <si>
    <t>C4</t>
  </si>
  <si>
    <t>DEPÓSITO RECISÃO SEM JUSTA CAUSA</t>
  </si>
  <si>
    <t>C5</t>
  </si>
  <si>
    <t>INDENIZAÇÃO ADICIONAL</t>
  </si>
  <si>
    <t>TOTAL DO GRUPO C</t>
  </si>
  <si>
    <t>GRUPO D - INCIDÊNCIA DO GRUPO A NO GRUPO B</t>
  </si>
  <si>
    <t>D1</t>
  </si>
  <si>
    <t xml:space="preserve">Reinsidência de A sobre B </t>
  </si>
  <si>
    <t>D2</t>
  </si>
  <si>
    <t>Reincidências de A-A9 sobre C3</t>
  </si>
  <si>
    <t>TOTAL DO GRUPO D</t>
  </si>
  <si>
    <t>BWC DEFICIENTE</t>
  </si>
  <si>
    <t>ENTRADA PRINCIPAL FRENTE</t>
  </si>
  <si>
    <t>CORREDOR E SALA DE AULA</t>
  </si>
  <si>
    <t xml:space="preserve">SALAS </t>
  </si>
  <si>
    <t>BANHEIRO E PROFESSOR</t>
  </si>
  <si>
    <t>100903 / SINAPI</t>
  </si>
  <si>
    <t>LÂMPADA TUBULAR LED DE 18/20 W, BASE G13 - FORNECIMENTO E INSTALAÇÃO. AF_02/2020_P</t>
  </si>
  <si>
    <t>91958 / SINAPI</t>
  </si>
  <si>
    <t>INTERRUPTOR SIMPLES (2 MÓDULOS), 10A/250V, SEM SUPORTE E SEM PLACA - FORNECIMENTO E INSTALAÇÃO. AF_12/2015</t>
  </si>
  <si>
    <t>91994 / SINAPI</t>
  </si>
  <si>
    <t>TOMADA MÉDIA DE EMBUTIR (1 MÓDULO), 2P+T 10 A, SEM SUPORTE E SEM PLACA - FORNECIMENTO E INSTALAÇÃO. AF_12/2015</t>
  </si>
  <si>
    <t>7.3</t>
  </si>
  <si>
    <t>86906 / SINAPI</t>
  </si>
  <si>
    <t>TORNEIRA CROMADA DE MESA, 1/2 OU 3/4, PARA LAVATÓRIO, PADRÃO POPULAR - FORNECIMENTO E INSTALAÇÃO. AF_01/2020</t>
  </si>
  <si>
    <t>5.6</t>
  </si>
  <si>
    <t>91306 / SINAPI</t>
  </si>
  <si>
    <t>FECHADURA DE EMBUTIR PARA PORTAS INTERNAS, COMPLETA, ACABAMENTO PADRÃO MÉDIO, COM EXECUÇÃO DE FURO - FORNECIMENTO E INSTALAÇÃO. AF_12/2019</t>
  </si>
  <si>
    <t>2.2</t>
  </si>
  <si>
    <t>2.3</t>
  </si>
  <si>
    <t>2.4</t>
  </si>
  <si>
    <t>2.5</t>
  </si>
  <si>
    <t>4.4</t>
  </si>
  <si>
    <t>4.5</t>
  </si>
  <si>
    <t>REVISAO DE ESGOTO</t>
  </si>
  <si>
    <t>INTALAÇÕES ELÉTRICA</t>
  </si>
  <si>
    <t>BWC SUB SOLO</t>
  </si>
  <si>
    <t>BECO LATERAL</t>
  </si>
  <si>
    <t>BWC SUB-SOLO</t>
  </si>
  <si>
    <t>DEMOLIÇÃO DE REBOCO</t>
  </si>
  <si>
    <t>SUB-SOLO COZINHA</t>
  </si>
  <si>
    <t>SUB-SOLO COZINHA E BECO</t>
  </si>
  <si>
    <t xml:space="preserve">DEPOSITO, SALA 11, SALA 05,SALA 07, SALA 04 E BWC SUB SOLO </t>
  </si>
  <si>
    <t>COMPOSIÇÃO 08</t>
  </si>
  <si>
    <t>REVISÃO DE ESTRUTURA METÁLICA EXCLUSIVE  CHUMBAMENTO (ALAMBRADO,GUARDA-CORPO), EXCLUSIVE TELA</t>
  </si>
  <si>
    <t>BASCLANTE EM ALUMINIO, COR N/P/B, MOLDURA-VIDRO, TIPO COVENCIONAL OU PIVOTANTE, EXCLUSIVE VIDRO</t>
  </si>
  <si>
    <t>C 88309</t>
  </si>
  <si>
    <t>PEDREIRO COM ENCARGOS COMPLEMENTARES</t>
  </si>
  <si>
    <t>JANELA DE AÇO TIPO BASCULANTE PARA VIDROS, COM BATENTE, FERRAGENS E PINTURA ANTICORROSIVA. EXCLUSIVE VIDROS, ACABAMENTO, ALIZAR E CONTRAMARC
O. FORNECIMENTO E INSTALAÇÃO. AF_12/2019</t>
  </si>
  <si>
    <t>ARGAMASSA CIMENTO E AREIA TRAÇO T-1 (1:3) - 1 SACO DE CIMENTO 50kg / 3 PADIOLA AREIA DIM. 0.35 x 0.45 x 0.23 m - CONFECÇÃO MECÂNICA E TRANSPORTE</t>
  </si>
  <si>
    <t>COMPOSIÇÃO 09</t>
  </si>
  <si>
    <t>SALAS</t>
  </si>
  <si>
    <t>QUADRO SALA 01</t>
  </si>
  <si>
    <t>JANELAS SALA 03</t>
  </si>
  <si>
    <t>SALA 02</t>
  </si>
  <si>
    <t>SALA 11, SALA DE VIDEO E SALA 06</t>
  </si>
  <si>
    <t xml:space="preserve"> SALA 11</t>
  </si>
  <si>
    <t>SALA DE VIDEO</t>
  </si>
  <si>
    <t>SALA 06</t>
  </si>
  <si>
    <t>PELO PROJETO</t>
  </si>
  <si>
    <t>COZINHA,BWC SUB-SOLO</t>
  </si>
  <si>
    <t>86883 / SINAPI</t>
  </si>
  <si>
    <t>6.3</t>
  </si>
  <si>
    <t>SIFÃO DO TIPO FLEXÍVEL EM PVC 1 X 1.1/2 - FORNECIMENTO E INSTALAÇÃO. AF_01/2020</t>
  </si>
  <si>
    <t>BECO LATERAL E SUBSOLO</t>
  </si>
  <si>
    <t>COZINHA,BWC TERREO</t>
  </si>
  <si>
    <t>COZINHA,BWC SUB-SOLO, BWC TERREO</t>
  </si>
  <si>
    <t>BWC SUB-SOLO,SALA01</t>
  </si>
  <si>
    <t>ESCOLA EM GERAL</t>
  </si>
  <si>
    <t>AREA GERAL</t>
  </si>
  <si>
    <t>AO LADO DA CX D'AGUA</t>
  </si>
  <si>
    <t>AREA QUADRA</t>
  </si>
  <si>
    <t>TUBO DE AÇO GALVANIZADO COM COSTURA, CLASSE MÉDIA, CONEXÃO RANHURADA, DN 65 (2 1/2"), INSTALADO EM PRUMADAS - FORNECIMENTO E INSTALAÇÃO. AF_
10/2020</t>
  </si>
  <si>
    <t>COMPOSIÇÃO 10</t>
  </si>
  <si>
    <t>96111 / SINAPI</t>
  </si>
  <si>
    <t>M1</t>
  </si>
  <si>
    <t>FORRO EM RÉGUAS DE PVC, FRISADO, PARA AMBIENTES RESIDENCIAIS, INCLUSIVE ESTRUTURA DE FIXAÇÃO. AF_05/2017_P</t>
  </si>
  <si>
    <t>100434 / SINAPI</t>
  </si>
  <si>
    <t>6.4</t>
  </si>
  <si>
    <t>CALHA DE BEIRAL, SEMICIRCULAR DE PVC, DIAMETRO 125 MM, INCLUINDO CABECEIRAS, EMENDAS, BOCAIS, SUPORTES E VEDAÇÕES, EXCLUINDO CONDUTORES, INCLUSO TRANSPORTE VERTICAL. AF_07/2019</t>
  </si>
  <si>
    <t>AREA LATERAL BECO</t>
  </si>
  <si>
    <t>MURO EXTERNO</t>
  </si>
  <si>
    <t>LATERAL ESQUERDA</t>
  </si>
  <si>
    <t>LD + PATIO</t>
  </si>
  <si>
    <t>FRENTE +  INFORMATICA E BWC</t>
  </si>
  <si>
    <t>LABORAORIO INF</t>
  </si>
  <si>
    <t>CORDENAÇÃO</t>
  </si>
  <si>
    <t>DIREÇÃO</t>
  </si>
  <si>
    <t>BW PROFESSOR</t>
  </si>
  <si>
    <t>SALA 03</t>
  </si>
  <si>
    <t>SALA DE LEITURA</t>
  </si>
  <si>
    <t>SALA 04</t>
  </si>
  <si>
    <t>SALA 05</t>
  </si>
  <si>
    <t>SALA 07</t>
  </si>
  <si>
    <t>SALA 08</t>
  </si>
  <si>
    <t>SALA 09</t>
  </si>
  <si>
    <t>SALA 10</t>
  </si>
  <si>
    <t>SALA 11</t>
  </si>
  <si>
    <t>SALA DE INF</t>
  </si>
  <si>
    <t>ALMOXARIFADO</t>
  </si>
  <si>
    <t>CANTINA</t>
  </si>
  <si>
    <t>PATIO BWC</t>
  </si>
  <si>
    <t>MURO LATERAL A DIREÇÃO</t>
  </si>
  <si>
    <t>AREA TOTAL</t>
  </si>
  <si>
    <t>TELHAS</t>
  </si>
  <si>
    <t>REVISAO DE BWC</t>
  </si>
  <si>
    <t>TORNEIRAS</t>
  </si>
  <si>
    <t>TOMADAS SALA 06</t>
  </si>
  <si>
    <t>BWC, SUBSOLO E SALA 01</t>
  </si>
  <si>
    <t>IMPERMEABILIZAÇÃO</t>
  </si>
  <si>
    <t>98556 / SINAPI</t>
  </si>
  <si>
    <t>IMPERMEABILIZAÇÃO DE SUPERFÍCIE COM ARGAMASSA POLIMÉRICA / MEMBRANA ACRÍLICA, 4 DEMÃOS, REFORÇADA COM VÉU DE POLIÉSTER (MAV). AF_06/2018</t>
  </si>
  <si>
    <t>CAIXA DAGUA</t>
  </si>
  <si>
    <t>96109 / SINAPI</t>
  </si>
  <si>
    <t>FORRO EM PLACAS DE GESSO, PARA AMBIENTES RESIDENCIAIS. AF_05/2017_P</t>
  </si>
  <si>
    <t>COMPOSIÇÃO 11</t>
  </si>
  <si>
    <t xml:space="preserve"> </t>
  </si>
  <si>
    <t>LATERAL ESCOLA</t>
  </si>
  <si>
    <t>8.3</t>
  </si>
  <si>
    <t>FACHADA</t>
  </si>
  <si>
    <t>IMPERMEABILIZAÇÃO DE SUPERFÍCIE COM ARGAMASSA POLIMÉRICA / MEMBRANA ACRÍLICA, 4 DEMÃOS, REFORÇADA COM VÉU DE POLIÉSTER (MAV). AF_06/2018.</t>
  </si>
  <si>
    <t>ÁREA LATERAL DIREIA</t>
  </si>
  <si>
    <t>ÁREA DOS FUNDOS LATERAL</t>
  </si>
  <si>
    <t>ÁREA LATERAL E FUNDO</t>
  </si>
  <si>
    <t>ÁREA DOS FUNDOS</t>
  </si>
  <si>
    <t>BOMBA</t>
  </si>
  <si>
    <t>SECRETARIA, BOMBA E COZINHA</t>
  </si>
  <si>
    <t>GERAL</t>
  </si>
  <si>
    <t>DIREÇÃO, SECRETARIA E SALAS</t>
  </si>
  <si>
    <t>5.5</t>
  </si>
  <si>
    <t>SALA 05, SALA 06</t>
  </si>
  <si>
    <t>SALA 05 E 06</t>
  </si>
  <si>
    <t>BWC 02</t>
  </si>
  <si>
    <t>DISPENSA</t>
  </si>
  <si>
    <t>86902 / SINAPI</t>
  </si>
  <si>
    <t>LAVATÓRIO LOUÇA BRANCA COM COLUNA, *44 X 35,5* CM, PADRÃO POPULAR - FORNECIMENTO E INSTALAÇÃO. AF_01/2020</t>
  </si>
  <si>
    <t>86910 / SINAPI</t>
  </si>
  <si>
    <t>TORNEIRA CROMADA TUBO MÓVEL, DE PAREDE, 1/2 OU 3/4, PARA PIA DE COZINHA, PADRÃO MÉDIO - FORNECIMENTO E INSTALAÇÃO. AF_01/2020</t>
  </si>
  <si>
    <t>VASO SANITARIO SIFONADO CONVENCIONAL COM  LOUÇA BRANCA - FORNECIMENTO E INSTALAÇÃO. AF_01/2020</t>
  </si>
  <si>
    <t>7.4</t>
  </si>
  <si>
    <t>7.5</t>
  </si>
  <si>
    <t>INTALAÇÕES ELETRICAS</t>
  </si>
  <si>
    <t>8.4</t>
  </si>
  <si>
    <t>TOMADA MÉDIA DE EMBUTIR (1 MÓDULO), 2P+T 10 A, INCLUINDO SUPORTE E PLACA - FORNECIMENTO E INSTALAÇÃO. AF_12/2015</t>
  </si>
  <si>
    <t>91996 / SINAPI</t>
  </si>
  <si>
    <t>92000  / SINAPI</t>
  </si>
  <si>
    <t>TOMADA BAIXA DE EMBUTIR (1 MÓDULO), 2P+T 10 A, INCLUINDO SUPORTE E PLACA - FORNECIMENTO E INSTALAÇÃO. AF_12/2015</t>
  </si>
  <si>
    <t>CISTERNA</t>
  </si>
  <si>
    <t>PATIO</t>
  </si>
  <si>
    <t xml:space="preserve">SALA 03 </t>
  </si>
  <si>
    <t>COZI NHA</t>
  </si>
  <si>
    <t>PATIO, DIREÇÃO,  SALA 04, SALA 03 E COZINHA</t>
  </si>
  <si>
    <t>97592 / SINAPI</t>
  </si>
  <si>
    <t>LUMINÁRIA TIPO PLAFON, DE SOBREPOR, COM 1 LÂMPADA LED DE 12/13 W, SEM REATOR - FORNECIMENTO E INSTALAÇÃO. AF_02/2020</t>
  </si>
  <si>
    <t>MURO</t>
  </si>
  <si>
    <t>ÁREA EXTERNA ESCOLA</t>
  </si>
  <si>
    <t>DIRECAO</t>
  </si>
  <si>
    <t>CORDENACAO</t>
  </si>
  <si>
    <t>SALA 06 E 07</t>
  </si>
  <si>
    <t>RETELHAMENTO</t>
  </si>
  <si>
    <t>SECRETARIA, DISPENSA E SALA 04</t>
  </si>
  <si>
    <t>SALA 01,08 2 BWC 02</t>
  </si>
  <si>
    <t>LATERAL EXTERNA</t>
  </si>
  <si>
    <t>PARTE DOS FUNDOS</t>
  </si>
  <si>
    <t>FRENTE SALAS</t>
  </si>
  <si>
    <t>LATERAL</t>
  </si>
  <si>
    <t>ÁREA INTERNA CORREDOR</t>
  </si>
  <si>
    <t>LATERAL MURO</t>
  </si>
  <si>
    <t>DEMOLIÇAO DE FORROS</t>
  </si>
  <si>
    <t>COMPOSIÇÃO 12</t>
  </si>
  <si>
    <t>DEMOLIÇÃO DE FORROS</t>
  </si>
  <si>
    <t>4.6</t>
  </si>
  <si>
    <t>90823 / SINAPI</t>
  </si>
  <si>
    <t>PORTA DE MADEIRA PARA PINTURA, SEMI-OCA (LEVE OU MÉDIA), 90X210CM, ESPESSURA DE 3,5CM, INCLUSO DOBRADIÇAS - FORNECIMENTO E INSTALAÇÃO. AF_12/2019</t>
  </si>
  <si>
    <t>91010 / SINAPI</t>
  </si>
  <si>
    <t>PORTA DE MADEIRA PARA VERNIZ, SEMI-OCA (LEVE OU MÉDIA), 70X210CM, ESPESSURA DE 3,5CM, INCLUSO DOBRADIÇAS - FORNECIMENTO E INSTALAÇÃO. AF_12/2019</t>
  </si>
  <si>
    <t>86884 / SINAPI</t>
  </si>
  <si>
    <t>6.5</t>
  </si>
  <si>
    <t>6.6</t>
  </si>
  <si>
    <t>ENGATE FLEXÍVEL EM PLÁSTICO BRANCO, 1/2 X 30CM - FORNECIMENTO E INSTALAÇÃO. AF_01/2020</t>
  </si>
  <si>
    <t>ÁREA EXTERNA</t>
  </si>
  <si>
    <t>2.6</t>
  </si>
  <si>
    <t>PINTURA VERNIZ (INCOLOR) ALQUÍDICO EM MADEIRA, USO INTERNO E EXTERNO, 1 DEMÃO. AF_01/2021</t>
  </si>
  <si>
    <t>PATIO,SALA 02,CORREDOR,SALA 05, SALA 06, COZINHHA</t>
  </si>
  <si>
    <t>BWC E SALAS</t>
  </si>
  <si>
    <t>COBERTA PELO PROJETO</t>
  </si>
  <si>
    <t>TODAS AS SALAS</t>
  </si>
  <si>
    <t>PROJETO</t>
  </si>
  <si>
    <t>CAIXA D'AGUA</t>
  </si>
  <si>
    <t>GRADES EXTERNAS</t>
  </si>
  <si>
    <t>FUNDOS E SALAS</t>
  </si>
  <si>
    <t>SALAS E BWC DESATIVADO</t>
  </si>
  <si>
    <t>AREA COMPLETA</t>
  </si>
  <si>
    <t>ESQUADRIAS DE MADEIRA</t>
  </si>
  <si>
    <t>ÁREA GERAL DE PINTURA</t>
  </si>
  <si>
    <t>CX D'AGUA</t>
  </si>
  <si>
    <t>SALAS E PATIO</t>
  </si>
  <si>
    <t>SALAS, PATIO E BWC</t>
  </si>
  <si>
    <t>DISTRIBUIR NOS AMBIENTES</t>
  </si>
  <si>
    <t>BWC, COZINHA</t>
  </si>
  <si>
    <t>BLIBLIOTECA</t>
  </si>
  <si>
    <t>VALOR</t>
  </si>
  <si>
    <t>LIMPEZA GERAL</t>
  </si>
  <si>
    <t>COMPOSIÇÃO 13</t>
  </si>
  <si>
    <t>VASSOURA 40 CM COM CABO</t>
  </si>
  <si>
    <t>I 38400</t>
  </si>
  <si>
    <t>SABÃO EM PÓ</t>
  </si>
  <si>
    <t>MERCADO</t>
  </si>
  <si>
    <t>ÁREA GERAL</t>
  </si>
  <si>
    <t xml:space="preserve">IMPERMEABILIZAÇÃO </t>
  </si>
  <si>
    <t>100744 / SINAPI</t>
  </si>
  <si>
    <t>102218 / SINAPI</t>
  </si>
  <si>
    <t>PINTURA TINTA DE ACABAMENTO (PIGMENTADA) ESMALTE SINTÉTICO FOSCO EM MADEIRA, 2 DEMÃOS. AF_01/2021</t>
  </si>
  <si>
    <t>INSTALAÇÃO DE AR CONDICIONADO  DE AR TIPO SPLIT HIGHT WALL, 12000 BTU</t>
  </si>
  <si>
    <t>COMPOSIÇÃO 14</t>
  </si>
  <si>
    <t>INSTALAÇÃO DE AR CONDICIONADO  DE AR TIPO SPLIT HIGHT WALL, 12000 BTU - CONTEMPLA A MAO DE OBRA, SUPORTE E TUBULAÇÃO ATÉ 3,0 M</t>
  </si>
  <si>
    <t>COMPOSIÇÃO 15</t>
  </si>
  <si>
    <t>ELEVAÇÃO</t>
  </si>
  <si>
    <t>87519 / SINAPI</t>
  </si>
  <si>
    <t>ELEVAÇAO</t>
  </si>
  <si>
    <t>3.5</t>
  </si>
  <si>
    <t>10.</t>
  </si>
  <si>
    <t>10.1</t>
  </si>
  <si>
    <t>8.0</t>
  </si>
  <si>
    <t>9.0</t>
  </si>
  <si>
    <t>10.0</t>
  </si>
  <si>
    <t xml:space="preserve">SISTERNA </t>
  </si>
  <si>
    <t>CISTERNAS</t>
  </si>
  <si>
    <t>ALVENARIA DE VEDAÇÃO DE BLOCOS CERÂMICOS FURADOS NA HORIZONTAL DE 9X19X19CM (ESPESSURA 9CM) DE PAREDES COM ÁREA LÍQUIDA MAIOR OU IGUAL A 6M² COM VÃOS E ARGAMASSA DE ASSENTAMENTO COM PREPARO EM BETONEIRA. AF_06/2014.</t>
  </si>
  <si>
    <t>DEMOLIÇÃO PEDRA CALCÁREA</t>
  </si>
  <si>
    <t>1.6</t>
  </si>
  <si>
    <t>DEMOLIÇÃO DE PEDRA CALCÁREA</t>
  </si>
  <si>
    <t>3.6</t>
  </si>
  <si>
    <t>TODO OBRA</t>
  </si>
  <si>
    <t>TUBO PVP RIÍDO COM PVP DE BORRACHA, SERIE REFORÇADA, P/ ESGOTO E ÁGUAS PLUVIAIS, D = 100MM</t>
  </si>
  <si>
    <t>COMPOSIÇÃO 16</t>
  </si>
  <si>
    <t>PASTA LUBRIFICANTE P PVC JE</t>
  </si>
  <si>
    <t>AREA LATERAL BECO, SALAS</t>
  </si>
  <si>
    <t>DEMOLIÇÃO DE PISO DE ALTA RESISTÊNCIA</t>
  </si>
  <si>
    <t>88503 / SINAPI</t>
  </si>
  <si>
    <t>MADEIRAMENTO</t>
  </si>
  <si>
    <t>REFORMA DE TOLDO  EM LONA ÁGUA E CHUVA</t>
  </si>
  <si>
    <t>LONA SOL E CHUVA</t>
  </si>
  <si>
    <t>TODA A OBRA</t>
  </si>
  <si>
    <t>LOCALIZAÇÃO: QUEBEC</t>
  </si>
  <si>
    <t>100851 / SINAPI</t>
  </si>
  <si>
    <t>ASSENTO SANITÁRIO INFANTIL - FORNECIMENTO E INSTALACAO. AF_01/2020</t>
  </si>
  <si>
    <t>COMPOSIÇÃO 17</t>
  </si>
  <si>
    <t>CAIXA DE MEDIÇÃO DIRETA POLICARBONATO - FORNECIMENTO E INSTALAÇÃO</t>
  </si>
  <si>
    <t>CAIXA DE MEDIÇAO EM POLICARBONATO</t>
  </si>
  <si>
    <t>AUXILIAR DE ELETRICISTA COM ENCARGOS COMPLEMENTARES</t>
  </si>
  <si>
    <t>C 88247 SINAPI</t>
  </si>
  <si>
    <t>C 88264 SINAPI</t>
  </si>
  <si>
    <t>ELETRICISTA COM ENCARGOS COMPLEMENTARES</t>
  </si>
  <si>
    <t>86888 / SINAPI</t>
  </si>
  <si>
    <t>VASO SANITÁRIO SIFONADO COM CAIXA ACOPLADA LOUÇA BRANCA - FORNECIMENTO E INSTALAÇÃO. AF_01/2020</t>
  </si>
  <si>
    <t>TINTA ESMALTE SINTÉTICO (CORALIT OU SIMILAR)</t>
  </si>
  <si>
    <t>COMPOSIÇÃO 18</t>
  </si>
  <si>
    <t>3.7</t>
  </si>
  <si>
    <t>PINTURA DE ACABAMENTO COM APLICAÇÃO DE 02 DEMÃOS DE ESMALTE SOBRE PAREDE (EXTERNO E INTERNO)</t>
  </si>
  <si>
    <t>TODA ÁREA INTERNA ACIMA DE 1,5M</t>
  </si>
  <si>
    <t>TODA ÁREA EXTERNA ACIMA DE 1,5M</t>
  </si>
  <si>
    <t>TODA ÁREA ABAIXO DE 1,50 M</t>
  </si>
  <si>
    <t>TODA ÁREA DO TETO</t>
  </si>
  <si>
    <t>TODA ESTRUTURA METALICA</t>
  </si>
  <si>
    <t>TODA ÁREA DE PINTURA</t>
  </si>
  <si>
    <t>TODA ESQUDRIA DE MADEIRA</t>
  </si>
  <si>
    <t>ÁREA EXTERNA E INTERTA</t>
  </si>
  <si>
    <t>ÁREA EXTERNA E INTERNA</t>
  </si>
  <si>
    <t>97622  / SINAPI</t>
  </si>
  <si>
    <t>DEMOLIÇÃO DE ALVENARIA DE BLOCO FURADO, DE FORMA MANUAL, SEM REAPROVEITAMENTO. AF_12/2017</t>
  </si>
  <si>
    <t>ÁREA EXTERNA,INTERNA E CX D'AUA</t>
  </si>
  <si>
    <t>ÁREA INTERNA EXTERNA E CX  D'GUA</t>
  </si>
  <si>
    <t>BWCS</t>
  </si>
  <si>
    <t>PORTAS DAS SALAS E JANELAS</t>
  </si>
  <si>
    <t>PORTAS DAS SALAS  E JANELAS</t>
  </si>
  <si>
    <t xml:space="preserve">PORTAS </t>
  </si>
  <si>
    <t>PORTAS E ALIZAIS</t>
  </si>
  <si>
    <t>100660 / SINAPI</t>
  </si>
  <si>
    <t>ALIZAR DE 5X1,5CM PARA PORTA FIXADO COM PREGOS, PADRÃO POPULAR - FORNECIMENTO E INSTALAÇÃO. AF_12/2019</t>
  </si>
  <si>
    <t>DIRETORIA, DIREÇAO E ETC</t>
  </si>
  <si>
    <t>MURO FRENTE</t>
  </si>
  <si>
    <t>LIMPEZA DA OBRA</t>
  </si>
  <si>
    <t>ÁREA INTERNA  GERAL ACIMA DE 1,5 M</t>
  </si>
  <si>
    <t>ÁREA EXTERNA E INTERNO GERAL ABAIXO DE 1,2 M</t>
  </si>
  <si>
    <t>ÁREA EXTERNA GERAL ACIMA DE 1,5 M</t>
  </si>
  <si>
    <t>ÁREA DE GRADIL</t>
  </si>
  <si>
    <t>PORTAS E JANELAS</t>
  </si>
  <si>
    <t>ÁREAS MOLHADAS</t>
  </si>
  <si>
    <t>2.7</t>
  </si>
  <si>
    <t>2.8</t>
  </si>
  <si>
    <t>PINTURA ABAIXO DE 1,5 M INTERNO E EXTERNO</t>
  </si>
  <si>
    <t>DIREÇAO</t>
  </si>
  <si>
    <t>CALHAS</t>
  </si>
  <si>
    <t>10.2</t>
  </si>
  <si>
    <t>10.3</t>
  </si>
  <si>
    <t>10.4</t>
  </si>
  <si>
    <t>SECRETARIA DE INFRAESTRUTURA</t>
  </si>
  <si>
    <t>ITEM</t>
  </si>
  <si>
    <t>COMPOSIÇÃO</t>
  </si>
  <si>
    <t>PLACA DE OBRA EM CHAPA DE AÇO GALVANIZADO, INSTALADA</t>
  </si>
  <si>
    <t>M³</t>
  </si>
  <si>
    <t>REATERRO MANUAL DE VALAS COM COMPACTAÇÃO MECANIZADA. AF_04/2016</t>
  </si>
  <si>
    <t>REATOR P/ LÂMPADA VAPOR SODIO 400W, FORNECIMENTO</t>
  </si>
  <si>
    <t>ALAMBRADO PARA QUADRA POLIESPORTIVA, ESTRUTURADO POR TUBOS DE ACO GALVANIZADO, (MONTANTES COM DIAMETRO 2", TRAVESSAS E ESCORAS COM DIÂMETRO 1 ¼), COM TELA DE ARAME GALVANIZADO, FIO 10 BWG E MALHA QUADRADA 5X5CM (EXCETO MURETA). AF_03/2021</t>
  </si>
  <si>
    <t>Tubo de aço galvanizado leve c/ costura c/ rosca BSP Ø = 60,30mm ( 2" ), e = 2,65mm, l = 6000mm NBR 5580</t>
  </si>
  <si>
    <t>TRAVES PARA FUTEBOL SOCIETY 4M, TUBO 4", DESMONTÁVEL, MEDIDAS 4X2,2M, INCLUSIVE REDES.</t>
  </si>
  <si>
    <t>PAR</t>
  </si>
  <si>
    <t>INFRA DIV 004</t>
  </si>
  <si>
    <t>FORNECIMENTO E INSTALAÇÃO DE GRAMA SINTÉTICA 42MM, ALTA DURABILIDADE, COR VERDE, PROTEÇÃO RAIOS UV E LUZ SOLAR, INCLUSO COLA, TYPE, AREIA TRATADA, BORRACHA E MÃO DE OBRA ESPECIALIZADA</t>
  </si>
  <si>
    <t>6.7</t>
  </si>
  <si>
    <t>6.8</t>
  </si>
  <si>
    <t>LIMPEZA FINAL DA OBRA</t>
  </si>
  <si>
    <t>REGULARIZAÇÃO E COMPACTAÇÃO DE SUBLEITO DE SOLO  PREDOMINANTEMENTE ARGILOSO. AF_11/2019</t>
  </si>
  <si>
    <t>INFRA PS 001</t>
  </si>
  <si>
    <t xml:space="preserve">CAPA SELANTE C/ PÓ DE PEDRA </t>
  </si>
  <si>
    <t>PREFEITURA MUNICIPAL DE ITAMBÉ</t>
  </si>
  <si>
    <t>LIMPEZA MECANIZADA DE CAMADA VEGETAL, VEGETAÇÃO E PEQUENAS ÁRVORES (DIÂMETRO DE TRONCO MENOR QUE 0,20 M), COM TRATOR DE ESTEIRAS.AF_05/2018</t>
  </si>
  <si>
    <t>MOVIMENTO DE TERRA</t>
  </si>
  <si>
    <t>CONCRETAGEM DE PILARES, FCK = 25 MPA, COM USO DE GRUA EM EDIFICAÇÃO COM SEÇÃO MÉDIA DE PILARES MAIOR QUE 0,25 M² - LANÇAMENTO, ADENSAMENTO E ACABAMENTO. AF_12/2015</t>
  </si>
  <si>
    <t>INFRA ALV. 001</t>
  </si>
  <si>
    <t>ALVENARIA DE BLOCO CERÂMICO FURADO (9x19x19)cm C/ARGAMASSA MISTA DE CAL HIDRATADA, ESP=9 cm</t>
  </si>
  <si>
    <t>FORNECIMENTO E ASSENTAMENTO DE BRITA 2-DRENOS E FILTROS MM</t>
  </si>
  <si>
    <t>TUBO PVC CORRUGADO PERFURADO 100 MM C/ JUNTA ELASTICA PARA DRENAGEM.</t>
  </si>
  <si>
    <t>EXECUCAO DE DRENO FRANCES COM AREIA MEDIA</t>
  </si>
  <si>
    <t>CAMPO 001</t>
  </si>
  <si>
    <t>FORNECIMENTO E ESPALHAMENTO DE TERRA VEGETAL</t>
  </si>
  <si>
    <t>PLANTIO DE GRAMA ESMERALDA EM ROLO</t>
  </si>
  <si>
    <t>CAMPO 002</t>
  </si>
  <si>
    <t>DEMARCAÇÃO DE CAMPO DE FUTEBOL COM UTILIZAÇÃO DE CAL</t>
  </si>
  <si>
    <t>CAMPO 003</t>
  </si>
  <si>
    <t>TRAVE PARA CAMPO DE FUTEBOL</t>
  </si>
  <si>
    <t>CAMPO 004</t>
  </si>
  <si>
    <t>CONCRETO ARMADO (PREPARO E LANCAMENTO) COM FCK&gt;=25MPA, COM TABUA DE MADEIRA, COM APROVEITAMENTO DE 3 VEZES COM BETONEIRA</t>
  </si>
  <si>
    <t>5.7</t>
  </si>
  <si>
    <t>ARQUIBANCADA</t>
  </si>
  <si>
    <t>ARQUIBANCADA EM TIJOLO CERÂMICO 9X19X19, INCLUSO ACABAMENTO DO ASSENTO E ENCOSTOS COM ARGAMASSA DESEMPENADA , COM FUNDAÇÃO E ESTRUTURAS DE AMARRAÇÃO EM CONCRETO ARMADO</t>
  </si>
  <si>
    <t>ENTRADA PROVISORIA DE ENERGIA ELETRICA AEREA TRIFASICA 40A EM POSTE MADEIRA</t>
  </si>
  <si>
    <t>INFRA INST. ELE. 002</t>
  </si>
  <si>
    <t>REFLETOR SIMPLES LED 150W DE POTÊNCIA, BRANCO FRIO, 6500K, AUTOVOLT, MARCA G-LIGHT OU SIMILAR</t>
  </si>
  <si>
    <t>INFRA DIV. 001</t>
  </si>
  <si>
    <t>PLACA DE INAUGURACAO METALICA, *40* CM X *60* CM</t>
  </si>
  <si>
    <t>TAPUME COM COMPENSADO DE MADEIRA. AF_05/2018</t>
  </si>
  <si>
    <t>INSTALAÇÕES PROVISÓRIAS DE LUZ , FORÇA,TELEFONE E LÓGICA</t>
  </si>
  <si>
    <t>un</t>
  </si>
  <si>
    <t>EXECUÇÃO DE SANITÁRIO E VESTIÁRIO EM CANTEIRO DE OBRA EM CHAPA DE MADEIRA COMPENSADA, NÃO INCLUSO MOBILIÁRIO. AF_02/2016</t>
  </si>
  <si>
    <t>EXECUÇÃO DE ESCRITÓRIO EM CANTEIRO DE OBRA EM CHAPA DE MADEIRA COMPENSADA, NÃO INCLUSO MOBILIÁRIO E EQUIPAMENTOS. AF_02/2016</t>
  </si>
  <si>
    <t>EXECUÇÃO DE DEPÓSITO EM CANTEIRO DE OBRA EM CHAPA DE MADEIRA COMPENSADA, NÃO INCLUSO MOBILIÁRIO. AF_04/2016</t>
  </si>
  <si>
    <t>1.7</t>
  </si>
  <si>
    <t>LOCACAO CONVENCIONAL DE OBRA, UTILIZANDO GABARITO DE TÁBUAS CORRIDAS PONTALETADAS A CADA 2,00M -  2 UTILIZAÇÕES. AF_10/2018</t>
  </si>
  <si>
    <t>1.8</t>
  </si>
  <si>
    <t>MOVIMENTO DE TERRA PARA FUNDAÇÕES</t>
  </si>
  <si>
    <t>ESCAVAÇÃO MANUAL DE VALA COM PROFUNDIDADE MENOR OU IGUAL A 1,30 M. AF_02/2021</t>
  </si>
  <si>
    <t>FUNDAÇÕES</t>
  </si>
  <si>
    <t>CONCRETO ARMADO - SAPATAS</t>
  </si>
  <si>
    <t>LASTRO DE CONCRETO MAGRO, APLICADO EM BLOCOS DE COROAMENTO OU SAPATAS, ESPESSURA DE 5 CM. AF_08/2017</t>
  </si>
  <si>
    <t>FABRICAÇÃO, MONTAGEM E DESMONTAGEM DE FÔRMA PARA SAPATA, EM MADEIRA SERRADA, E=25 MM, 4 UTILIZAÇÕES. AF_06/2017</t>
  </si>
  <si>
    <t>ARMAÇÃO DE ESTRUTURAS DE CONCRETO ARMADO, EXCETO VIGAS, PILARES, LAJES E FUNDAÇÕES, UTILIZANDO AÇO CA-50 DE 8,0 MM - MONTAGEM. AF_12/2015</t>
  </si>
  <si>
    <t>ARMAÇÃO DE ESTRUTURAS DE CONCRETO ARMADO, EXCETO VIGAS, PILARES, LAJES E FUNDAÇÕES, UTILIZANDO AÇO CA-50 DE 10,0 MM - MONTAGEM. AF_12/2015</t>
  </si>
  <si>
    <t>ARMAÇÃO DE ESTRUTURAS DE CONCRETO ARMADO, EXCETO VIGAS, PILARES, LAJES E FUNDAÇÕES, UTILIZANDO AÇO CA-60 DE 5,0 MM - MONTAGEM. AF_12/2015</t>
  </si>
  <si>
    <t>CONCRETAGEM DE SAPATAS, FCK 30 MPA, COM USO DE BOMBA  LANÇAMENTO, ADENSAMENTO E ACABAMENTO. AF_11/2016</t>
  </si>
  <si>
    <t>CONCRETO ARMADO - VIGAS BALDRAMES</t>
  </si>
  <si>
    <t>LASTRO DE CONCRETO MAGRO, APLICADO EM PISOS, LAJES SOBRE SOLO OU RADIERS, ESPESSURA DE 5 CM. AF_07/2016</t>
  </si>
  <si>
    <t>FABRICAÇÃO, MONTAGEM E DESMONTAGEM DE FÔRMA PARA VIGA BALDRAME, EM MADEIRA SERRADA, E=25 MM, 4 UTILIZAÇÕES. AF_06/2017</t>
  </si>
  <si>
    <t>CONCRETAGEM DE BLOCOS DE COROAMENTO E VIGAS BALDRAMES, FCK 30 MPA, COM USO DE BOMBA  LANÇAMENTO, ADENSAMENTO E ACABAMENTO. AF_06/2017</t>
  </si>
  <si>
    <t>SUPERESTRUTURA</t>
  </si>
  <si>
    <t>CONCRETO ARMADO - REVESTIMENTO DOS PILARES</t>
  </si>
  <si>
    <t>MONTAGEM E DESMONTAGEM DE FÔRMA DE PILARES RETANGULARES E ESTRUTURAS SIMILARES, PÉ-DIREITO SIMPLES, EM CHAPA DE MADEIRA COMPENSADA PLASTIFICADA, 10 UTILIZAÇÕES. AF_09/2020</t>
  </si>
  <si>
    <t>CONCRETAGEM DE PILARES, FCK = 25 MPA, COM USO DE BOMBA EM EDIFICAÇÃO COM SEÇÃO MÉDIA DE PILARES MENOR OU IGUAL A 0,25 M² - LANÇAMENTO, ADENSAMENTO E ACABAMENTO. AF_12/2015</t>
  </si>
  <si>
    <t>ESTRUTURA TRELIÇADA DE COBERTURA, TIPO ARCO, COM LIGAÇÕES PARAFUSADAS, INCLUSOS PERFIS METÁLICOS, CHAPAS METÁLICAS, MÃO DE OBRA E TRANSPORTE COM GUINDASTE - FORNECIMENTO E INSTALAÇÃO. AF_01/2020_P</t>
  </si>
  <si>
    <t>TELHA ONDULADA EM ACO ZINCADO, ALTURA DE 17 MM, ESPESSURA DE 0,50 MM, LARGURA UTIL DE APROXIMADAMENTE 985 MM, SEM PINTURA (COBERTA)</t>
  </si>
  <si>
    <t>TELHAMENTO COM TELHA ONDULADA DE FIBRA DE VIDRO E = 0,6 MM, PARA TELHADO COM INCLINAÇÃO MAIOR QUE 10°, COM ATÉ 2 ÁGUAS, INCLUSO IÇAMENTO. AF_07/2019</t>
  </si>
  <si>
    <t>CALHA EM CHAPA DE AÇO GALVANIZADO NÚMERO 24, DESENVOLVIMENTO DE 50 CM, INCLUSO TRANSPORTE VERTICAL. AF_07/2019</t>
  </si>
  <si>
    <t>IMPERMEABILIZAÇÃO DE SUPERFÍCIE COM EMULSÃO ASFÁLTICA, 2 DEMÃOS AF_06/2018</t>
  </si>
  <si>
    <t>PINTURAS E ACABAMENTOS</t>
  </si>
  <si>
    <t>PINTURA EPOXI PRIME P/ CONCRETO, 2 DEMAOS</t>
  </si>
  <si>
    <t>PINTURA COM TINTA ALQUÍDICA DE ACABAMENTO (ESMALTE SINTÉTICO ACETINADO) APLICADA A ROLO OU PINCEL SOBRE SUPERFÍCIES METÁLICAS (EXCETO PERFIL) EXECUTADO EM OBRA (POR DEMÃO). AF_01/2020</t>
  </si>
  <si>
    <t>PINTURA COM TINTA ALQUÍDICA DE FUNDO (TIPO ZARCÃO) APLICADA A ROLO OU PINCEL SOBRE SUPERFÍCIES METÁLICAS (EXCETO PERFIL) EXECUTADO EM OBRA (POR DEMÃO). AF_01/2020</t>
  </si>
  <si>
    <t>DRENAGEM DE ÁGUAS PLUVIAIS</t>
  </si>
  <si>
    <t>TUBULAÇÕES E CONEXÕES DE PVC</t>
  </si>
  <si>
    <t>TUBO PVC, SERIE NORMAL, ESGOTO PREDIAL, DN 150 MM, FORNECIDO E INSTALADO EM SUBCOLETOR AÉREO DE ESGOTO SANITÁRIO. AF_12/2014</t>
  </si>
  <si>
    <t>JOELHO 90 GRAUS, PVC, SERIE NORMAL, ESGOTO PREDIAL, DN 100 MM, JUNTA ELÁSTICA, FORNECIDO E INSTALADO EM RAMAL DE DESCARGA OU RAMAL DE ESGOTO SANITÁRIO. AF_12/2014</t>
  </si>
  <si>
    <t>ACESSÓRIOS</t>
  </si>
  <si>
    <t>RALO HEMISFÉRICO, DN 150MM</t>
  </si>
  <si>
    <t>CENTRO DE DISTRIBUIÇÃO</t>
  </si>
  <si>
    <t>QUADRO DE DISTRIBUIÇÃO DE ENERGIA EM CHAPA DE AÇO GALVANIZADO, DE EMBUTIR, COM BARRAMENTO TRIFÁSICO, PARA 12 DISJUNTORES DIN 100A - FORNECIMENTO E INSTALAÇÃO. AF_10/2020</t>
  </si>
  <si>
    <t>DISJUNTOR BIPOLAR TIPO DIN, CORRENTE NOMINAL DE 10A - FORNECIMENTO E INSTALAÇÃO. AF_10/2020</t>
  </si>
  <si>
    <t>DISJUNTOR BIPOLAR TIPO DIN, CORRENTE NOMINAL DE 20A - FORNECIMENTO E INSTALAÇÃO. AF_10/2020</t>
  </si>
  <si>
    <t>DISJUNTOR BIPOLAR TIPO DIN, CORRENTE NOMINAL DE 25A - FORNECIMENTO E INSTALAÇÃO. AF_10/2020</t>
  </si>
  <si>
    <t>DISPOSITIVO DIFERENCIAL RESIDUAL 25A</t>
  </si>
  <si>
    <t>DISPOSITIBO DE PROTEÇÃO CONTRA SURTOS DE TENSÃO  40kA/350V</t>
  </si>
  <si>
    <t>ELETRODUTO DE AÇO GALVANIZADO, CLASSE LEVE, DN 25 MM (1), APARENTE, INSTALADO EM TETO - FORNECIMENTO E INSTALAÇÃO. AF_11/2016_P</t>
  </si>
  <si>
    <t>ELETRODUTO DE AÇO GALVANIZADO, CLASSE SEMI PESADO, DN 40 MM (1 1/2 ), APARENTE, INSTALADO EM TETO - FORNECIMENTO E INSTALAÇÃO. AF_11/2016_P</t>
  </si>
  <si>
    <t>CONDULETE DE PVC, TIPO LB, PARA ELETRODUTO DE PVC SOLDÁVEL DN 25 MM (3/4''), APARENTE - FORNECIMENTO E INSTALAÇÃO. AF_11/2016</t>
  </si>
  <si>
    <t>CONDULETE DE PVC, TIPO TB, PARA ELETRODUTO DE PVC SOLDÁVEL DN 25 MM (3/4''), APARENTE - FORNECIMENTO E INSTALAÇÃO. AF_11/2016</t>
  </si>
  <si>
    <t>CONDULETE DE PVC, TIPO X, PARA ELETRODUTO DE PVC SOLDÁVEL DN 25 MM (3/4''), APARENTE - FORNECIMENTO E INSTALAÇÃO. AF_11/2016</t>
  </si>
  <si>
    <t>LUVA, EM FERRO GALVANIZADO, CONEXÃO ROSQUEADA, DN 20 (3/4"), INSTALADO EM RAMAIS E SUB-RAMAIS DE GÁS - FORNECIMENTO E INSTALAÇÃO. AF_10/2020</t>
  </si>
  <si>
    <t>LUVA, EM FERRO GALVANIZADO, CONEXÃO ROSQUEADA, DN 40 (1 1/2"), INSTALADO EM REDE DE ALIMENTAÇÃO PARA SPRINKLER - FORNECIMENTO E INSTALAÇÃO. AF_10/2020</t>
  </si>
  <si>
    <t>CABOS E FIOS CONDUTORES</t>
  </si>
  <si>
    <t>CABO DE COBRE FLEXÍVEL ISOLADO, 2,5 MM², ANTI-CHAMA 450/750 V, PARA CIRCUITOS TERMINAIS - FORNECIMENTO E INSTALAÇÃO. AF_12/2015</t>
  </si>
  <si>
    <t>CABO DE COBRE FLEXÍVEL ISOLADO, 4 MM², ANTI-CHAMA 450/750 V, PARA CIRCUITOS TERMINAIS - FORNECIMENTO E INSTALAÇÃO. AF_12/2015</t>
  </si>
  <si>
    <t>ILUMINAÇÃO E TOMADAS</t>
  </si>
  <si>
    <t>TOMADA MÉDIA DE EMBUTIR (1 MÓDULO), 2P+T 20 A, INCLUINDO SUPORTE E PLACA - FORNECIMENTO E INSTALAÇÃO. AF_12/2015</t>
  </si>
  <si>
    <t>LUMINARIA QUADRA POLIESPORTIVA 500W, FORNECIMENTO E INSTALAÇÃO</t>
  </si>
  <si>
    <t>HASTE DE ATERRAMENTO 5/8  PARA SPDA - FORNECIMENTO E INSTALAÇÃO. AF_12/2017</t>
  </si>
  <si>
    <t xml:space="preserve">CAIXA DE EQUALIZAÇAO DE POTÊNCIAS DE EMBUTIR </t>
  </si>
  <si>
    <t>CORDOALHA DE COBRE NU 35 MM², NÃO ENTERRADA, COM ISOLADOR - FORNECIMENTO E INSTALAÇÃO. AF_12/2017</t>
  </si>
  <si>
    <t>CORDOALHA DE COBRE NU 50 MM², NÃO ENTERRADA, COM ISOLADOR - FORNECIMENTO E INSTALAÇÃO. AF_12/2017</t>
  </si>
  <si>
    <t>ELETRODUTO RÍGIDO ROSCÁVEL, PVC, DN 50 MM (1 1/2") - FORNECIMENTO E INSTALAÇÃO. AF_12/2015</t>
  </si>
  <si>
    <t>CAIXA DE INSPEÇÃO PARA ATERRAMENTO, CIRCULAR, EM POLIETILENO, DIÂMETRO INTERNO = 0,3 M. AF_12/2020</t>
  </si>
  <si>
    <t>SUPORTE ISOLADOR PARA CORDOALHA DE COBRE - FORNECIMENTO E INSTALAÇÃO. AF_12/2017</t>
  </si>
  <si>
    <t>TERMINAL OU CONECOR DE PRESSÃO - PARA CABO 35mm2</t>
  </si>
  <si>
    <t>LIMPEZA DE PISO CERÂMICO OU PORCELANATO COM PANO ÚMIDO. AF_04/2019</t>
  </si>
  <si>
    <t>DISCRIMINAÇÃO</t>
  </si>
  <si>
    <t>VALOR -R$</t>
  </si>
  <si>
    <t>%</t>
  </si>
  <si>
    <t>R$</t>
  </si>
  <si>
    <t xml:space="preserve">% MENSAL </t>
  </si>
  <si>
    <t xml:space="preserve">% ACUMULADO </t>
  </si>
  <si>
    <t xml:space="preserve">DESEMBOLSO MENSAL </t>
  </si>
  <si>
    <t xml:space="preserve">DESEMB. ACUMULADO </t>
  </si>
  <si>
    <t>meses</t>
  </si>
  <si>
    <t>MANUTENÇAO DA ESCOLA ANDRÉ VIDAL</t>
  </si>
  <si>
    <t>MESES</t>
  </si>
  <si>
    <t>1</t>
  </si>
  <si>
    <t>2</t>
  </si>
  <si>
    <t>3</t>
  </si>
  <si>
    <t>CRONOGRAMA FÍSICO-FINANCEIRO -  NÃO DESONERADO</t>
  </si>
  <si>
    <t>LOCALIZAÇÃO: ITAMBÉ</t>
  </si>
  <si>
    <t>98524/ SINAPI</t>
  </si>
  <si>
    <t>97647/ SINAPI</t>
  </si>
  <si>
    <t>REMOÇÃO DE TELHAS, DE FIBROCIMENTO, METÁLICA E CERÂMICA, DE FORMA MANUAL, SEM REAPROVEITAMENTO. AF_12/2017</t>
  </si>
  <si>
    <t>APLICAÇÃO MANUAL DE PINTURA COM TINTA LÁTEX ACRÍLICA EM PAREDES, DUAS DEMÃOS. AF_06/2014</t>
  </si>
  <si>
    <t>95626/ SINAPI</t>
  </si>
  <si>
    <t>APLICAÇÃO MANUAL DE TINTA LÁTEX ACRÍLICA EM PAREDE EXTERNAS DE CASAS, DUAS DEMÃOS. AF_11/2016</t>
  </si>
  <si>
    <t>92541 / SINAPI</t>
  </si>
  <si>
    <t>TRAMA DE MADEIRA COMPOSTA POR RIPAS, CAIBROS E TERÇAS PARA TELHADOS DE ATÉ 2 ÁGUAS PARA TELHA CERÂMICA CAPA-CANAL, INCLUSO TRANSPORTE VERTICAL. AF_07/2019</t>
  </si>
  <si>
    <t>94201/ SINAPI</t>
  </si>
  <si>
    <t>TELHAMENTO COM TELHA CERÂMICA CAPA-CANAL, TIPO COLONIAL, COM ATÉ 2 ÁGUAS, INCLUSO TRANSPORTE VERTICAL. AF_07/2019</t>
  </si>
  <si>
    <t>CAIXA DE DESCARGA DE PLASTICO EXTERNA, DE *9* L, PUXADOR FIO DE NYLON, NAO INCLUSO CANO, BOLSA, ENGATE</t>
  </si>
  <si>
    <t>LAMPADA LED 10 W BIVOLT BRANCA, FORMATO TRADICIONAL (BASE E27)</t>
  </si>
  <si>
    <t xml:space="preserve">	BÓIA ELÉTRICA PARA RESERVATÓRIO SUPERIOR, MARCA AQUAMATIC OU SIMILAR, CAPACIDADE 30 A - FORNECIMENTO E INSTALAÇÃO</t>
  </si>
  <si>
    <t>AREA TOTAL DA ESCOLA</t>
  </si>
  <si>
    <t xml:space="preserve">SALA 02 </t>
  </si>
  <si>
    <t>COPA/COZINHA</t>
  </si>
  <si>
    <t xml:space="preserve">BANHEIROS </t>
  </si>
  <si>
    <t>MUROS LATERAIS E FUNDOS</t>
  </si>
  <si>
    <t>PORTAS BANHEIROS</t>
  </si>
  <si>
    <t>PORTAS SALAS</t>
  </si>
  <si>
    <t>PORTAS SALA 06 E BW ACESSÍVEL</t>
  </si>
  <si>
    <t>PORTÃO DE ENTRADA</t>
  </si>
  <si>
    <t>GRADES FACHADA</t>
  </si>
  <si>
    <t>BANHEIROS</t>
  </si>
  <si>
    <t>SALA 01 E COZINHA</t>
  </si>
  <si>
    <t xml:space="preserve"> SALA 01 E COZINHA</t>
  </si>
  <si>
    <t>ÁREA DE TRÁS SALA DOS PROFESSORES</t>
  </si>
  <si>
    <t>PÁTIO</t>
  </si>
  <si>
    <t>BÓIA ELÉTRICA PARA RESERVATÓRIO SUPERIOR, MARCA AQUAMATIC OU SIMILAR, CAPACIDADE 30 A - FORNECIMENTO E INSTALAÇÃO</t>
  </si>
  <si>
    <t>CAIXA D'ÁGUA</t>
  </si>
  <si>
    <t>ABRACADEIRA EM ACO PARA AMARRACAO DE ELETRODUTOS, TIPO D, COM 1/2" E PARAFUSO DE FIXACAO</t>
  </si>
  <si>
    <t>ELETRICISTA</t>
  </si>
  <si>
    <t>ELETRODUTO DE PVC RIGIDO ROSCAVEL DE 1/2 ", SEM LUVA</t>
  </si>
  <si>
    <t>SERVENTE DE OBRAS</t>
  </si>
  <si>
    <t>AUTOMATICO DE BOIA SUPERIOR / INFERIOR, *15* A / 250 V</t>
  </si>
  <si>
    <t>CORDAO DE COBRE, FLEXIVEL, TORCIDO, CLASSE 4 OU 5, ISOLACAO EM PVC/D, 300 V, 2 CONDUTORES DE 2,5 MM2</t>
  </si>
  <si>
    <t>CURVA 90 GRAUS, LONGA, DE PVC RIGIDO ROSCAVEL, DE 1/2", PARA ELETRODUTO</t>
  </si>
  <si>
    <t>PLACA DA OBRA</t>
  </si>
  <si>
    <t>PERIMETRO QUADRA</t>
  </si>
  <si>
    <t>INSTALAÇÃO QUADRA</t>
  </si>
  <si>
    <t>PERIMETRO</t>
  </si>
  <si>
    <t>LADO 1</t>
  </si>
  <si>
    <t>LADO 2</t>
  </si>
  <si>
    <t>LADO 3</t>
  </si>
  <si>
    <t>LADO 4</t>
  </si>
  <si>
    <t>PREPARAÇÃO DO TERRENO</t>
  </si>
  <si>
    <t>ESCAVAÇÃO DA FUNDAÇÃO</t>
  </si>
  <si>
    <t>REGULARIZAÇÃO TERRENO</t>
  </si>
  <si>
    <t xml:space="preserve">REATERRO DA FUNDAÇÃO E COMPACTAÇÃO </t>
  </si>
  <si>
    <t>CONCRETO MAGRO</t>
  </si>
  <si>
    <t>FORMAS DE SAPATAS</t>
  </si>
  <si>
    <t>PESO(KG)</t>
  </si>
  <si>
    <t>CONCRETO ARMADO - VIGAS</t>
  </si>
  <si>
    <t>PESO(M3)</t>
  </si>
  <si>
    <t>ESTRUTURA METALICA</t>
  </si>
  <si>
    <t>LARG</t>
  </si>
  <si>
    <t>ARQUIBANCADA DE ALVENARIA</t>
  </si>
  <si>
    <t>COBOGÓ 20 X 20 CM</t>
  </si>
  <si>
    <t>ÁREA DA ARQUIBANCADA</t>
  </si>
  <si>
    <t>SISTEMA DE COBERTURA</t>
  </si>
  <si>
    <t>COBERTURA</t>
  </si>
  <si>
    <t>CALHA</t>
  </si>
  <si>
    <t>6.2.1</t>
  </si>
  <si>
    <t>6.2.2</t>
  </si>
  <si>
    <t>6.2.3</t>
  </si>
  <si>
    <t>ARQUIBANCADA E ACABEMENTO</t>
  </si>
  <si>
    <t>6.1.1</t>
  </si>
  <si>
    <t>6.3.1</t>
  </si>
  <si>
    <t>PILARES</t>
  </si>
  <si>
    <t>PINTURA DE PROTEÇÃO SOBRE SUPERFÍCIES METÁLICAS COM APLICAÇÃO DE 02 DEMÃO DE TINTA EPOXI FUNDO ÓXIDO DE FERRO - R1</t>
  </si>
  <si>
    <t>TUBULAÇÕES E CONEXOES DE PVC</t>
  </si>
  <si>
    <t>DRENAGEM E TUBULAÇÕES</t>
  </si>
  <si>
    <t>COMPR.(M)</t>
  </si>
  <si>
    <t>JOELHO 90 GRAUS</t>
  </si>
  <si>
    <t>ACESSORIOS</t>
  </si>
  <si>
    <t>RALO</t>
  </si>
  <si>
    <t>INSTALAÇÃO ELETRICA 220V</t>
  </si>
  <si>
    <t>ELETRODUTOS E ACESSORIOS</t>
  </si>
  <si>
    <t>ELETRODUTO</t>
  </si>
  <si>
    <t>CHAPISCO APLICADO EM ALVENARIAS E ESTRUTURAS DE CONCRETO INTERNAS, COM COLHER DE PEDREIRO.  ARGAMASSA TRAÇO 1:3 COM PREPARO MANUAL. AF_06/2014</t>
  </si>
  <si>
    <t>88316</t>
  </si>
  <si>
    <t>QUADRO DE MEDIÇÃO PADRÃO COELCE - PADRÃO POPULAR</t>
  </si>
  <si>
    <t>DISJUNTOR DIFERENCIAL DR-16A - 40A, 30mA</t>
  </si>
  <si>
    <t>DISPOSITIVO DE PROTEÇÃO CONTRA SURTOS DE TENSÃO - DPS's - 40 KA/440V</t>
  </si>
  <si>
    <t>BRAÇADEIRA TIPO "D", METÁLICA ATE 1"</t>
  </si>
  <si>
    <t>ENDEREÇO: ESTRADA DA DIASA, 407 - PLANALTO, ITAMBÉ</t>
  </si>
  <si>
    <t>COMPOSIÇÃO 22</t>
  </si>
  <si>
    <t>CAIXA DE DESCARGA DE SOBREPOR COMPLETA AKROS OU SIMILAR</t>
  </si>
  <si>
    <t>COMPOSIÇÃO 21</t>
  </si>
  <si>
    <t>ENGATE/RABICHO FLEXIVEL PLASTICO (PVC OU ABS) BRANCO 1/2 " X 30 CM</t>
  </si>
  <si>
    <t>TUBO DE DESCIDA EXTERNO DE PVC PARA CAIXA DE DESCARGA EXTERNA ALTA - 40 MM X 1,60 M</t>
  </si>
  <si>
    <t>BOLSA DE LIGACAO EM PVC FLEXIVEL PARA VASO SANITARIO 1.1/2 " (40 MM)</t>
  </si>
  <si>
    <t>I 345</t>
  </si>
  <si>
    <t>ARAME RECOZIDO 18 BWG, 1,25 MM (0,01 KG/M)</t>
  </si>
  <si>
    <t>0,0200000</t>
  </si>
  <si>
    <t>I 4491</t>
  </si>
  <si>
    <t>PONTALETE DE MADEIRA NAO APARELHADA *7,5 X 7,5* CM (3 X 3 ") PINUS, MISTA OU EQUIVALENTE DA REGIAO</t>
  </si>
  <si>
    <t>0,0360000</t>
  </si>
  <si>
    <t>I 5068</t>
  </si>
  <si>
    <t>PREGO DE ACO POLIDO COM CABECA 18 X 27 (2 1/2 X 10)</t>
  </si>
  <si>
    <t>0,0100000</t>
  </si>
  <si>
    <t>I 10567</t>
  </si>
  <si>
    <t>TABUA DE MADEIRA NAO APARELHADA *2,5 X 23* CM (1 x 9 ") PINUS, MISTA OU EQUIVALENTE DA REGIAO</t>
  </si>
  <si>
    <t>0,0320000</t>
  </si>
  <si>
    <t>0,1000000</t>
  </si>
  <si>
    <t>Serviço</t>
  </si>
  <si>
    <t>TOTAL COM BDI (R$)</t>
  </si>
  <si>
    <t>OBSERVAÇÃO:</t>
  </si>
  <si>
    <t>Tela de nylon, fio 30-36 (3,6mm), malha 10x10cm</t>
  </si>
  <si>
    <t>Arame galvanizado com revestimento em pvc,14bwg (2,8 mm) - 0,031kg/m</t>
  </si>
  <si>
    <t>C 88315</t>
  </si>
  <si>
    <t>INFRA DIV 003</t>
  </si>
  <si>
    <t>L</t>
  </si>
  <si>
    <t>MADEIRA MISTA SERRADA (BARROTE) 6 x 6cm - 0,0036 m3/m (ANGELIM, LOURO)</t>
  </si>
  <si>
    <t>PLACA DE OBRA EM AÇO GALVANIZADA</t>
  </si>
  <si>
    <t xml:space="preserve">MADEIRA MISTA SERRADA (BARROTE) 2,2 x 5,5 cm - 0,00121 m3/m </t>
  </si>
  <si>
    <t>I 5069</t>
  </si>
  <si>
    <t>PREGO DE ACO POLIDO COM CABECA 17 X 27 (2 1/2 X 11)</t>
  </si>
  <si>
    <t>SINAPI 794981</t>
  </si>
  <si>
    <t>PINTURA A OLEO BRILHANTE SOBRE SUPERFICIE METALICA, UMA DEMAO INCLUSO UMA DEMAO DE FUNDO ANTICORROSIVO.</t>
  </si>
  <si>
    <t>LIXA EM FOLHA DE FERRO NUMERO 150</t>
  </si>
  <si>
    <t>TINTA OLEO BRILHANTE PARA MADEIRA E METAIS</t>
  </si>
  <si>
    <t>GL</t>
  </si>
  <si>
    <t>I 7307</t>
  </si>
  <si>
    <t>FUNDO ANTICORROSIVO PARA METAIS FERROSOS (ZARCÃO)</t>
  </si>
  <si>
    <t>SINAPI 78742</t>
  </si>
  <si>
    <t>SERVIÇOS TOPOGRAFICOS</t>
  </si>
  <si>
    <t>SARRAFO DE MADEIRA NÃO APARELHADA *2,5 x 15* CM, MACARANDUBA, ANGELIM OU EQUIVALENTE DA REGIAO.</t>
  </si>
  <si>
    <t>C 88253</t>
  </si>
  <si>
    <t>AUXILIAR DE TOPÓGRAFO COM ENCARGOS COMPLEMENTARES</t>
  </si>
  <si>
    <t>NIVELADOR COM ENCARGOS COMPLEMENTARES</t>
  </si>
  <si>
    <t>DESENHISTA DETALHISTA COM ENCARGOS COMPLEMENTARES</t>
  </si>
  <si>
    <t>C 92141</t>
  </si>
  <si>
    <t>CAMINHONETE CABINE SIMPLES COM MOTOR 1.6 FLEX, CÂMBIO MANUAL, POTÊNCIA 101 /104 CV, 2 PORTAS - JUROS. AF_11/2015</t>
  </si>
  <si>
    <t>BLOCO CERAMICO (ALVENARIA DE VEDACAO), 8 FUROS, DE 9 X 19 X 19 CM</t>
  </si>
  <si>
    <t>UN</t>
  </si>
  <si>
    <t>CAL HIDRATADA CH-I PARA ARGAMASSAS</t>
  </si>
  <si>
    <t>CIMENTO PORTLAND COMPOSTO CP II-32</t>
  </si>
  <si>
    <t>AREIA MEDIA - POSTO JAZIDA/FORNECEDOR (RETIRADO NA JAZIDA, SEM TRANSPORTE)</t>
  </si>
  <si>
    <t>ADUBO ORGÂNICO</t>
  </si>
  <si>
    <t>TERRA VEGETAL</t>
  </si>
  <si>
    <t>CAL VIRGEM COMUM PARA ARGAMASSAS (NBR 6453)</t>
  </si>
  <si>
    <t>TOPOGRAFO COM ENCARGOS COMPLEMENTARES</t>
  </si>
  <si>
    <t>ACO CA-50, 10,0 MM, VERGALHAO</t>
  </si>
  <si>
    <t>ARAME GALVANIZADO 18 BWG, 1,24MM (0,009 KG/M)</t>
  </si>
  <si>
    <t>TABUA MADEIRA 2A QUALIDADE 2,5 X 30,0CM (1 X 12"") NAO APARELHADA"</t>
  </si>
  <si>
    <t>DESMOLDANTE PROTETOR PARA FORMAS DE MADEIRA, DE BASE OLEOSA EMULSIONADA EM AGUA</t>
  </si>
  <si>
    <t>ACO CA-60, 6,0 MM, VERGALHAO</t>
  </si>
  <si>
    <t>CONCRETO FCK = 25MPA, TRAÇO 1:2,3:2,7 (CIMENTO/ AREIA MÉDIA/ BRITA 1) - PREPARO MECÂNICO COM BETONEIRA 600 L. AF_07/2016</t>
  </si>
  <si>
    <t>AJUDANTE ESPECIALIZADO COM ENCARGOS COMPLEMENTARES</t>
  </si>
  <si>
    <t>ARMADOR COM ENCARGOS COMPLEMENTARES</t>
  </si>
  <si>
    <t>Parafuso metal 2 1/2" x 12 p/ bucha s-10</t>
  </si>
  <si>
    <t>Refletor simples LED 150W de potência, branco Frio, 6500k, Autovolt, marca G-light ou similar</t>
  </si>
  <si>
    <t>ALVENARIA DE PEDRA CALCÁREA APARENTE ARAMASSADA NO TRAÇO 1:5 - 1 SACO DE CIMENTO 50KG / 5 PADIOLAS DE AREIA DIM.0,35z0,45x0,23m - CONFECÇÃO MECÂNICA E TRANSPORTE</t>
  </si>
  <si>
    <t>I 4730</t>
  </si>
  <si>
    <t>PEDRA DE MÃO OU PEDRA DE RACHÃO PARA ARRIMO/FUNDAÇÃO (POSTO PEDREIRA/FORNECEDOR S/ FRETE)</t>
  </si>
  <si>
    <t>ARGAMASSA CIMENTO E AREIA TRAÇO 1:5 / 1 SACO DE CIMENTO 50KG</t>
  </si>
  <si>
    <t>SINAPI 88549</t>
  </si>
  <si>
    <t>PEDRA BRITADA N 2 (18 A 32 MM) POSTO PEDREIRA FORNECEDOR, COM FRETE</t>
  </si>
  <si>
    <t xml:space="preserve">SINAPI 83561 </t>
  </si>
  <si>
    <t>ANEL DE BORRACHA, PARA TUDO PVC, REDE COLETOR ESGOTO, DN 100MM (NBR 7362)</t>
  </si>
  <si>
    <t>TUBO DE PVC, FLEXIVEL, CORRUGADO, PERFURADO, DN 110 MM PARA DRENAGEM, SISTEMA IRRIGAÇÃO..</t>
  </si>
  <si>
    <t>C 88248</t>
  </si>
  <si>
    <t>AUXILIAR DE ENCANADOR C/ ENCARGOS COMPLEMENTARES</t>
  </si>
  <si>
    <t>C 88267</t>
  </si>
  <si>
    <t>ENCANADOR C/ ENCARGOS COMPLEMENTARES</t>
  </si>
  <si>
    <t>SINAPI 7388331</t>
  </si>
  <si>
    <t>I 00370</t>
  </si>
  <si>
    <t>GRAMA ESMERALDA</t>
  </si>
  <si>
    <t>FERTILIZANTE NPK 10:10:10</t>
  </si>
  <si>
    <t>CALCARIO DOMOMITICO</t>
  </si>
  <si>
    <t>C 88441</t>
  </si>
  <si>
    <t>JARDINEIRO COM ENCARGOS COMPLEMENTARES</t>
  </si>
  <si>
    <t>SINAPI 94467</t>
  </si>
  <si>
    <t>PEDRA DE MÃO OU PEDRA DE RACHO</t>
  </si>
  <si>
    <t>C 87316</t>
  </si>
  <si>
    <t>ARGAMASSA TRAÇO 1:4 (EM VOLUME DE CIMENTO E AREIA GROSSA ÚMIDA) PARA CHAPISCO CONVENCIONAL, PREPARO MECÂNICO COM BETONEIRA 400 L. AF_08/2019</t>
  </si>
  <si>
    <t>Fita aco inox para cintar poste, l = 19 mm, e = 0,5 mm (rolo de 30m)</t>
  </si>
  <si>
    <t>Cinta circular em aco galvanizado de 150 mm de diametro para fixacao de caixa medicao, inclui parafusos e porcas</t>
  </si>
  <si>
    <t>Cabo de cobre nu 16 mm2 meio-duro</t>
  </si>
  <si>
    <t>Fio de cobre, solido, classe 1, isolacao em pvc/a, antichama bwf-b, 450/750v, secao nominal 10 mm2</t>
  </si>
  <si>
    <t>Armacao vertical com haste e contra-pino, em chapa de aco galvanizado 3/16", com 4 estribos e 4 isoladores</t>
  </si>
  <si>
    <t>Caixa interna/externa de medicao para 1 medidor trifasico, com visor, em chapa de aco 18 usg (padrao da concessionaria local)</t>
  </si>
  <si>
    <t>Conector metalico tipo parafuso fendido (split bolt), para cabos ate 16 mm2</t>
  </si>
  <si>
    <t>Luva em pvc rigido roscavel, de 1", para eletroduto</t>
  </si>
  <si>
    <t>Disjuntor tipo nema, tripolar 10 ate 50a, tensao maxima de 415 v</t>
  </si>
  <si>
    <t>Eletroduto de pvc rigido roscavel de 1 ", sem luva</t>
  </si>
  <si>
    <t>Poste rolico de madeira tratada, d = 20 a 25 cm, h = 12,00 m, em eucalipto ou equivalente da regiao</t>
  </si>
  <si>
    <t>Parafuso de ferro polido, sextavado, com rosca parcial, diametro 5/8", comprimento 6", com porca e arruela de pressao media</t>
  </si>
  <si>
    <t>Arruela lisa, redonda, de latao polido, diametro nominal 5/8", diametro externo = 34 mm, diametro do furo = 17 mm, espessura = *2,5* mm</t>
  </si>
  <si>
    <t>Curva 180 graus, de pvc rigido roscavel, de 3/4", para eletroduto</t>
  </si>
  <si>
    <t>Bucha em aluminio, com rosca, de 1", para eletroduto</t>
  </si>
  <si>
    <t>Arruela em aluminio, com rosca, de 1", para eletroduto</t>
  </si>
  <si>
    <t>FORNECIMENTO E ASSENTAMENTO DE FERROLHO / FECHO CHATO, DE SOBREPOR, EM FERRO ZINCADO, REFORCADO, 6", COM PORTA CADEADO, PARA PORTAO, PORTA E JANELA.</t>
  </si>
  <si>
    <t>PORTA DE MADEIRA PARA PINTURA, SEMI-OCA (LEVE OU MÉDIA), 80X210CM, ESPESSURA DE 3,5CM, INCLUSO DOBRADIÇAS - FORNECIMENTO E INSTALAÇÃO. AF_12/2019.</t>
  </si>
  <si>
    <t>t</t>
  </si>
  <si>
    <t>LOCALIZAÇÃO: ITAMBÉ-PE</t>
  </si>
  <si>
    <t>ENDEREÇO: RUA JOAQUIM BARBALHO</t>
  </si>
  <si>
    <t>LOCALIZAÇAO: DISTRITO DE CARICÉ</t>
  </si>
  <si>
    <t>OBJETIVO:  CRECHE VOVÔ PESSOINHA (ANEXO)</t>
  </si>
  <si>
    <t>OBRA: CRECHE VOVO PESSOINA - IBIRANGA</t>
  </si>
  <si>
    <t>ENDEREÇO:RUA RUI BARBOSA S/N - IBIRANGA/ITAMBÉ-PE</t>
  </si>
  <si>
    <t>LOCALIZAÇÃO:  DISTRITO DE IBIRANGA</t>
  </si>
  <si>
    <t>OBJETIVO:  ESCOLA ANDRÉ VIDAL</t>
  </si>
  <si>
    <t>MEMÓRIA DE CÁLCULO MANUTENÇÃO DA ESCOLA VOVÔ PESSOINHA(ANEXO)  RUA RUI BARBOSA S/N - DISTRITO DE IBIRANGA - ITAMBÉ-PE</t>
  </si>
  <si>
    <t>SECRETARIA DE EDUCAÇÃO</t>
  </si>
  <si>
    <t>ENDEREÇO: RUA ANDRÉ VIDAL DE NEGREIROS S/N - ITAMBÉ-PE</t>
  </si>
  <si>
    <t>OBRA: ESCOLA ANDRÉ VIDAL</t>
  </si>
  <si>
    <t>MEMÓRIA DE CÁLCULO ESCOLA ANDRÉ VIDAL - RUA ANDRÉ VIDAL DE NEGREIROS S/N - ITAMBÉ-PE</t>
  </si>
  <si>
    <t>ENDEREÇO:AV TENENTE FONTOURA S/N - ITAMBÉ-PE</t>
  </si>
  <si>
    <t>MEMÓRIA DE CÁLCULO ESCOLA PASCOAL CARRAZONI - AV TENENTE FONTOURA S/N - ITAMBÉ-PE</t>
  </si>
  <si>
    <t xml:space="preserve">OBRA: ESCOLA MUNICIPAL DE QUEBEC </t>
  </si>
  <si>
    <t>ENDEREÇO: RUA GOIANA S/N DISTRITO DE QUEBEC / ITAMBÉ-PE</t>
  </si>
  <si>
    <t xml:space="preserve"> ESCOLA ANDRÉ VIDAL</t>
  </si>
  <si>
    <t xml:space="preserve"> ESCOLA PASCOAL CARRAZZONI</t>
  </si>
  <si>
    <t xml:space="preserve"> ESCOLA LAFAYTE NUNES MACHADO</t>
  </si>
  <si>
    <t xml:space="preserve"> ESCOLA MUNICIPAL MOCINHA BARBALHO</t>
  </si>
  <si>
    <t xml:space="preserve">QUADRO DE COMPOSIÇÕES E CUSTOS UNITÁRIOS </t>
  </si>
  <si>
    <t>OBJETIVO: ESCOLA PASCOAL CARRAZZONI</t>
  </si>
  <si>
    <t>OBJETIVO: ESCOLA MOCINHA BARBALHO</t>
  </si>
  <si>
    <t>OBRA: ESCOLA MOCINHA BARBALHO</t>
  </si>
  <si>
    <t>MEMORIA DE CALCULO  DA ESCOLA MOCINHA BARBALHO - ESTRADA DA DIASA, 407 - PLANALTO, ITAMBÉ</t>
  </si>
  <si>
    <t>CONDULETE DE PVC</t>
  </si>
  <si>
    <t>LUVAS</t>
  </si>
  <si>
    <t>CABOS DE COBRES</t>
  </si>
  <si>
    <t>TOMDAS QUADRA</t>
  </si>
  <si>
    <t>LUMINARIA DA QUADRA</t>
  </si>
  <si>
    <t>ATERRAMENTO</t>
  </si>
  <si>
    <t>CAIXA</t>
  </si>
  <si>
    <t>CORDOALHA</t>
  </si>
  <si>
    <t>ESCAVAÇÃO</t>
  </si>
  <si>
    <t>ESTRUTURA</t>
  </si>
  <si>
    <t>RECUPERAÇÃO DE ESTRUTURA</t>
  </si>
  <si>
    <t>LIXA EM FOLHA PARA FERRO, NUMERO 150</t>
  </si>
  <si>
    <t xml:space="preserve">PROTEÇÃO DE ARMADURA COM DE ALTO TEOR DE ZINCO </t>
  </si>
  <si>
    <t>COUPOUND ADESIVO</t>
  </si>
  <si>
    <t>ARGAMASSA POLIMERICA</t>
  </si>
  <si>
    <t xml:space="preserve">COMPOSIÇÃO </t>
  </si>
  <si>
    <t>PORTA DE MADEIRA FRISADA, SEMI-OCA (LEVE OU MÉDIA), 60X210CM, ESPESSURA DE 3CM, INCLUSO DOBRADIÇAS - FORNECIMENTO E INSTALAÇÃO. AF_12/2019</t>
  </si>
  <si>
    <t xml:space="preserve">91012 / SINAPI </t>
  </si>
  <si>
    <t>PORTA DE MADEIRA PARA VERNIZ, SEMI-OCA (LEVE OU MÉDIA), 90X210CM, ESPESSURA DE 3,5CM, INCLUSO DOBRADIÇAS - FORNECIMENTO E INSTALAÇÃO. AF_12/2019</t>
  </si>
  <si>
    <t>OBS:</t>
  </si>
  <si>
    <t>PORTA EM MADEIRA SEMI-OCA(LEVE OU MEDIA) 100X210CM</t>
  </si>
  <si>
    <t>DOBRADICA EM ACO/FERRO, 3 1/2" X  3", E= 1,9  A 2 MM, COM ANEL,  CROMADO OU ZINCADO, TAMPA BOLA, COM PARAFUSOS</t>
  </si>
  <si>
    <t>PORTA DE ABRIR / GIRO, DE MADEIRA FOLHA MEDIA (NBR 15930) DE 900 X 2100 MM, DE 35 MM A 40 MM DE ESPESSURA, NUCLEO SEMI-SOLIDO (SARRAFEADO), CAPA LISA EM HDF, ACABAMENTO EM LAMINADO NATURAL PARA VERNIZ</t>
  </si>
  <si>
    <t>PARAFUSO ROSCA SOBERBA ZINCADO CABECA CHATA FENDA SIMPLES 3,5 X 25 MM (1 ")</t>
  </si>
  <si>
    <t>C 88261</t>
  </si>
  <si>
    <t>5.8</t>
  </si>
  <si>
    <t>98524 / SINAPI</t>
  </si>
  <si>
    <t>94570 / SINAPI</t>
  </si>
  <si>
    <t>JANELA DE ALUMÍNIO DE CORRER COM 2 FOLHAS PARA VIDROS, COM VIDROS, BATENTE, ACABAMENTO COM ACETATO OU BRILHANTE E FERRAGENS. EXCLUSIVE ALIZAR E CONTRAMARCO. FORNECIMENTO E INSTALAÇÃO. AF_12/2019</t>
  </si>
  <si>
    <t>TUBO DE PVC RIGIDO P/ SAIDA DE ÁGUA 50MM</t>
  </si>
  <si>
    <t>PASTA LUBRIFICANTE PARA PVC</t>
  </si>
  <si>
    <t xml:space="preserve">TUBO PVC SERIE NORMAL, DN 50 MM, PARA ABASTECIMENTO PREDIAL </t>
  </si>
  <si>
    <t xml:space="preserve">ANEL BORRACHA PARA TUBO PARA ABASTECIMENTO PREDIAL DN 50 MM </t>
  </si>
  <si>
    <t>MANTA PARA SUBCOBERTURA</t>
  </si>
  <si>
    <t>MANTA SUBCOBERTURA</t>
  </si>
  <si>
    <t>N2</t>
  </si>
  <si>
    <t>C 88323</t>
  </si>
  <si>
    <t>TELHADISTA COM ENCARGOS COMPLEMENTARES</t>
  </si>
  <si>
    <t>ÁREA LATERAL ESQUERDA</t>
  </si>
  <si>
    <t>BANHEIROS E PAREDES</t>
  </si>
  <si>
    <t>SALA INFORMATICA</t>
  </si>
  <si>
    <t>INFORMATICA</t>
  </si>
  <si>
    <t xml:space="preserve"> CRECHE VOVÔ PESSOINHA </t>
  </si>
  <si>
    <t>OBJETO: REQUALIFICAÇAO DAS ESCOLAS DA REDE MUNICIPAL ABAIXO RELACIONADAS</t>
  </si>
  <si>
    <t>OBJETO</t>
  </si>
  <si>
    <t>INTERNA E EXTERNA DA FAIXA P BAIXO</t>
  </si>
  <si>
    <t>EXTERNA DA BARRA PRA CIMA</t>
  </si>
  <si>
    <t>FACHADA ESQUERDA E DIREITA</t>
  </si>
  <si>
    <t>FACADA FRONTAL</t>
  </si>
  <si>
    <t>EXTERNO DA FAIXA PARA BAIXO</t>
  </si>
  <si>
    <t>EXTERNO DA FAIXA PARA CIMA</t>
  </si>
  <si>
    <t>VAO DAS ESCADAS</t>
  </si>
  <si>
    <t>LABORATIO</t>
  </si>
  <si>
    <t>CONSULTORIO</t>
  </si>
  <si>
    <t>CORREDOR</t>
  </si>
  <si>
    <t>SALA 12</t>
  </si>
  <si>
    <t>REFEITORO</t>
  </si>
  <si>
    <t>SALA 13</t>
  </si>
  <si>
    <t>SALA 14</t>
  </si>
  <si>
    <t>SALA 15</t>
  </si>
  <si>
    <t>SALA 16</t>
  </si>
  <si>
    <t>SALA 17</t>
  </si>
  <si>
    <t>SALA DE INFORMATICA</t>
  </si>
  <si>
    <t xml:space="preserve">COMPOSIÇÃO 23 </t>
  </si>
  <si>
    <t>COMPOSIÇÃO 25</t>
  </si>
  <si>
    <t>ESCOLA NIVALDO XAVIER DE ARAÚJO</t>
  </si>
  <si>
    <t>OBRA:  ESCOLA LAFAYTE NUNES</t>
  </si>
  <si>
    <t>OBRA: ESCOLA PASCOAL CARRAZZONI</t>
  </si>
  <si>
    <t>ENDEREÇO: RUA QUINZE DE NOVEMBRO S/N</t>
  </si>
  <si>
    <t>OBRA: COLÉGIO MUNICIPAL PROFº NIVALDO XAVIER DE ARAÚJO</t>
  </si>
  <si>
    <t>OBJETIVO: COLÉGIO MUNICIPAL PROFº NIVALDO XAVIER DE ARAÚJO</t>
  </si>
  <si>
    <t>MEMORIA DE CALCULO DA ESCOLA MUNICIPAL DE QUEBEC  - RUA GOIANA S/N - DISTRITO DE QUEBEC.</t>
  </si>
  <si>
    <t>MEMORIA DE CALCULO DO   COLÉGIO MUNICIPAL PROFº NIVALDO XAVIER DE ARAÚJO - RUA QUINZE DE NOVEMBRO S/N.</t>
  </si>
  <si>
    <t>COLUNAS P/PÉ DIREITO DE 6m  VÃO DE 30m</t>
  </si>
  <si>
    <t>ESTRUTURA DE AÇO EM ARCO VÃO DE 20m</t>
  </si>
  <si>
    <t>I  25004</t>
  </si>
  <si>
    <t>ENDEREÇO: RUA JOSÉ URSULINO DE ANDRADE, 175, SALGADEIRA, ITAMBÉ-PE</t>
  </si>
  <si>
    <t>SINAPI / 97622</t>
  </si>
  <si>
    <t>SINAPI / 100717</t>
  </si>
  <si>
    <t>LIXAMENTO MANUAL EM SUPERFÍCIES METÁLICAS EM OBRA. AF_01/2020</t>
  </si>
  <si>
    <t>SINAPI / 100744</t>
  </si>
  <si>
    <t>FÔRRO</t>
  </si>
  <si>
    <t>AMPLIAÇÃO</t>
  </si>
  <si>
    <t>SINAPI / 94306</t>
  </si>
  <si>
    <t>ATERRO MECANIZADO DE VALA COM ESCAVADEIRA HIDRÁULICA (CAPACIDADE DA CAÇAMBA: 0,8 M³ / POTÊNCIA: 111 HP), LARGURA DE 1,5 A 2,5 M, PROFUNDIDADE DE 1,5 A 3,0 M, COM SOLO ARGILO-ARENOSO. AF_05/2016</t>
  </si>
  <si>
    <t>6.1.2</t>
  </si>
  <si>
    <t>ESCAVAÇÃO MANUAL DE VALA PARA VIGA BALDRAME, COM PREVISÃO DE FÔRMA. AF_06/2017</t>
  </si>
  <si>
    <t>SINPAI / 95241</t>
  </si>
  <si>
    <t>SINAPI / 87496</t>
  </si>
  <si>
    <t>ALVENARIA DE VEDAÇÃO DE BLOCOS CERÂMICOS FURADOS NA HORIZONTAL DE 9X19X19CM (ESPESSURA 9CM) DE PAREDES COM ÁREA LÍQUIDA MENOR QUE 6M² SEM VÃOS E ARGAMASSA DE ASSENTAMENTO COM PREPARO MANUAL. AF_06/2014</t>
  </si>
  <si>
    <t>SINAPI / 92721</t>
  </si>
  <si>
    <t>SINAPI / 92740</t>
  </si>
  <si>
    <t>6.3.2</t>
  </si>
  <si>
    <t>CONCRETAGEM DE VIGAS E LAJES, FCK=20 MPA, PARA LAJES MACIÇAS OU NERVURADAS COM GRUA DE CAÇAMBA DE 500 L EM EDIFICAÇÃO DE MULTIPAVIMENTOS ATÉ 16 ANDARES, COM ÁREA MÉDIA DE LAJES MAIOR QUE 20 M² - LANÇAMENTO, ADENSAMENTO E ACABAMENTO. AF_12/2015</t>
  </si>
  <si>
    <t>SINAPI / 92762</t>
  </si>
  <si>
    <t>6.3.3</t>
  </si>
  <si>
    <t>ARMAÇÃO DE PILAR OU VIGA DE UMA ESTRUTURA CONVENCIONAL DE CONCRETO ARMADO EM UM EDIFÍCIO DE MÚLTIPLOS PAVIMENTOS UTILIZANDO AÇO CA-50 DE 10,0 MM - MONTAGEM. AF_12/2015</t>
  </si>
  <si>
    <t>SINAPI / 87503</t>
  </si>
  <si>
    <t>6.4.1</t>
  </si>
  <si>
    <t>ALVENARIA DE VEDAÇÃO DE BLOCOS CERÂMICOS FURADOS NA HORIZONTAL DE 9X19X19CM (ESPESSURA 9CM) DE PAREDES COM ÁREA LÍQUIDA MAIOR OU IGUAL A 6M² SEM VÃOS E ARGAMASSA DE ASSENTAMENTO COM PREPARO EM BETONEIRA. AF_06/2014</t>
  </si>
  <si>
    <t>SINAPI / 93184</t>
  </si>
  <si>
    <t>6.4.2</t>
  </si>
  <si>
    <t>VERGA PRÉ-MOLDADA PARA PORTAS COM ATÉ 1,5 M DE VÃO. AF_03/2016</t>
  </si>
  <si>
    <t>SINAPI / 87879</t>
  </si>
  <si>
    <t>6.5.1</t>
  </si>
  <si>
    <t>CHAPISCO APLICADO EM ALVENARIAS E ESTRUTURAS DE CONCRETO INTERNAS, COM COLHER DE PEDREIRO.  ARGAMASSA TRAÇO 1:3 COM PREPARO EM BETONEIRA 400L. AF_06/2014</t>
  </si>
  <si>
    <t>SINAPI / 87529</t>
  </si>
  <si>
    <t>6.5.2</t>
  </si>
  <si>
    <t>SINAPI / 92541</t>
  </si>
  <si>
    <t>6.6.1</t>
  </si>
  <si>
    <t>SINAPI / 94445</t>
  </si>
  <si>
    <t>6.6.2</t>
  </si>
  <si>
    <t>TELHAMENTO COM TELHA CERÂMICA CAPA-CANAL, TIPO PLAN, COM ATÉ 2 ÁGUAS, INCLUSO TRANSPORTE VERTICAL. AF_07/2019</t>
  </si>
  <si>
    <t>6.7.1</t>
  </si>
  <si>
    <t>SINAPI / 90797</t>
  </si>
  <si>
    <t>6.8.1</t>
  </si>
  <si>
    <t>KIT DE PORTA-PRONTA DE MADEIRA EM ACABAMENTO MELAMÍNICO BRANCO, FOLHA LEVE OU MÉDIA, E BATENTE METÁLICO, 90X210CM, FIXAÇÃO COM ARGAMASSA - FORNECIMENTO E INSTALAÇÃO. AF_12/2019</t>
  </si>
  <si>
    <t>SINAPI / 90794</t>
  </si>
  <si>
    <t>6.8.2</t>
  </si>
  <si>
    <t>KIT DE PORTA-PRONTA DE MADEIRA EM ACABAMENTO MELAMÍNICO BRANCO, FOLHA LEVE OU MÉDIA, E BATENTE METÁLICO, 60X210CM, FIXAÇÃO COM ARGAMASSA - FORNECIMENTO E INSTALAÇÃO. AF_12/2019</t>
  </si>
  <si>
    <t>6.8.3</t>
  </si>
  <si>
    <t>JANELA DE MADEIRA (PINUS/EUCALIPTO OU EQUIV.) DE ABRIR COM 4 FOLHAS (2 VENEZIANAS E 2 GUILHOTINAS PARA VIDRO), COM BATENTE, ALIZAR E FERRAGENS. EXCLUSIVE VIDROS, ACABAMENTO E CONTRAMARCO. FORNECIMENTO E INSTALAÇÃO. AF_12/2019</t>
  </si>
  <si>
    <t>GRADIL EM FERRO FIXADO EM VÃOS DE JANELAS, FORMADO POR BARRAS CHATAS DE 25X4,8 MM. AF_04/2019</t>
  </si>
  <si>
    <t>6.9</t>
  </si>
  <si>
    <t>6.9.1</t>
  </si>
  <si>
    <t>6.9.2</t>
  </si>
  <si>
    <t>27*3</t>
  </si>
  <si>
    <t>6.9.3</t>
  </si>
  <si>
    <t>6.9.4</t>
  </si>
  <si>
    <t>6.10</t>
  </si>
  <si>
    <t>SINAPI / 91926</t>
  </si>
  <si>
    <t>6.10.1</t>
  </si>
  <si>
    <t>SINAPI / 97584</t>
  </si>
  <si>
    <t>6.10.2</t>
  </si>
  <si>
    <t>LUMINÁRIA TIPO CALHA, DE SOBREPOR, COM 1 LÂMPADA TUBULAR FLUORESCENTE DE 36 W, COM REATOR DE PARTIDA RÁPIDA - FORNECIMENTO E INSTALAÇÃO. AF_02/2020</t>
  </si>
  <si>
    <t>SINAPI / 93128</t>
  </si>
  <si>
    <t>PONTO DE ILUMINAÇÃO RESIDENCIAL INCLUINDO INTERRUPTOR SIMPLES, CAIXA ELÉTRICA, ELETRODUTO, CABO, RASGO, QUEBRA E CHUMBAMENTO (EXCLUINDO LUMINÁRIA E LÂMPADA). AF_01/2016</t>
  </si>
  <si>
    <t>SINAPI / 93142</t>
  </si>
  <si>
    <t>PONTO DE TOMADA RESIDENCIAL INCLUINDO TOMADA (2 MÓDULOS) 10A/250V, CAIXA ELÉTRICA, ELETRODUTO, CABO, RASGO, QUEBRA E CHUMBAMENTO. AF_01/2016</t>
  </si>
  <si>
    <t>6.11</t>
  </si>
  <si>
    <t>INSTALAÇÕES HIDROSSANITÁRIAS</t>
  </si>
  <si>
    <t>SINAPI / 89957</t>
  </si>
  <si>
    <t>6.11.1</t>
  </si>
  <si>
    <t>PONTO DE CONSUMO TERMINAL DE ÁGUA FRIA (SUBRAMAL) COM TUBULAÇÃO DE PVC, DN 25 MM, INSTALADO EM RAMAL DE ÁGUA, INCLUSOS RASGO E CHUMBAMENTO EM ALVENARIA. AF_12/2014</t>
  </si>
  <si>
    <t>SINAPI / 93357</t>
  </si>
  <si>
    <t>SINAPI / 86885</t>
  </si>
  <si>
    <t>ENGATE FLEXÍVEL EM PLÁSTICO BRANCO, 1/2 X 40CM - FORNECIMENTO E INSTALAÇÃO. AF_01/2020</t>
  </si>
  <si>
    <t>SINAPI / 86883</t>
  </si>
  <si>
    <t>SIFÃO DO TIPO FLEXÍVEL EM PVC 1  X 1.1/2  - FORNECIMENTO E INSTALAÇÃO. AF_01/2020</t>
  </si>
  <si>
    <t>SINAPI / 86899</t>
  </si>
  <si>
    <t>BANCADA DE MÁRMORE BRANCO POLIDO, DE 0,50 X 0,60 M, PARA LAVATÓRIO - FORNECIMENTO E INSTALAÇÃO. AF_01/2020</t>
  </si>
  <si>
    <t>SINAPI / 86906</t>
  </si>
  <si>
    <t>SINAPI / 98107</t>
  </si>
  <si>
    <t>CAIXA DE GORDURA SIMPLES (CAPACIDADE: 36 L), RETANGULAR, EM ALVENARIA COM BLOCOS DE CONCRETO, DIMENSÕES INTERNAS = 0,2X0,4 M, ALTURA INTERNA = 0,8 M. AF_12/2020</t>
  </si>
  <si>
    <t>SINAPI/ 99861</t>
  </si>
  <si>
    <t>PORTÃO EM TUBO DE AÇO GALVANIZADO D=1", MEDINDO 4,00X3,00 M, PADRÃO ESCOLAS</t>
  </si>
  <si>
    <t>SINAPI/ 99802</t>
  </si>
  <si>
    <t>LIMPEZA DE PISO CERÂMICO OU PORCELANATO COM VASSOURA A SECO. AF_04/2019</t>
  </si>
  <si>
    <t>MURO NA PARTE LATERAL</t>
  </si>
  <si>
    <t>BANH. FEM</t>
  </si>
  <si>
    <t>BANH. MASC</t>
  </si>
  <si>
    <t>BANH. MASC.</t>
  </si>
  <si>
    <t>ARCO ENTRADA BANHEIROS</t>
  </si>
  <si>
    <t>CORREDOR 01</t>
  </si>
  <si>
    <t>CORREDOR 02</t>
  </si>
  <si>
    <t>PILARES PÁTIO</t>
  </si>
  <si>
    <t>SALA DOS PROF.</t>
  </si>
  <si>
    <t>BANHEIROS SALA DOS PROF.</t>
  </si>
  <si>
    <t>DESPENSA</t>
  </si>
  <si>
    <t>DEPÓSITO</t>
  </si>
  <si>
    <t>BANH. DEPÓSITO</t>
  </si>
  <si>
    <t>CORREDOR 3</t>
  </si>
  <si>
    <t>BLOCO SALAS</t>
  </si>
  <si>
    <t>BLOCO DIREÇÃO</t>
  </si>
  <si>
    <t>MURO FACHADA</t>
  </si>
  <si>
    <t>MUROS TERRENO</t>
  </si>
  <si>
    <t>GRADIL BLOCO SALAS</t>
  </si>
  <si>
    <t>GRADIL PÁTIO</t>
  </si>
  <si>
    <t>GRADIL BLOCO DIREÇÃO</t>
  </si>
  <si>
    <t>GRADIL MURO FACHADA</t>
  </si>
  <si>
    <t>JANELAS</t>
  </si>
  <si>
    <t>TODAS AS PORTAS</t>
  </si>
  <si>
    <t>FORRO</t>
  </si>
  <si>
    <t>FUNDO DAS VALAS</t>
  </si>
  <si>
    <t>PAREDES</t>
  </si>
  <si>
    <t>PILARES DO REFEITÓRIO</t>
  </si>
  <si>
    <t>ALVENARIA DA AMPIAÇÃO</t>
  </si>
  <si>
    <t>FECHAMENTO DAS PORTAS E JANELAS</t>
  </si>
  <si>
    <t>AREA TOTAL DA AMPLIAÇÃO</t>
  </si>
  <si>
    <t>AREA LATERAL ATE O PÁTIO</t>
  </si>
  <si>
    <t>AREA LATERAL ATE O PÁTIO 2</t>
  </si>
  <si>
    <t xml:space="preserve">BIBLIOTECA </t>
  </si>
  <si>
    <t>SALA DE DESC. MASC.</t>
  </si>
  <si>
    <t>SALA DE DESC. FEM.</t>
  </si>
  <si>
    <t>BANH.MASC.</t>
  </si>
  <si>
    <t>BANH.FEM.</t>
  </si>
  <si>
    <t>CORREDOR AMPLIAÇÃO</t>
  </si>
  <si>
    <t>AREA EXTERNA AMPLIAÇÃO</t>
  </si>
  <si>
    <t xml:space="preserve">GRADIL </t>
  </si>
  <si>
    <t>REFEITÓRIO</t>
  </si>
  <si>
    <t>ESGOTO COZINHA</t>
  </si>
  <si>
    <t>AMPLIAÇÃO ATÉ O PÁTIO</t>
  </si>
  <si>
    <t>PORTÃO DE ENTRAGA</t>
  </si>
  <si>
    <t xml:space="preserve"> APLICAÇÃO DE FUNDO SELADOR ACRÍLICO EM PAREDES, UMA DEMÃO. AF_06/2014</t>
  </si>
  <si>
    <t>BIBLIOTECA (AMPLIAÇÃO)</t>
  </si>
  <si>
    <t>SALA DE DESC. MASC. (AMPLIAÇÃO)</t>
  </si>
  <si>
    <t>SALA DE DESC. FEM. (AMPLIAÇÃO)</t>
  </si>
  <si>
    <t>BANH.MASC. (AMPLIAÇÃO)</t>
  </si>
  <si>
    <t>BANH.FEM. (AMPLIAÇÃO)</t>
  </si>
  <si>
    <t>Portão em tubo de aço galvanizado d=1", medindo 4,00x3,00 m, padrão escolas</t>
  </si>
  <si>
    <t>Argamassa cal e areia traço 1:4 - Confecção mecânica e transporte</t>
  </si>
  <si>
    <t>Tubo de aço galvanizado leve c/ costura c/ rosca BSP Ø = 33,7mm (1"), e = 2,25mm, l = 6000mm NBR 5580</t>
  </si>
  <si>
    <t>ELETRODO REVESTIDO AWS - E7018, DIAMETRO IGUAL A 4,00 MM</t>
  </si>
  <si>
    <t>C 88251</t>
  </si>
  <si>
    <t>I 10997</t>
  </si>
  <si>
    <t xml:space="preserve">MEMORIA DE CALCULO QUADRA DE QUEBEC - RUA GOIANA S/N - DISTRITO DE CARICÉ - ITAMBÉ/PE </t>
  </si>
  <si>
    <t xml:space="preserve"> COLÉGIO PROFº NIVALDO XAVIER DE ARAÚJO</t>
  </si>
  <si>
    <t>COLÉGIO  MUNICIPAL MONS. JULIO MARIA</t>
  </si>
  <si>
    <t xml:space="preserve">OBJETIVO: ESCOLA MONSENHOR JÚLIO MARIA  </t>
  </si>
  <si>
    <t xml:space="preserve">OBRA:  ESCOLA MONSENHOR JÚLIO MARIA  </t>
  </si>
  <si>
    <t>I 4813</t>
  </si>
  <si>
    <t>MEMORIA DE CALCULO ESCOLA MONSENHOR JÚLIO MARIA - RUA JOSÉ URSULINO DE ANDRADE, 175, SALGADEIRA, ITAMBÉ-PE</t>
  </si>
  <si>
    <t>88485 / SINAPI</t>
  </si>
  <si>
    <t>SINAPI / 96526</t>
  </si>
  <si>
    <t>LASTRO DE CONCRETO MAGRO, APLICADO EM PISOS OU RADIERS, ESPESSURA DE 5 CM. AF_07/2016</t>
  </si>
  <si>
    <t>SINAPI / 100666</t>
  </si>
  <si>
    <t>COLETOR PREDIAL DE ESGOTO, DA CAIXA ATÉ A REDE (DISTÂNCIA = 4 M, LARGURA DA VALA = 0,65 M), INCLUINDO ESCAVAÇÃO MECANIZADA, PREPARO DE FUNDO DE VALA E REATERRO COM COMPACTAÇÃO MECANIZADA, TUBO PVC P/ REDE COLETORA ESGOTO JEI DN 100 MM E CONEXÕES - FORNECI</t>
  </si>
  <si>
    <t>95626 / SINAPI</t>
  </si>
  <si>
    <t>95626  / SINAPI</t>
  </si>
  <si>
    <t>6.7.2</t>
  </si>
  <si>
    <t>6.7.3</t>
  </si>
  <si>
    <t>6.8.4</t>
  </si>
  <si>
    <t>6.9.5</t>
  </si>
  <si>
    <t>6.9.6</t>
  </si>
  <si>
    <t>6.9.7</t>
  </si>
  <si>
    <t>6.9.8</t>
  </si>
  <si>
    <t>91295 / SINAPI</t>
  </si>
  <si>
    <t>CONSTRUÇÃO DE QUADRA PEQUENA COM COBERTA E ARQUIBANCADA NO DISTRITO DE QUEBEC - RUA GOIANA S/N</t>
  </si>
  <si>
    <t>OBJETIVO:  CONSTRUÇÃO DE QUADRA PEQUENA COM COBERTA E ARQUIBANCADA NO DISTRITO DE QUEBEC - RUA GOIANA S/N</t>
  </si>
  <si>
    <t>TOTAL ESCOLA QUEBEC</t>
  </si>
  <si>
    <t>98458 / SINAPI</t>
  </si>
  <si>
    <t>C2850 / SEINFRA</t>
  </si>
  <si>
    <t>93212 / SINAPI</t>
  </si>
  <si>
    <t>93207 / SINAPI</t>
  </si>
  <si>
    <t>93584 / SINAPI</t>
  </si>
  <si>
    <t>99059 / SINAPI</t>
  </si>
  <si>
    <t>98525 / SINAPI</t>
  </si>
  <si>
    <t>93358 / SINAPI</t>
  </si>
  <si>
    <t>100576 / SINAPI</t>
  </si>
  <si>
    <t>93382 / SINAPI</t>
  </si>
  <si>
    <t>96619 / SINAPI</t>
  </si>
  <si>
    <t>96535 / SINAPI</t>
  </si>
  <si>
    <t>92917 / SINAPI</t>
  </si>
  <si>
    <t>92919 / SINAPI</t>
  </si>
  <si>
    <t>92915 / SINAPI</t>
  </si>
  <si>
    <t>96558 / SINAPI</t>
  </si>
  <si>
    <t>95241 / SINAPI</t>
  </si>
  <si>
    <t>96536 / SINAPI</t>
  </si>
  <si>
    <t>96557 / SINAPI</t>
  </si>
  <si>
    <t>SUPER ESTRUTURA</t>
  </si>
  <si>
    <t>CONCRETO ARMADO - REVESTIMENTO DE PILARES</t>
  </si>
  <si>
    <t>92431 / SINAPI</t>
  </si>
  <si>
    <t>92720 / SINAPI</t>
  </si>
  <si>
    <t xml:space="preserve"> ESTRTURA METÁLICA</t>
  </si>
  <si>
    <t>C0819 / SEINFRA</t>
  </si>
  <si>
    <t>C1326 / SEINFRA</t>
  </si>
  <si>
    <t xml:space="preserve">KG </t>
  </si>
  <si>
    <t>1.1.1</t>
  </si>
  <si>
    <t>1.1.2</t>
  </si>
  <si>
    <t>1.1.3</t>
  </si>
  <si>
    <t>1.1.4</t>
  </si>
  <si>
    <t>1.1.5</t>
  </si>
  <si>
    <t>1.2.1</t>
  </si>
  <si>
    <t>ESCOLA MUNICIPAL DE QUEBEC</t>
  </si>
  <si>
    <t>1.3.1</t>
  </si>
  <si>
    <t>1.3.2</t>
  </si>
  <si>
    <t>1.3.3</t>
  </si>
  <si>
    <t>1.3.4</t>
  </si>
  <si>
    <t>1.3.5</t>
  </si>
  <si>
    <t>1.3.6</t>
  </si>
  <si>
    <t>1.3.7</t>
  </si>
  <si>
    <t>87878 / SINAPI</t>
  </si>
  <si>
    <t>1.4.1</t>
  </si>
  <si>
    <t>1.4.2</t>
  </si>
  <si>
    <t>1.4.3</t>
  </si>
  <si>
    <t>1.5.1</t>
  </si>
  <si>
    <t>1.5.2</t>
  </si>
  <si>
    <t>1.5.3</t>
  </si>
  <si>
    <t>1.5.4</t>
  </si>
  <si>
    <t>1.5.5</t>
  </si>
  <si>
    <t>1.5.6</t>
  </si>
  <si>
    <t>1.6.1</t>
  </si>
  <si>
    <t>1.6.2</t>
  </si>
  <si>
    <t>1.6.3</t>
  </si>
  <si>
    <t>1.7.1</t>
  </si>
  <si>
    <t>1.7.2</t>
  </si>
  <si>
    <t>1.7.3</t>
  </si>
  <si>
    <t>1.7.4</t>
  </si>
  <si>
    <t>1.7.5</t>
  </si>
  <si>
    <t>1.7.6</t>
  </si>
  <si>
    <t>1.8.1</t>
  </si>
  <si>
    <t>1.8.2</t>
  </si>
  <si>
    <t>1.8.3</t>
  </si>
  <si>
    <t>1.8.4</t>
  </si>
  <si>
    <t>1.8.5</t>
  </si>
  <si>
    <t>1.8.6</t>
  </si>
  <si>
    <t>1.9</t>
  </si>
  <si>
    <t>1.9.1</t>
  </si>
  <si>
    <t>1.10</t>
  </si>
  <si>
    <t>1.10.1</t>
  </si>
  <si>
    <t>CONSTRUÇÃO E AMPLIAÇÃO DE QUADRA PEQUENA COM COBERTA E ARQUIBANCADA</t>
  </si>
  <si>
    <t>2.1.1</t>
  </si>
  <si>
    <t>2.1.2</t>
  </si>
  <si>
    <t>2.1.3</t>
  </si>
  <si>
    <t>2.1.4</t>
  </si>
  <si>
    <t>2.1.5</t>
  </si>
  <si>
    <t>2.1.6</t>
  </si>
  <si>
    <t>2.1.7</t>
  </si>
  <si>
    <t>2.1.8</t>
  </si>
  <si>
    <t>2.2.1</t>
  </si>
  <si>
    <t>2.2.2</t>
  </si>
  <si>
    <t>2.2.3</t>
  </si>
  <si>
    <t>2.3.1</t>
  </si>
  <si>
    <t>2.3.1.1</t>
  </si>
  <si>
    <t>2.3.1.2</t>
  </si>
  <si>
    <t>2.3.1.3</t>
  </si>
  <si>
    <t>2.3.1.4</t>
  </si>
  <si>
    <t>2.3.1.5</t>
  </si>
  <si>
    <t>2.3.1.6</t>
  </si>
  <si>
    <t>2.4.1</t>
  </si>
  <si>
    <t>2.4.2</t>
  </si>
  <si>
    <t>2.4.3</t>
  </si>
  <si>
    <t>2.4.4</t>
  </si>
  <si>
    <t>2.4.5</t>
  </si>
  <si>
    <t>2.5.1</t>
  </si>
  <si>
    <t>2.5.1.1</t>
  </si>
  <si>
    <t>2.5.1.2</t>
  </si>
  <si>
    <t>2.6.1</t>
  </si>
  <si>
    <t>2.6.2</t>
  </si>
  <si>
    <t>2.7.1</t>
  </si>
  <si>
    <t>2.7.1.1</t>
  </si>
  <si>
    <t>2.7.1.2</t>
  </si>
  <si>
    <t>2.8.1</t>
  </si>
  <si>
    <t>2.8.1.1</t>
  </si>
  <si>
    <t>2.8.1.2</t>
  </si>
  <si>
    <t>2.8.1.3</t>
  </si>
  <si>
    <t>2.9</t>
  </si>
  <si>
    <t>2.9.1</t>
  </si>
  <si>
    <t>2.9.2</t>
  </si>
  <si>
    <t>2.9.3</t>
  </si>
  <si>
    <t>94449 / SINAPI</t>
  </si>
  <si>
    <t>94228 / SINAPI</t>
  </si>
  <si>
    <t>2.10</t>
  </si>
  <si>
    <t>98557 / SINAPI</t>
  </si>
  <si>
    <t>2.10.1</t>
  </si>
  <si>
    <t>100742 / SINAPI</t>
  </si>
  <si>
    <t>100722 / SINAPI</t>
  </si>
  <si>
    <t>2.11</t>
  </si>
  <si>
    <t>2.12</t>
  </si>
  <si>
    <t>2.13</t>
  </si>
  <si>
    <t>2.14</t>
  </si>
  <si>
    <t>2.11.1</t>
  </si>
  <si>
    <t>2.11.2</t>
  </si>
  <si>
    <t>2.11.3</t>
  </si>
  <si>
    <t>2.11.4</t>
  </si>
  <si>
    <t>89849 / SINAPI</t>
  </si>
  <si>
    <t>89744 / SINAPI</t>
  </si>
  <si>
    <t>2.12.1</t>
  </si>
  <si>
    <t>INSTALAÇÕES ELÉTRICAS - 220V</t>
  </si>
  <si>
    <t>101875 / SINAPI</t>
  </si>
  <si>
    <t>C3579 / SEINFRA</t>
  </si>
  <si>
    <t>93660 / SINAPI</t>
  </si>
  <si>
    <t>93662 / SINAPI</t>
  </si>
  <si>
    <t>93663 / SINAPI</t>
  </si>
  <si>
    <t>C4530 / SINAPI</t>
  </si>
  <si>
    <t>C4562 / SINAPI</t>
  </si>
  <si>
    <t>2.13.1</t>
  </si>
  <si>
    <t>95746 / SINAPI</t>
  </si>
  <si>
    <t>95748 / SINAPI</t>
  </si>
  <si>
    <t>95811 / SINAPI</t>
  </si>
  <si>
    <t>95814 / SINAPI</t>
  </si>
  <si>
    <t>95817 / SINAPI</t>
  </si>
  <si>
    <t>C0466 / SEINFRA</t>
  </si>
  <si>
    <t>92695 / SINAPI</t>
  </si>
  <si>
    <t>92662 / SINAPI</t>
  </si>
  <si>
    <t>2.14.1</t>
  </si>
  <si>
    <t>2.14.2</t>
  </si>
  <si>
    <t>2.14.3</t>
  </si>
  <si>
    <t>2.14.4</t>
  </si>
  <si>
    <t>2.14.5</t>
  </si>
  <si>
    <t>2.14.6</t>
  </si>
  <si>
    <t>2.14.7</t>
  </si>
  <si>
    <t>2.15</t>
  </si>
  <si>
    <t>91926 / SINAPI</t>
  </si>
  <si>
    <t>91928 / SINAPI</t>
  </si>
  <si>
    <t>2.15.1</t>
  </si>
  <si>
    <t>2.15.2</t>
  </si>
  <si>
    <t>2.16</t>
  </si>
  <si>
    <t>91997 / SINAPI</t>
  </si>
  <si>
    <t>2.16.1</t>
  </si>
  <si>
    <t>2.16.2</t>
  </si>
  <si>
    <t>SISTEMA DE PROTEÇÃO CONTRA DESCARGAS ATMOSFERICA (SPDA)</t>
  </si>
  <si>
    <t>2.17</t>
  </si>
  <si>
    <t>2.18</t>
  </si>
  <si>
    <t>2.19</t>
  </si>
  <si>
    <t>2.17.1</t>
  </si>
  <si>
    <t>2.17.2</t>
  </si>
  <si>
    <t>96985 / SINAPI</t>
  </si>
  <si>
    <t>96973 / SINAPI</t>
  </si>
  <si>
    <t>96974 / SINAPI</t>
  </si>
  <si>
    <t>93008 / SINAPI</t>
  </si>
  <si>
    <t>98111 / SINAPI</t>
  </si>
  <si>
    <t>C2457 / SEINFRA</t>
  </si>
  <si>
    <t>98463 / SINAPI</t>
  </si>
  <si>
    <t>99803 / SINAPI</t>
  </si>
  <si>
    <t>2.18.1</t>
  </si>
  <si>
    <t>TOTAL QUADRA</t>
  </si>
  <si>
    <t>ITEM 1.0 - ESCOLA MUNICIPAL DE QUEBEC</t>
  </si>
  <si>
    <t>ESCOLA MUNICIPAL DE QUEBEC E COBERTURA DE QUADRA PEQUENA COM ARQUIBANCADA</t>
  </si>
  <si>
    <t>ITEM 2.0 - COBERTURA E AMPLIAÇÃO DE QUADRA PEQUENA COM ARQUIBANCADA</t>
  </si>
  <si>
    <t>OBJETIVO:  ESCOLA MUNICIPAL DE QUEBEC / CONSTRUÇÃO E AMPLIAÇÃO DE QUADRA PEQUENA COM ARQUIBANCADA</t>
  </si>
  <si>
    <t>OBRA: CONSTRUÇÃO DE QUADRA PEQUENA COM COBERTA E ARQUIBANCADA NO DISTRITO DE QUEBEC - RUA GOIANA S/N  / ESCOLA MUNICIPAL DE QUEBEC</t>
  </si>
  <si>
    <t>2.3.</t>
  </si>
  <si>
    <t>2.5.5</t>
  </si>
  <si>
    <t>2.12.1.2</t>
  </si>
  <si>
    <t>2.15.3</t>
  </si>
  <si>
    <t>2.15.4</t>
  </si>
  <si>
    <t>2.15.5</t>
  </si>
  <si>
    <t>2.12.1.1</t>
  </si>
  <si>
    <t>2.15.6</t>
  </si>
  <si>
    <t>2.15.7</t>
  </si>
  <si>
    <t>2.15.8</t>
  </si>
  <si>
    <t>2.18.2</t>
  </si>
  <si>
    <t>2.18.3</t>
  </si>
  <si>
    <t>2.18.4</t>
  </si>
  <si>
    <t>2.18.5</t>
  </si>
  <si>
    <t>2.18.6</t>
  </si>
  <si>
    <t>2.18.7</t>
  </si>
  <si>
    <t>2.18.8</t>
  </si>
  <si>
    <t>2.18.9</t>
  </si>
  <si>
    <t>2.18.10</t>
  </si>
  <si>
    <t>2.18.11</t>
  </si>
  <si>
    <t>2.19.1</t>
  </si>
  <si>
    <t>2.14.1.1</t>
  </si>
  <si>
    <t>2.14.1.2</t>
  </si>
  <si>
    <t>2.14.1.3</t>
  </si>
  <si>
    <t>2.14.1.4</t>
  </si>
  <si>
    <t>2.14.1.5</t>
  </si>
  <si>
    <t>2.14.1.6</t>
  </si>
  <si>
    <t>2.14.1.7</t>
  </si>
  <si>
    <t>TERMINAIS</t>
  </si>
  <si>
    <t>SUPORTES</t>
  </si>
  <si>
    <t>CONECTOR</t>
  </si>
  <si>
    <t>CONECTOR DE BRONZE PARA 2 CABOS  5/8" TEL  580</t>
  </si>
  <si>
    <t>LIMPEZA TERRENO</t>
  </si>
  <si>
    <t xml:space="preserve"> ESCOLA MUNICIPAL DE QUEBEC - COBERTURA E AMPLIAÇÃO DE QUADRA PEQUENA COM ARQUIBANCADA</t>
  </si>
  <si>
    <t>BDI</t>
  </si>
  <si>
    <t xml:space="preserve"> 6 MESES</t>
  </si>
  <si>
    <t>SINAPI - JULHO 2021  - NÃO DESONERADO</t>
  </si>
  <si>
    <t>APLICAÇÃO MANUAL DE PINTURA COM TINTA LÁTEX ACRÍLICA EM TETO, DUAS DEMÃOS. AF_06/2014</t>
  </si>
  <si>
    <t>88488/SINAPI</t>
  </si>
  <si>
    <t>ENGATE FLEXÍVEL EM INOX, 1/2 X 30CM - FORNECIMENTO E INSTALAÇÃO. AF_01/2020</t>
  </si>
  <si>
    <t>CAIXA D´ÁGUA EM POLIETILENO, 1000 LITROS - FORNECIMENTO E INSTALAÇÃO. AF_06/2021</t>
  </si>
  <si>
    <t>SINAPI - JULHO 2021 - NÃO DESONERADO</t>
  </si>
  <si>
    <t>APLICAÇÃO MANUAL DE FUNDO SELADOR ACRÍLICO EM PAREDES EXTERNAS DE CASAS. AF_06/2014</t>
  </si>
  <si>
    <t>88415 / SINAPI</t>
  </si>
  <si>
    <t>VASO SANITÁRIO SIFONADO COM CAIXA ACOPLADA LOUÇA BRANCA - PADRÃO MÉDIO, INCLUSO ENGATE FLEXÍVEL EM METAL CROMADO, 1/2 X 40CM - FORNECIMENTO E INSTALAÇÃO. AF_01/2020</t>
  </si>
  <si>
    <t>SINAPI / 86932</t>
  </si>
  <si>
    <t>86886/ SINAPI</t>
  </si>
  <si>
    <t>C  88316</t>
  </si>
  <si>
    <t>TINTA ACRILICA PREMIUM, COR BRANCO FOSCO</t>
  </si>
  <si>
    <t>0,3700000</t>
  </si>
  <si>
    <t>25,26</t>
  </si>
  <si>
    <t>0,0150000</t>
  </si>
  <si>
    <t>95218</t>
  </si>
  <si>
    <t>PULVERIZADOR DE TINTA ELÉTRICO/MÁQUINA DE PINTURA AIRLESS, VAZÃO 2 L/MIN - CHP DIURNO. AF_08/2016</t>
  </si>
  <si>
    <t>CHP</t>
  </si>
  <si>
    <t>0,0057000</t>
  </si>
  <si>
    <t>22,38</t>
  </si>
  <si>
    <t>95219</t>
  </si>
  <si>
    <t>PULVERIZADOR DE TINTA ELÉTRICO/MÁQUINA DE PINTURA AIRLESS, VAZÃO 2 L/MIN - CHI DIURNO. AF_08/2016</t>
  </si>
  <si>
    <t>CHI</t>
  </si>
  <si>
    <t>0,0353000</t>
  </si>
  <si>
    <t>21,70</t>
  </si>
  <si>
    <t xml:space="preserve">I 3106 </t>
  </si>
  <si>
    <t xml:space="preserve">C 88261 </t>
  </si>
  <si>
    <t>96486 / SINAPI</t>
  </si>
  <si>
    <t>FORRO DE PVC, LISO, PARA AMBIENTES COMERCIAIS, INCLUSIVE ESTRUTURA DE FIXAÇÃO. AF_05/2017_P</t>
  </si>
  <si>
    <t xml:space="preserve">I 00000122  </t>
  </si>
  <si>
    <t xml:space="preserve">C 88267 </t>
  </si>
  <si>
    <t>DEMOLIÇAO DE REBOCO</t>
  </si>
  <si>
    <t>87757 / SINAPI</t>
  </si>
  <si>
    <t>C  88315</t>
  </si>
  <si>
    <t xml:space="preserve">PISO EM GRANILITE </t>
  </si>
  <si>
    <t>PISO EM GRANILITE</t>
  </si>
  <si>
    <t>Junta plastica de dilatacao para pisos, cor cinza, 17 x 3 mm (altura x espessura)</t>
  </si>
  <si>
    <t>Granilha/ grana/ pedrisco ou agregado em marmore/ granito/ quartzo e calcario, preto, cinza, palha ou branco</t>
  </si>
  <si>
    <t>Argamassa traço 1:3 (em volume de cimento e areia média úmida)</t>
  </si>
  <si>
    <t>Polidora de piso (politriz), peso de 100kg, diâmetro 450 mm, motor elétrico, potência 4 hp</t>
  </si>
  <si>
    <t>Polidora de piso (politriz), peso de 100kg, diâmetro 450 mm, motor elétrico, potência 4 hp - chi diurno.</t>
  </si>
  <si>
    <t>7167</t>
  </si>
  <si>
    <t>TELA DE ARAME GALVANIZADA QUADRANGULAR / LOSANGULAR, FIO 2,11 MM (14 BWG), MALHA 5 X 5 CM, H = 2 M</t>
  </si>
  <si>
    <t>7696</t>
  </si>
  <si>
    <t>TUBO ACO GALVANIZADO COM COSTURA, CLASSE MEDIA, DN 2", E = *3,65* MM, PESO *5,10* KG/M (NBR 5580)</t>
  </si>
  <si>
    <t>7698</t>
  </si>
  <si>
    <t>TUBO ACO GALVANIZADO COM COSTURA, CLASSE MEDIA, DN 1.1/4", E = *3,25* MM, PESO *3,14* KG/M (NBR 5580)</t>
  </si>
  <si>
    <t>11002</t>
  </si>
  <si>
    <t>ELETRODO REVESTIDO AWS - E6013, DIAMETRO IGUAL A 2,50 MM</t>
  </si>
  <si>
    <t>43130</t>
  </si>
  <si>
    <t>ARAME GALVANIZADO 12 BWG, D = 2,76 MM (0,048 KG/M) OU 14 BWG, D = 2,11 MM (0,026 KG/M)</t>
  </si>
  <si>
    <t>88315</t>
  </si>
  <si>
    <t>94962</t>
  </si>
  <si>
    <t>CONCRETO MAGRO PARA LASTRO, TRAÇO 1:4,5:4,5 (EM MASSA SECA DE CIMENTO/ AREIA MÉDIA/ BRITA 1) - PREPARO MECÂNICO COM BETONEIRA 400 L. AF_05/2021</t>
  </si>
  <si>
    <t>0,0045000</t>
  </si>
  <si>
    <t>C 88288</t>
  </si>
  <si>
    <t>C 88597</t>
  </si>
  <si>
    <t>ESCAVAÇÃO MANUAL DE VALAS</t>
  </si>
  <si>
    <t>C 90781</t>
  </si>
  <si>
    <t>I 1107</t>
  </si>
  <si>
    <t>C 88243</t>
  </si>
  <si>
    <t>C 88245</t>
  </si>
  <si>
    <t>C 88264</t>
  </si>
  <si>
    <t>C 88247</t>
  </si>
  <si>
    <t>SINAPI - JULHO 2021  NÃO DESONERADO</t>
  </si>
  <si>
    <t>4</t>
  </si>
  <si>
    <t>5</t>
  </si>
  <si>
    <t>6</t>
  </si>
  <si>
    <t>m2</t>
  </si>
  <si>
    <t>SALAS E DIREÇÃO</t>
  </si>
  <si>
    <t>ATERRO</t>
  </si>
  <si>
    <t>FECHADURA SALAS</t>
  </si>
  <si>
    <t>OBJETIVO: ESCOLA LAFAYETE NUNES MACHADO</t>
  </si>
  <si>
    <t>MEMÓRIA DE CÁLCULO  DA ESCOLA LAFAYETE NUNES MACHADO - DISTRITO DE CARICÉ - RUA JOAQUIM BARBALHO S/N.</t>
  </si>
  <si>
    <t>SINAPI - JULHO 2021 - SEINFRA - NÃO DESONERADO</t>
  </si>
  <si>
    <t>APLICAÇÃO MANUAL DE PINTURA COM TINTA LÁTEX PVA EM PAREDES, DUAS DEMÃOS</t>
  </si>
  <si>
    <t xml:space="preserve">BATENTE </t>
  </si>
  <si>
    <t xml:space="preserve">PARAFUSO DE METAL 2'' x 12 </t>
  </si>
  <si>
    <t xml:space="preserve">ALIZAR </t>
  </si>
  <si>
    <t>PLACA DE OBRA EM CHAPA DE AÇO GALVANIZADO, INSTALADO.</t>
  </si>
  <si>
    <t>COMPOSIÇÃO 19</t>
  </si>
  <si>
    <t>COMPOSIÇÃO 20</t>
  </si>
  <si>
    <t>COMPOSIÇÃO 24</t>
  </si>
  <si>
    <t xml:space="preserve">COMPOSIÇÃO 26 </t>
  </si>
  <si>
    <t>COMPOSIÇÃO 27</t>
  </si>
  <si>
    <t>COMPOSIÇÃO 28</t>
  </si>
  <si>
    <t>COMPOSIÇÃO 29</t>
  </si>
  <si>
    <t>COMPOSIÇÃO 30</t>
  </si>
  <si>
    <t>COMPOSIÇÃO 31</t>
  </si>
  <si>
    <t>COMPOSIÇÃO 32</t>
  </si>
  <si>
    <t>COMPOSIÇÃO 33</t>
  </si>
  <si>
    <t>COMPOSIÇÃO 34</t>
  </si>
  <si>
    <t>COMPOSIÇÃO 35</t>
  </si>
  <si>
    <t>COMPOSIÇÃO 36</t>
  </si>
  <si>
    <t>COMPOSIÇÃO 37</t>
  </si>
  <si>
    <t>COMPOSIÇÃO 38</t>
  </si>
  <si>
    <t>COMPOSIÇÃO 39</t>
  </si>
  <si>
    <t>COMPOSIÇÃO 40</t>
  </si>
  <si>
    <t xml:space="preserve">ESCAVAÇÃO MANUAL DE VALA COM PROFUNDIDADE MENOR OU IGUAL A 1,30 M. </t>
  </si>
  <si>
    <t>I 366</t>
  </si>
  <si>
    <t>I 392</t>
  </si>
  <si>
    <t xml:space="preserve">I 2673 </t>
  </si>
  <si>
    <t>I 7588</t>
  </si>
  <si>
    <t>I 11891</t>
  </si>
  <si>
    <t xml:space="preserve">I 1870 </t>
  </si>
  <si>
    <t>I 6141</t>
  </si>
  <si>
    <t xml:space="preserve">I 1031 </t>
  </si>
  <si>
    <t xml:space="preserve">I 1030 </t>
  </si>
  <si>
    <t xml:space="preserve">I 6140 </t>
  </si>
  <si>
    <t>I 88316</t>
  </si>
  <si>
    <t xml:space="preserve">PLACA DE OBRA (PARA CONSTRUCAO CIVIL) EM CHAPA GALVANIZADA *N. 22*, ADESIVADA, DE *2,0 X 1,125* M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</si>
  <si>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 95218</t>
  </si>
  <si>
    <t>C 95219</t>
  </si>
  <si>
    <t>COMPOSIÇÃO 41</t>
  </si>
  <si>
    <t>4730</t>
  </si>
  <si>
    <t>PEDRA DE MAO OU PEDRA RACHAO PARA ARRIMO/FUNDACAO (POSTO PEDREIRA/FORNECEDOR, SEM FRETE)</t>
  </si>
  <si>
    <t>88309</t>
  </si>
  <si>
    <t>90586</t>
  </si>
  <si>
    <t>VIBRADOR DE IMERSÃO, DIÂMETRO DE PONTEIRA 45MM, MOTOR ELÉTRICO TRIFÁSICO POTÊNCIA DE 2 CV - CHP DIURNO. AF_06/2015</t>
  </si>
  <si>
    <t>90587</t>
  </si>
  <si>
    <t>VIBRADOR DE IMERSÃO, DIÂMETRO DE PONTEIRA 45MM, MOTOR ELÉTRICO TRIFÁSICO POTÊNCIA DE 2 CV - CHI DIURNO. AF_06/2015</t>
  </si>
  <si>
    <t>94963</t>
  </si>
  <si>
    <t>CONCRETO FCK = 15MPA, TRAÇO 1:3,4:3,5 (EM MASSA SECA DE CIMENTO/ AREIA MÉDIA/ BRITA 1) - PREPARO MECÂNICO COM BETONEIRA 400 L. AF_05/2021</t>
  </si>
  <si>
    <t>CONCRETO CICLÓPICO FCK = 15MPA, 30% PEDRA DE MÃO EM VOLUME REAL, INCLUSIVE LANÇAMENTO.</t>
  </si>
  <si>
    <t>JOSÉ CLAÚDIO ANDRÉ FILHO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</si>
</sst>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* #,##0.00_);_(* \(#,##0.00\);_(* &quot;-&quot;??_);_(@_)"/>
    <numFmt numFmtId="165" formatCode="#,##0.000"/>
    <numFmt numFmtId="166" formatCode="&quot;R$ &quot;#,##0.00_);[Red]\(&quot;R$ &quot;#,##0.00\)"/>
    <numFmt numFmtId="167" formatCode="&quot;R$ &quot;#,##0.00"/>
    <numFmt numFmtId="168" formatCode="_(* #,##0.0000_);_(* \(#,##0.0000\);_(* &quot;-&quot;??_);_(@_)"/>
    <numFmt numFmtId="169" formatCode="&quot;R$ &quot;#,##0.00_);\(&quot;R$ &quot;#,##0.00\)"/>
    <numFmt numFmtId="170" formatCode="0.00000"/>
    <numFmt numFmtId="171" formatCode="#,##0.0000000"/>
    <numFmt numFmtId="172" formatCode="_(* #,##0.00_);_(* \(#,##0.00\);_(* &quot;&quot;??_);_(@_)"/>
  </numFmts>
  <fonts count="7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10"/>
      <name val="Arial"/>
      <family val="2"/>
    </font>
    <font>
      <b/>
      <sz val="10"/>
      <name val="Arial"/>
      <family val="2"/>
    </font>
    <font>
      <sz val="10"/>
      <name val="Courier New"/>
      <family val="3"/>
    </font>
    <font>
      <b/>
      <sz val="9"/>
      <name val="Arial"/>
      <family val="2"/>
    </font>
    <font>
      <sz val="9"/>
      <name val="Arial"/>
      <family val="2"/>
    </font>
    <font>
      <sz val="11"/>
      <name val="Calibri"/>
      <family val="2"/>
      <scheme val="minor"/>
    </font>
    <font>
      <b/>
      <sz val="9"/>
      <color rgb="FFFF0000"/>
      <name val="Arial"/>
      <family val="2"/>
    </font>
    <font>
      <sz val="9"/>
      <color rgb="FFFF0000"/>
      <name val="Arial"/>
      <family val="2"/>
    </font>
    <font>
      <sz val="9"/>
      <color rgb="FF000000"/>
      <name val="Arial"/>
      <family val="2"/>
    </font>
    <font>
      <sz val="9"/>
      <color theme="1"/>
      <name val="Arial"/>
      <family val="2"/>
    </font>
    <font>
      <sz val="10"/>
      <color theme="1"/>
      <name val="Courier New"/>
      <family val="3"/>
    </font>
    <font>
      <b/>
      <sz val="16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i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3"/>
      <name val="Calibri"/>
      <family val="2"/>
      <scheme val="minor"/>
    </font>
    <font>
      <b/>
      <sz val="10"/>
      <color theme="1"/>
      <name val="Arial"/>
      <family val="2"/>
    </font>
    <font>
      <sz val="10"/>
      <color theme="3"/>
      <name val="Arial"/>
      <family val="2"/>
    </font>
    <font>
      <b/>
      <sz val="9"/>
      <color theme="1"/>
      <name val="Arial"/>
      <family val="2"/>
    </font>
    <font>
      <sz val="9"/>
      <color theme="3"/>
      <name val="Arial"/>
      <family val="2"/>
    </font>
    <font>
      <b/>
      <sz val="14"/>
      <name val="Arial"/>
      <family val="2"/>
    </font>
    <font>
      <b/>
      <sz val="16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</font>
    <font>
      <b/>
      <i/>
      <u/>
      <sz val="16"/>
      <name val="Arial"/>
      <family val="2"/>
    </font>
    <font>
      <b/>
      <i/>
      <sz val="16"/>
      <name val="Arial"/>
      <family val="2"/>
    </font>
    <font>
      <b/>
      <i/>
      <sz val="16"/>
      <name val="Calibri"/>
      <family val="2"/>
    </font>
    <font>
      <b/>
      <sz val="12"/>
      <name val="Arial"/>
      <family val="2"/>
    </font>
    <font>
      <sz val="12"/>
      <color theme="1"/>
      <name val="Calibri"/>
      <family val="2"/>
      <scheme val="minor"/>
    </font>
    <font>
      <sz val="10"/>
      <color rgb="FFFF0000"/>
      <name val="Arial"/>
      <family val="2"/>
    </font>
    <font>
      <sz val="10"/>
      <name val="Calibri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b/>
      <sz val="10"/>
      <name val="Spranq eco sans"/>
      <family val="2"/>
    </font>
    <font>
      <sz val="11"/>
      <name val="Calibri"/>
      <family val="2"/>
    </font>
    <font>
      <b/>
      <sz val="9"/>
      <color rgb="FF000000"/>
      <name val="Arial"/>
      <family val="2"/>
    </font>
    <font>
      <sz val="12"/>
      <color theme="1"/>
      <name val="Arial"/>
      <family val="2"/>
    </font>
    <font>
      <sz val="12"/>
      <color rgb="FFFF0000"/>
      <name val="Arial"/>
      <family val="2"/>
    </font>
    <font>
      <sz val="10"/>
      <name val="Arial"/>
      <family val="2"/>
    </font>
    <font>
      <u/>
      <sz val="10"/>
      <color theme="10"/>
      <name val="Arial"/>
      <family val="2"/>
    </font>
    <font>
      <sz val="11"/>
      <color indexed="8"/>
      <name val="Calibri"/>
      <family val="2"/>
    </font>
    <font>
      <sz val="11"/>
      <color indexed="8"/>
      <name val="Arial"/>
      <family val="2"/>
    </font>
    <font>
      <i/>
      <sz val="14"/>
      <name val="Arial Narrow"/>
      <family val="2"/>
    </font>
    <font>
      <sz val="10"/>
      <name val="Arial Narrow"/>
      <family val="2"/>
    </font>
    <font>
      <sz val="14"/>
      <name val="Times New Roman"/>
      <family val="1"/>
    </font>
    <font>
      <b/>
      <i/>
      <sz val="20"/>
      <color indexed="8"/>
      <name val="Arial Narrow"/>
      <family val="2"/>
    </font>
    <font>
      <b/>
      <sz val="20"/>
      <name val="Arial Narrow"/>
      <family val="2"/>
    </font>
    <font>
      <sz val="9"/>
      <name val="Times New Roman"/>
      <family val="1"/>
    </font>
    <font>
      <b/>
      <sz val="18"/>
      <name val="Arial Narrow"/>
      <family val="2"/>
    </font>
    <font>
      <b/>
      <sz val="16"/>
      <name val="Arial Narrow"/>
      <family val="2"/>
    </font>
    <font>
      <b/>
      <sz val="14"/>
      <name val="Arial Narrow"/>
      <family val="2"/>
    </font>
    <font>
      <sz val="14"/>
      <name val="Arial Narrow"/>
      <family val="2"/>
    </font>
    <font>
      <b/>
      <sz val="12"/>
      <name val="Arial Narrow"/>
      <family val="2"/>
    </font>
    <font>
      <sz val="12"/>
      <name val="Arial Narrow"/>
      <family val="2"/>
    </font>
    <font>
      <b/>
      <sz val="10"/>
      <name val="Arial Narrow"/>
      <family val="2"/>
    </font>
    <font>
      <sz val="9"/>
      <name val="Arial Narrow"/>
      <family val="2"/>
    </font>
    <font>
      <sz val="14"/>
      <color indexed="10"/>
      <name val="MS LineDraw"/>
      <family val="3"/>
      <charset val="2"/>
    </font>
    <font>
      <b/>
      <sz val="14"/>
      <name val="Times New Roman"/>
      <family val="1"/>
    </font>
    <font>
      <b/>
      <sz val="9"/>
      <name val="Arial Narrow"/>
      <family val="2"/>
    </font>
    <font>
      <b/>
      <sz val="10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6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i/>
      <sz val="10"/>
      <color rgb="FF000000"/>
      <name val="Calibri"/>
      <family val="2"/>
      <scheme val="minor"/>
    </font>
    <font>
      <b/>
      <sz val="12"/>
      <color theme="1"/>
      <name val="Arial"/>
      <family val="2"/>
    </font>
    <font>
      <b/>
      <sz val="10"/>
      <color rgb="FFFF0000"/>
      <name val="Arial"/>
      <family val="2"/>
    </font>
    <font>
      <sz val="8"/>
      <color rgb="FF000000"/>
      <name val="Verdana"/>
      <family val="2"/>
    </font>
    <font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sz val="10"/>
      <name val="Courier New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rgb="FFA6A6A6"/>
        <bgColor rgb="FF000000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3" tint="0.79998168889431442"/>
        <bgColor indexed="64"/>
      </patternFill>
    </fill>
  </fills>
  <borders count="83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/>
      <bottom style="medium">
        <color indexed="64"/>
      </bottom>
      <diagonal/>
    </border>
    <border>
      <left/>
      <right style="thin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rgb="FF000000"/>
      </left>
      <right/>
      <top/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9">
    <xf numFmtId="0" fontId="0" fillId="0" borderId="0"/>
    <xf numFmtId="43" fontId="1" fillId="0" borderId="0" applyFont="0" applyFill="0" applyBorder="0" applyAlignment="0" applyProtection="0"/>
    <xf numFmtId="0" fontId="2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3" fillId="0" borderId="0"/>
    <xf numFmtId="0" fontId="3" fillId="0" borderId="0"/>
    <xf numFmtId="0" fontId="36" fillId="0" borderId="0"/>
    <xf numFmtId="169" fontId="3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0" fontId="36" fillId="0" borderId="0"/>
    <xf numFmtId="169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2" fillId="0" borderId="0"/>
    <xf numFmtId="0" fontId="43" fillId="0" borderId="0"/>
    <xf numFmtId="44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44" fillId="0" borderId="0" applyNumberFormat="0" applyFill="0" applyBorder="0" applyAlignment="0" applyProtection="0"/>
    <xf numFmtId="0" fontId="45" fillId="0" borderId="0"/>
    <xf numFmtId="0" fontId="3" fillId="0" borderId="0"/>
    <xf numFmtId="0" fontId="3" fillId="0" borderId="0"/>
    <xf numFmtId="0" fontId="3" fillId="0" borderId="0"/>
    <xf numFmtId="164" fontId="46" fillId="0" borderId="0" applyFont="0" applyFill="0" applyBorder="0" applyAlignment="0" applyProtection="0"/>
    <xf numFmtId="0" fontId="3" fillId="0" borderId="0"/>
    <xf numFmtId="0" fontId="3" fillId="0" borderId="0"/>
    <xf numFmtId="2" fontId="3" fillId="0" borderId="0"/>
    <xf numFmtId="0" fontId="52" fillId="0" borderId="0"/>
    <xf numFmtId="0" fontId="3" fillId="0" borderId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</cellStyleXfs>
  <cellXfs count="1407">
    <xf numFmtId="0" fontId="0" fillId="0" borderId="0" xfId="0"/>
    <xf numFmtId="0" fontId="7" fillId="2" borderId="9" xfId="5" applyFont="1" applyFill="1" applyBorder="1" applyAlignment="1">
      <alignment horizontal="center" vertical="center"/>
    </xf>
    <xf numFmtId="2" fontId="7" fillId="2" borderId="9" xfId="5" applyNumberFormat="1" applyFont="1" applyFill="1" applyBorder="1" applyAlignment="1">
      <alignment horizontal="center" vertical="center"/>
    </xf>
    <xf numFmtId="44" fontId="7" fillId="2" borderId="9" xfId="3" applyFont="1" applyFill="1" applyBorder="1" applyAlignment="1">
      <alignment horizontal="center" vertical="center" wrapText="1"/>
    </xf>
    <xf numFmtId="0" fontId="6" fillId="4" borderId="9" xfId="5" applyFont="1" applyFill="1" applyBorder="1" applyAlignment="1">
      <alignment horizontal="center" vertical="center"/>
    </xf>
    <xf numFmtId="0" fontId="6" fillId="4" borderId="9" xfId="5" applyFont="1" applyFill="1" applyBorder="1" applyAlignment="1">
      <alignment vertical="center" wrapText="1"/>
    </xf>
    <xf numFmtId="4" fontId="6" fillId="4" borderId="9" xfId="5" applyNumberFormat="1" applyFont="1" applyFill="1" applyBorder="1" applyAlignment="1">
      <alignment vertical="center"/>
    </xf>
    <xf numFmtId="44" fontId="6" fillId="4" borderId="9" xfId="3" applyFont="1" applyFill="1" applyBorder="1" applyAlignment="1">
      <alignment vertical="center"/>
    </xf>
    <xf numFmtId="0" fontId="7" fillId="0" borderId="9" xfId="5" applyFont="1" applyFill="1" applyBorder="1" applyAlignment="1">
      <alignment vertical="center" wrapText="1"/>
    </xf>
    <xf numFmtId="4" fontId="7" fillId="2" borderId="9" xfId="5" applyNumberFormat="1" applyFont="1" applyFill="1" applyBorder="1" applyAlignment="1">
      <alignment vertical="center"/>
    </xf>
    <xf numFmtId="44" fontId="7" fillId="0" borderId="9" xfId="3" applyFont="1" applyFill="1" applyBorder="1" applyAlignment="1">
      <alignment vertical="center"/>
    </xf>
    <xf numFmtId="0" fontId="8" fillId="0" borderId="0" xfId="0" applyFont="1"/>
    <xf numFmtId="0" fontId="3" fillId="0" borderId="0" xfId="0" applyFont="1"/>
    <xf numFmtId="164" fontId="7" fillId="2" borderId="9" xfId="5" applyNumberFormat="1" applyFont="1" applyFill="1" applyBorder="1" applyAlignment="1">
      <alignment horizontal="center" vertical="center"/>
    </xf>
    <xf numFmtId="0" fontId="0" fillId="0" borderId="0" xfId="0" applyFont="1"/>
    <xf numFmtId="0" fontId="7" fillId="0" borderId="9" xfId="5" applyFont="1" applyFill="1" applyBorder="1" applyAlignment="1">
      <alignment horizontal="center" vertical="center"/>
    </xf>
    <xf numFmtId="164" fontId="7" fillId="0" borderId="9" xfId="5" applyNumberFormat="1" applyFont="1" applyFill="1" applyBorder="1" applyAlignment="1">
      <alignment horizontal="center" vertical="center"/>
    </xf>
    <xf numFmtId="4" fontId="7" fillId="0" borderId="9" xfId="6" applyNumberFormat="1" applyFont="1" applyFill="1" applyBorder="1" applyAlignment="1">
      <alignment horizontal="right" vertical="center"/>
    </xf>
    <xf numFmtId="4" fontId="7" fillId="2" borderId="9" xfId="6" applyNumberFormat="1" applyFont="1" applyFill="1" applyBorder="1" applyAlignment="1">
      <alignment horizontal="right" vertical="center"/>
    </xf>
    <xf numFmtId="164" fontId="7" fillId="2" borderId="9" xfId="5" applyNumberFormat="1" applyFont="1" applyFill="1" applyBorder="1" applyAlignment="1">
      <alignment horizontal="center" vertical="center" wrapText="1" shrinkToFit="1"/>
    </xf>
    <xf numFmtId="0" fontId="6" fillId="0" borderId="0" xfId="5" applyFont="1" applyFill="1" applyBorder="1" applyAlignment="1">
      <alignment horizontal="center" vertical="center"/>
    </xf>
    <xf numFmtId="44" fontId="6" fillId="0" borderId="0" xfId="3" applyFont="1" applyFill="1" applyBorder="1" applyAlignment="1">
      <alignment horizontal="center" vertical="center"/>
    </xf>
    <xf numFmtId="0" fontId="3" fillId="0" borderId="0" xfId="5" applyBorder="1" applyAlignment="1">
      <alignment horizontal="center" vertical="center"/>
    </xf>
    <xf numFmtId="0" fontId="3" fillId="0" borderId="0" xfId="5" applyBorder="1" applyAlignment="1">
      <alignment vertical="center"/>
    </xf>
    <xf numFmtId="2" fontId="3" fillId="0" borderId="0" xfId="5" applyNumberFormat="1" applyBorder="1" applyAlignment="1">
      <alignment horizontal="right" vertical="center"/>
    </xf>
    <xf numFmtId="44" fontId="3" fillId="0" borderId="0" xfId="3" applyFont="1" applyBorder="1" applyAlignment="1">
      <alignment vertical="center"/>
    </xf>
    <xf numFmtId="0" fontId="3" fillId="0" borderId="0" xfId="5" applyAlignment="1">
      <alignment horizontal="center" vertical="center"/>
    </xf>
    <xf numFmtId="0" fontId="3" fillId="0" borderId="0" xfId="5" applyAlignment="1">
      <alignment vertical="center"/>
    </xf>
    <xf numFmtId="4" fontId="3" fillId="0" borderId="0" xfId="5" applyNumberFormat="1" applyAlignment="1">
      <alignment vertical="center"/>
    </xf>
    <xf numFmtId="44" fontId="3" fillId="0" borderId="0" xfId="3" applyFont="1" applyAlignment="1">
      <alignment vertical="center"/>
    </xf>
    <xf numFmtId="0" fontId="7" fillId="2" borderId="9" xfId="5" applyFont="1" applyFill="1" applyBorder="1" applyAlignment="1">
      <alignment horizontal="center"/>
    </xf>
    <xf numFmtId="4" fontId="7" fillId="2" borderId="9" xfId="5" applyNumberFormat="1" applyFont="1" applyFill="1" applyBorder="1" applyAlignment="1">
      <alignment horizontal="center" vertical="center"/>
    </xf>
    <xf numFmtId="44" fontId="7" fillId="0" borderId="9" xfId="3" applyFont="1" applyFill="1" applyBorder="1" applyAlignment="1">
      <alignment horizontal="center" vertical="center"/>
    </xf>
    <xf numFmtId="44" fontId="7" fillId="2" borderId="9" xfId="3" applyFont="1" applyFill="1" applyBorder="1" applyAlignment="1">
      <alignment horizontal="center" vertical="center"/>
    </xf>
    <xf numFmtId="4" fontId="12" fillId="2" borderId="9" xfId="5" applyNumberFormat="1" applyFont="1" applyFill="1" applyBorder="1" applyAlignment="1">
      <alignment horizontal="center" vertical="center"/>
    </xf>
    <xf numFmtId="0" fontId="7" fillId="0" borderId="9" xfId="5" applyFont="1" applyFill="1" applyBorder="1" applyAlignment="1">
      <alignment horizontal="center" vertical="center" wrapText="1"/>
    </xf>
    <xf numFmtId="0" fontId="7" fillId="0" borderId="9" xfId="0" applyFont="1" applyBorder="1" applyAlignment="1">
      <alignment vertical="center" wrapText="1"/>
    </xf>
    <xf numFmtId="0" fontId="5" fillId="0" borderId="0" xfId="0" applyFont="1"/>
    <xf numFmtId="0" fontId="11" fillId="0" borderId="9" xfId="0" applyFont="1" applyBorder="1" applyAlignment="1">
      <alignment horizontal="center" vertical="center"/>
    </xf>
    <xf numFmtId="0" fontId="7" fillId="0" borderId="9" xfId="0" applyFont="1" applyBorder="1" applyAlignment="1">
      <alignment horizontal="left" vertical="top" wrapText="1"/>
    </xf>
    <xf numFmtId="0" fontId="17" fillId="0" borderId="2" xfId="7" applyFont="1" applyFill="1" applyBorder="1" applyAlignment="1">
      <alignment horizontal="center" vertical="center" wrapText="1"/>
    </xf>
    <xf numFmtId="0" fontId="17" fillId="0" borderId="2" xfId="7" applyFont="1" applyFill="1" applyBorder="1" applyAlignment="1">
      <alignment vertical="center" wrapText="1"/>
    </xf>
    <xf numFmtId="10" fontId="16" fillId="0" borderId="0" xfId="7" applyNumberFormat="1" applyFont="1" applyBorder="1" applyAlignment="1">
      <alignment horizontal="center" vertical="center"/>
    </xf>
    <xf numFmtId="0" fontId="16" fillId="0" borderId="0" xfId="7" applyFont="1" applyBorder="1" applyAlignment="1">
      <alignment horizontal="center" vertical="center"/>
    </xf>
    <xf numFmtId="0" fontId="17" fillId="0" borderId="0" xfId="7" applyFont="1" applyBorder="1" applyAlignment="1">
      <alignment horizontal="left" vertical="center"/>
    </xf>
    <xf numFmtId="0" fontId="17" fillId="0" borderId="0" xfId="7" applyFont="1" applyBorder="1" applyAlignment="1">
      <alignment vertical="center"/>
    </xf>
    <xf numFmtId="0" fontId="16" fillId="0" borderId="0" xfId="7" applyFont="1" applyBorder="1" applyAlignment="1">
      <alignment vertical="center"/>
    </xf>
    <xf numFmtId="14" fontId="16" fillId="0" borderId="0" xfId="7" applyNumberFormat="1" applyFont="1" applyBorder="1" applyAlignment="1">
      <alignment horizontal="center" vertical="center"/>
    </xf>
    <xf numFmtId="4" fontId="17" fillId="0" borderId="0" xfId="8" applyNumberFormat="1" applyFont="1" applyBorder="1" applyAlignment="1">
      <alignment vertical="center"/>
    </xf>
    <xf numFmtId="0" fontId="17" fillId="0" borderId="0" xfId="7" applyFont="1" applyBorder="1" applyAlignment="1">
      <alignment horizontal="center" vertical="center"/>
    </xf>
    <xf numFmtId="49" fontId="16" fillId="0" borderId="0" xfId="7" applyNumberFormat="1" applyFont="1" applyBorder="1" applyAlignment="1">
      <alignment vertical="center"/>
    </xf>
    <xf numFmtId="2" fontId="16" fillId="0" borderId="0" xfId="7" applyNumberFormat="1" applyFont="1" applyBorder="1" applyAlignment="1">
      <alignment horizontal="center" vertical="center"/>
    </xf>
    <xf numFmtId="49" fontId="16" fillId="0" borderId="0" xfId="9" applyNumberFormat="1" applyFont="1" applyFill="1" applyBorder="1" applyAlignment="1">
      <alignment horizontal="left" vertical="center"/>
    </xf>
    <xf numFmtId="49" fontId="17" fillId="0" borderId="0" xfId="9" applyNumberFormat="1" applyFont="1" applyFill="1" applyBorder="1" applyAlignment="1">
      <alignment vertical="center"/>
    </xf>
    <xf numFmtId="49" fontId="18" fillId="0" borderId="0" xfId="9" applyNumberFormat="1" applyFont="1" applyFill="1" applyBorder="1" applyAlignment="1">
      <alignment vertical="center"/>
    </xf>
    <xf numFmtId="164" fontId="16" fillId="0" borderId="0" xfId="9" applyNumberFormat="1" applyFont="1" applyFill="1" applyBorder="1" applyAlignment="1">
      <alignment vertical="center"/>
    </xf>
    <xf numFmtId="164" fontId="16" fillId="0" borderId="0" xfId="9" applyNumberFormat="1" applyFont="1" applyFill="1" applyBorder="1" applyAlignment="1">
      <alignment horizontal="center" vertical="center"/>
    </xf>
    <xf numFmtId="49" fontId="16" fillId="0" borderId="0" xfId="9" applyNumberFormat="1" applyFont="1" applyFill="1" applyBorder="1" applyAlignment="1">
      <alignment horizontal="right" vertical="center"/>
    </xf>
    <xf numFmtId="0" fontId="17" fillId="3" borderId="0" xfId="7" applyFont="1" applyFill="1" applyBorder="1" applyAlignment="1">
      <alignment horizontal="center" vertical="center"/>
    </xf>
    <xf numFmtId="0" fontId="16" fillId="3" borderId="0" xfId="7" applyFont="1" applyFill="1" applyBorder="1" applyAlignment="1">
      <alignment horizontal="center" vertical="center"/>
    </xf>
    <xf numFmtId="0" fontId="16" fillId="0" borderId="0" xfId="7" applyFont="1" applyFill="1" applyBorder="1" applyAlignment="1">
      <alignment horizontal="center" vertical="center"/>
    </xf>
    <xf numFmtId="0" fontId="17" fillId="0" borderId="0" xfId="7" applyFont="1" applyFill="1" applyBorder="1" applyAlignment="1">
      <alignment horizontal="center" vertical="center" wrapText="1"/>
    </xf>
    <xf numFmtId="4" fontId="17" fillId="0" borderId="21" xfId="7" applyNumberFormat="1" applyFont="1" applyFill="1" applyBorder="1" applyAlignment="1">
      <alignment horizontal="center" vertical="center"/>
    </xf>
    <xf numFmtId="0" fontId="17" fillId="0" borderId="0" xfId="7" applyFont="1" applyFill="1" applyBorder="1" applyAlignment="1">
      <alignment horizontal="center" vertical="center"/>
    </xf>
    <xf numFmtId="0" fontId="19" fillId="0" borderId="22" xfId="7" applyFont="1" applyFill="1" applyBorder="1" applyAlignment="1">
      <alignment horizontal="center" vertical="center"/>
    </xf>
    <xf numFmtId="2" fontId="19" fillId="0" borderId="22" xfId="7" applyNumberFormat="1" applyFont="1" applyFill="1" applyBorder="1" applyAlignment="1">
      <alignment horizontal="center" vertical="center"/>
    </xf>
    <xf numFmtId="2" fontId="19" fillId="0" borderId="22" xfId="7" applyNumberFormat="1" applyFont="1" applyFill="1" applyBorder="1" applyAlignment="1">
      <alignment horizontal="center" vertical="center" wrapText="1"/>
    </xf>
    <xf numFmtId="2" fontId="16" fillId="0" borderId="0" xfId="7" applyNumberFormat="1" applyFont="1" applyFill="1" applyBorder="1" applyAlignment="1">
      <alignment horizontal="center" vertical="center"/>
    </xf>
    <xf numFmtId="4" fontId="16" fillId="0" borderId="22" xfId="7" applyNumberFormat="1" applyFont="1" applyFill="1" applyBorder="1" applyAlignment="1">
      <alignment horizontal="center" vertical="center"/>
    </xf>
    <xf numFmtId="4" fontId="16" fillId="0" borderId="22" xfId="7" applyNumberFormat="1" applyFont="1" applyFill="1" applyBorder="1" applyAlignment="1">
      <alignment horizontal="center" vertical="center" wrapText="1"/>
    </xf>
    <xf numFmtId="4" fontId="19" fillId="0" borderId="22" xfId="7" applyNumberFormat="1" applyFont="1" applyFill="1" applyBorder="1" applyAlignment="1">
      <alignment horizontal="center" vertical="center" wrapText="1"/>
    </xf>
    <xf numFmtId="2" fontId="20" fillId="0" borderId="0" xfId="7" applyNumberFormat="1" applyFont="1" applyFill="1" applyBorder="1" applyAlignment="1">
      <alignment horizontal="right" vertical="center"/>
    </xf>
    <xf numFmtId="4" fontId="19" fillId="0" borderId="0" xfId="7" applyNumberFormat="1" applyFont="1" applyFill="1" applyBorder="1" applyAlignment="1">
      <alignment horizontal="center" vertical="center" wrapText="1"/>
    </xf>
    <xf numFmtId="2" fontId="19" fillId="0" borderId="0" xfId="7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165" fontId="16" fillId="0" borderId="22" xfId="7" applyNumberFormat="1" applyFont="1" applyFill="1" applyBorder="1" applyAlignment="1">
      <alignment horizontal="center" vertical="center"/>
    </xf>
    <xf numFmtId="0" fontId="4" fillId="3" borderId="0" xfId="7" applyFont="1" applyFill="1" applyBorder="1" applyAlignment="1">
      <alignment horizontal="center" vertical="center"/>
    </xf>
    <xf numFmtId="0" fontId="3" fillId="3" borderId="0" xfId="7" applyFont="1" applyFill="1" applyBorder="1" applyAlignment="1">
      <alignment horizontal="center" vertical="center"/>
    </xf>
    <xf numFmtId="0" fontId="4" fillId="0" borderId="0" xfId="7" applyFont="1" applyFill="1" applyBorder="1" applyAlignment="1">
      <alignment horizontal="center" vertical="center"/>
    </xf>
    <xf numFmtId="0" fontId="21" fillId="0" borderId="22" xfId="7" applyFont="1" applyFill="1" applyBorder="1" applyAlignment="1">
      <alignment horizontal="center" vertical="center"/>
    </xf>
    <xf numFmtId="2" fontId="21" fillId="0" borderId="22" xfId="7" applyNumberFormat="1" applyFont="1" applyFill="1" applyBorder="1" applyAlignment="1">
      <alignment horizontal="center" vertical="center"/>
    </xf>
    <xf numFmtId="2" fontId="21" fillId="0" borderId="22" xfId="7" applyNumberFormat="1" applyFont="1" applyFill="1" applyBorder="1" applyAlignment="1">
      <alignment horizontal="center" vertical="center" wrapText="1"/>
    </xf>
    <xf numFmtId="2" fontId="3" fillId="0" borderId="0" xfId="7" applyNumberFormat="1" applyFont="1" applyFill="1" applyBorder="1" applyAlignment="1">
      <alignment horizontal="center" vertical="center"/>
    </xf>
    <xf numFmtId="4" fontId="3" fillId="0" borderId="22" xfId="7" applyNumberFormat="1" applyFont="1" applyFill="1" applyBorder="1" applyAlignment="1">
      <alignment horizontal="center" vertical="center"/>
    </xf>
    <xf numFmtId="2" fontId="3" fillId="0" borderId="22" xfId="7" applyNumberFormat="1" applyFont="1" applyFill="1" applyBorder="1" applyAlignment="1">
      <alignment horizontal="center" vertical="center" wrapText="1"/>
    </xf>
    <xf numFmtId="0" fontId="7" fillId="0" borderId="0" xfId="7" applyFont="1" applyFill="1" applyBorder="1" applyAlignment="1">
      <alignment horizontal="center" vertical="center"/>
    </xf>
    <xf numFmtId="0" fontId="6" fillId="0" borderId="0" xfId="7" applyFont="1" applyFill="1" applyBorder="1" applyAlignment="1">
      <alignment horizontal="center" vertical="center"/>
    </xf>
    <xf numFmtId="0" fontId="23" fillId="0" borderId="22" xfId="7" applyFont="1" applyFill="1" applyBorder="1" applyAlignment="1">
      <alignment horizontal="center" vertical="center"/>
    </xf>
    <xf numFmtId="2" fontId="23" fillId="0" borderId="22" xfId="7" applyNumberFormat="1" applyFont="1" applyFill="1" applyBorder="1" applyAlignment="1">
      <alignment horizontal="center" vertical="center"/>
    </xf>
    <xf numFmtId="2" fontId="23" fillId="0" borderId="22" xfId="7" applyNumberFormat="1" applyFont="1" applyFill="1" applyBorder="1" applyAlignment="1">
      <alignment horizontal="center" vertical="center" wrapText="1"/>
    </xf>
    <xf numFmtId="2" fontId="7" fillId="0" borderId="0" xfId="7" applyNumberFormat="1" applyFont="1" applyFill="1" applyBorder="1" applyAlignment="1">
      <alignment horizontal="center" vertical="center"/>
    </xf>
    <xf numFmtId="4" fontId="7" fillId="0" borderId="22" xfId="7" applyNumberFormat="1" applyFont="1" applyFill="1" applyBorder="1" applyAlignment="1">
      <alignment horizontal="center" vertical="center"/>
    </xf>
    <xf numFmtId="0" fontId="23" fillId="0" borderId="26" xfId="7" applyFont="1" applyFill="1" applyBorder="1" applyAlignment="1">
      <alignment horizontal="center" vertical="center"/>
    </xf>
    <xf numFmtId="2" fontId="23" fillId="0" borderId="26" xfId="7" applyNumberFormat="1" applyFont="1" applyFill="1" applyBorder="1" applyAlignment="1">
      <alignment horizontal="center" vertical="center"/>
    </xf>
    <xf numFmtId="2" fontId="23" fillId="0" borderId="26" xfId="7" applyNumberFormat="1" applyFont="1" applyFill="1" applyBorder="1" applyAlignment="1">
      <alignment horizontal="center" vertical="center" wrapText="1"/>
    </xf>
    <xf numFmtId="2" fontId="6" fillId="0" borderId="22" xfId="7" applyNumberFormat="1" applyFont="1" applyFill="1" applyBorder="1" applyAlignment="1">
      <alignment vertical="center"/>
    </xf>
    <xf numFmtId="2" fontId="6" fillId="0" borderId="22" xfId="7" applyNumberFormat="1" applyFont="1" applyFill="1" applyBorder="1" applyAlignment="1">
      <alignment horizontal="center" vertical="center"/>
    </xf>
    <xf numFmtId="2" fontId="6" fillId="0" borderId="22" xfId="7" applyNumberFormat="1" applyFont="1" applyFill="1" applyBorder="1" applyAlignment="1">
      <alignment horizontal="center" vertical="center" wrapText="1"/>
    </xf>
    <xf numFmtId="43" fontId="7" fillId="0" borderId="9" xfId="1" applyFont="1" applyFill="1" applyBorder="1" applyAlignment="1">
      <alignment vertical="center" wrapText="1"/>
    </xf>
    <xf numFmtId="43" fontId="7" fillId="2" borderId="9" xfId="1" applyFont="1" applyFill="1" applyBorder="1" applyAlignment="1">
      <alignment horizontal="center" vertical="center"/>
    </xf>
    <xf numFmtId="43" fontId="7" fillId="2" borderId="9" xfId="1" applyFont="1" applyFill="1" applyBorder="1" applyAlignment="1">
      <alignment vertical="center"/>
    </xf>
    <xf numFmtId="44" fontId="7" fillId="2" borderId="9" xfId="5" applyNumberFormat="1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 wrapText="1"/>
    </xf>
    <xf numFmtId="0" fontId="3" fillId="0" borderId="0" xfId="10" applyFont="1" applyFill="1" applyBorder="1"/>
    <xf numFmtId="0" fontId="3" fillId="0" borderId="0" xfId="5" applyFont="1" applyFill="1" applyBorder="1"/>
    <xf numFmtId="0" fontId="4" fillId="0" borderId="4" xfId="5" applyFont="1" applyFill="1" applyBorder="1" applyAlignment="1">
      <alignment vertical="center"/>
    </xf>
    <xf numFmtId="0" fontId="3" fillId="0" borderId="0" xfId="5" applyFont="1" applyFill="1" applyBorder="1" applyAlignment="1">
      <alignment vertical="center"/>
    </xf>
    <xf numFmtId="0" fontId="3" fillId="0" borderId="5" xfId="5" applyFont="1" applyFill="1" applyBorder="1" applyAlignment="1">
      <alignment vertical="center"/>
    </xf>
    <xf numFmtId="10" fontId="3" fillId="0" borderId="0" xfId="11" applyNumberFormat="1" applyFont="1" applyFill="1" applyBorder="1"/>
    <xf numFmtId="164" fontId="28" fillId="0" borderId="0" xfId="6" applyFont="1" applyFill="1" applyBorder="1"/>
    <xf numFmtId="164" fontId="28" fillId="0" borderId="0" xfId="6" applyFont="1" applyFill="1" applyBorder="1" applyAlignment="1">
      <alignment horizontal="center"/>
    </xf>
    <xf numFmtId="0" fontId="3" fillId="0" borderId="0" xfId="11" applyFont="1" applyFill="1" applyBorder="1"/>
    <xf numFmtId="164" fontId="3" fillId="0" borderId="0" xfId="10" applyNumberFormat="1" applyFont="1" applyFill="1" applyBorder="1"/>
    <xf numFmtId="0" fontId="33" fillId="0" borderId="0" xfId="0" applyFont="1" applyBorder="1"/>
    <xf numFmtId="10" fontId="32" fillId="0" borderId="19" xfId="5" applyNumberFormat="1" applyFont="1" applyFill="1" applyBorder="1" applyAlignment="1">
      <alignment vertical="center"/>
    </xf>
    <xf numFmtId="10" fontId="32" fillId="0" borderId="34" xfId="5" applyNumberFormat="1" applyFont="1" applyFill="1" applyBorder="1" applyAlignment="1">
      <alignment vertical="center"/>
    </xf>
    <xf numFmtId="164" fontId="34" fillId="0" borderId="0" xfId="10" applyNumberFormat="1" applyFont="1" applyFill="1" applyBorder="1"/>
    <xf numFmtId="0" fontId="3" fillId="0" borderId="11" xfId="5" applyFont="1" applyFill="1" applyBorder="1" applyAlignment="1">
      <alignment vertical="center"/>
    </xf>
    <xf numFmtId="0" fontId="3" fillId="0" borderId="12" xfId="5" applyFont="1" applyFill="1" applyBorder="1" applyAlignment="1">
      <alignment vertical="center"/>
    </xf>
    <xf numFmtId="0" fontId="3" fillId="0" borderId="10" xfId="5" applyFont="1" applyFill="1" applyBorder="1" applyAlignment="1">
      <alignment vertical="center"/>
    </xf>
    <xf numFmtId="0" fontId="3" fillId="0" borderId="39" xfId="5" applyFont="1" applyFill="1" applyBorder="1" applyAlignment="1">
      <alignment vertical="center"/>
    </xf>
    <xf numFmtId="43" fontId="3" fillId="0" borderId="0" xfId="10" applyNumberFormat="1" applyFont="1" applyFill="1" applyBorder="1"/>
    <xf numFmtId="0" fontId="3" fillId="0" borderId="38" xfId="5" applyFont="1" applyFill="1" applyBorder="1" applyAlignment="1">
      <alignment vertical="center"/>
    </xf>
    <xf numFmtId="0" fontId="3" fillId="0" borderId="16" xfId="5" applyFont="1" applyFill="1" applyBorder="1" applyAlignment="1">
      <alignment vertical="center"/>
    </xf>
    <xf numFmtId="0" fontId="3" fillId="0" borderId="17" xfId="5" applyFont="1" applyFill="1" applyBorder="1" applyAlignment="1">
      <alignment vertical="center"/>
    </xf>
    <xf numFmtId="0" fontId="3" fillId="0" borderId="15" xfId="5" applyFont="1" applyFill="1" applyBorder="1" applyAlignment="1">
      <alignment vertical="center"/>
    </xf>
    <xf numFmtId="0" fontId="3" fillId="0" borderId="40" xfId="5" applyFont="1" applyFill="1" applyBorder="1" applyAlignment="1">
      <alignment vertical="center"/>
    </xf>
    <xf numFmtId="0" fontId="3" fillId="0" borderId="4" xfId="5" applyFont="1" applyFill="1" applyBorder="1" applyAlignment="1">
      <alignment horizontal="left" vertical="center"/>
    </xf>
    <xf numFmtId="0" fontId="3" fillId="0" borderId="0" xfId="5" applyFont="1" applyFill="1" applyBorder="1" applyAlignment="1">
      <alignment horizontal="left" vertical="center"/>
    </xf>
    <xf numFmtId="0" fontId="3" fillId="0" borderId="14" xfId="5" applyFont="1" applyFill="1" applyBorder="1" applyAlignment="1">
      <alignment vertical="center"/>
    </xf>
    <xf numFmtId="0" fontId="3" fillId="0" borderId="13" xfId="5" applyFont="1" applyFill="1" applyBorder="1" applyAlignment="1">
      <alignment vertical="center"/>
    </xf>
    <xf numFmtId="0" fontId="3" fillId="0" borderId="4" xfId="5" applyFont="1" applyFill="1" applyBorder="1"/>
    <xf numFmtId="0" fontId="3" fillId="0" borderId="5" xfId="5" applyFont="1" applyFill="1" applyBorder="1"/>
    <xf numFmtId="168" fontId="28" fillId="0" borderId="0" xfId="6" applyNumberFormat="1" applyFont="1" applyFill="1" applyBorder="1"/>
    <xf numFmtId="0" fontId="4" fillId="0" borderId="0" xfId="5" applyFont="1" applyFill="1" applyBorder="1"/>
    <xf numFmtId="0" fontId="4" fillId="0" borderId="0" xfId="10" applyFont="1" applyFill="1" applyBorder="1"/>
    <xf numFmtId="10" fontId="3" fillId="0" borderId="0" xfId="10" applyNumberFormat="1" applyFont="1" applyFill="1" applyBorder="1"/>
    <xf numFmtId="164" fontId="34" fillId="0" borderId="0" xfId="6" applyFont="1" applyFill="1" applyBorder="1"/>
    <xf numFmtId="0" fontId="7" fillId="0" borderId="35" xfId="0" applyFont="1" applyFill="1" applyBorder="1" applyAlignment="1">
      <alignment horizontal="center" vertical="top" wrapText="1"/>
    </xf>
    <xf numFmtId="0" fontId="7" fillId="0" borderId="9" xfId="0" applyFont="1" applyFill="1" applyBorder="1" applyAlignment="1">
      <alignment horizontal="left" vertical="top" wrapText="1"/>
    </xf>
    <xf numFmtId="0" fontId="7" fillId="0" borderId="9" xfId="0" applyFont="1" applyFill="1" applyBorder="1" applyAlignment="1">
      <alignment horizontal="center" vertical="top" wrapText="1"/>
    </xf>
    <xf numFmtId="4" fontId="7" fillId="0" borderId="9" xfId="0" applyNumberFormat="1" applyFont="1" applyFill="1" applyBorder="1" applyAlignment="1">
      <alignment horizontal="center" vertical="center" wrapText="1"/>
    </xf>
    <xf numFmtId="0" fontId="7" fillId="0" borderId="35" xfId="0" applyFont="1" applyFill="1" applyBorder="1" applyAlignment="1">
      <alignment horizontal="center" vertical="center" wrapText="1"/>
    </xf>
    <xf numFmtId="0" fontId="11" fillId="0" borderId="9" xfId="0" applyFont="1" applyBorder="1" applyAlignment="1">
      <alignment wrapText="1"/>
    </xf>
    <xf numFmtId="0" fontId="7" fillId="0" borderId="30" xfId="0" applyFont="1" applyFill="1" applyBorder="1" applyAlignment="1">
      <alignment horizontal="center" vertical="center" wrapText="1"/>
    </xf>
    <xf numFmtId="0" fontId="11" fillId="0" borderId="31" xfId="0" applyFont="1" applyBorder="1" applyAlignment="1">
      <alignment wrapText="1"/>
    </xf>
    <xf numFmtId="0" fontId="7" fillId="0" borderId="31" xfId="0" applyFont="1" applyFill="1" applyBorder="1" applyAlignment="1">
      <alignment horizontal="center" vertical="center" wrapText="1"/>
    </xf>
    <xf numFmtId="0" fontId="11" fillId="8" borderId="0" xfId="0" applyFont="1" applyFill="1" applyAlignment="1">
      <alignment horizontal="center" vertical="center" wrapText="1"/>
    </xf>
    <xf numFmtId="4" fontId="7" fillId="0" borderId="31" xfId="0" applyNumberFormat="1" applyFont="1" applyFill="1" applyBorder="1" applyAlignment="1">
      <alignment horizontal="center" vertical="center" wrapText="1"/>
    </xf>
    <xf numFmtId="44" fontId="7" fillId="0" borderId="36" xfId="3" applyFont="1" applyFill="1" applyBorder="1" applyAlignment="1">
      <alignment horizontal="center" vertical="center" wrapText="1"/>
    </xf>
    <xf numFmtId="44" fontId="7" fillId="0" borderId="32" xfId="3" applyFont="1" applyFill="1" applyBorder="1" applyAlignment="1">
      <alignment horizontal="center" vertical="center" wrapText="1"/>
    </xf>
    <xf numFmtId="44" fontId="7" fillId="0" borderId="9" xfId="3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center" vertical="center" wrapText="1"/>
    </xf>
    <xf numFmtId="0" fontId="23" fillId="3" borderId="27" xfId="12" applyNumberFormat="1" applyFont="1" applyFill="1" applyBorder="1" applyAlignment="1">
      <alignment horizontal="center" vertical="center"/>
    </xf>
    <xf numFmtId="1" fontId="23" fillId="3" borderId="28" xfId="12" applyNumberFormat="1" applyFont="1" applyFill="1" applyBorder="1" applyAlignment="1">
      <alignment horizontal="center" vertical="center"/>
    </xf>
    <xf numFmtId="170" fontId="6" fillId="3" borderId="28" xfId="13" applyNumberFormat="1" applyFont="1" applyFill="1" applyBorder="1" applyAlignment="1">
      <alignment horizontal="center" vertical="center"/>
    </xf>
    <xf numFmtId="2" fontId="6" fillId="3" borderId="28" xfId="12" applyNumberFormat="1" applyFont="1" applyFill="1" applyBorder="1" applyAlignment="1">
      <alignment horizontal="center" vertical="center"/>
    </xf>
    <xf numFmtId="4" fontId="6" fillId="3" borderId="29" xfId="12" applyNumberFormat="1" applyFont="1" applyFill="1" applyBorder="1" applyAlignment="1">
      <alignment horizontal="center" vertical="center"/>
    </xf>
    <xf numFmtId="0" fontId="11" fillId="8" borderId="9" xfId="0" applyFont="1" applyFill="1" applyBorder="1" applyAlignment="1">
      <alignment horizontal="center" vertical="center" wrapText="1"/>
    </xf>
    <xf numFmtId="0" fontId="12" fillId="0" borderId="9" xfId="0" applyFont="1" applyBorder="1" applyAlignment="1">
      <alignment horizontal="left" vertical="center" wrapText="1"/>
    </xf>
    <xf numFmtId="0" fontId="12" fillId="0" borderId="4" xfId="0" applyFont="1" applyBorder="1"/>
    <xf numFmtId="0" fontId="12" fillId="0" borderId="0" xfId="0" applyFont="1" applyBorder="1"/>
    <xf numFmtId="2" fontId="7" fillId="0" borderId="0" xfId="12" applyNumberFormat="1" applyFont="1" applyFill="1" applyBorder="1" applyAlignment="1" applyProtection="1">
      <alignment horizontal="center" vertical="center"/>
      <protection locked="0"/>
    </xf>
    <xf numFmtId="44" fontId="7" fillId="0" borderId="5" xfId="3" applyFont="1" applyFill="1" applyBorder="1" applyAlignment="1" applyProtection="1">
      <alignment vertical="center"/>
      <protection locked="0"/>
    </xf>
    <xf numFmtId="170" fontId="7" fillId="0" borderId="0" xfId="13" applyNumberFormat="1" applyFont="1" applyFill="1" applyBorder="1" applyAlignment="1" applyProtection="1">
      <alignment vertical="center"/>
    </xf>
    <xf numFmtId="44" fontId="7" fillId="0" borderId="5" xfId="3" applyNumberFormat="1" applyFont="1" applyFill="1" applyBorder="1" applyAlignment="1" applyProtection="1">
      <alignment vertical="center"/>
      <protection locked="0"/>
    </xf>
    <xf numFmtId="0" fontId="12" fillId="0" borderId="7" xfId="0" applyFont="1" applyBorder="1"/>
    <xf numFmtId="0" fontId="12" fillId="0" borderId="6" xfId="0" applyFont="1" applyBorder="1"/>
    <xf numFmtId="0" fontId="6" fillId="0" borderId="41" xfId="12" applyNumberFormat="1" applyFont="1" applyFill="1" applyBorder="1" applyAlignment="1" applyProtection="1">
      <alignment horizontal="left" vertical="center"/>
      <protection locked="0"/>
    </xf>
    <xf numFmtId="170" fontId="7" fillId="0" borderId="6" xfId="13" applyNumberFormat="1" applyFont="1" applyFill="1" applyBorder="1" applyAlignment="1" applyProtection="1">
      <alignment vertical="center"/>
    </xf>
    <xf numFmtId="2" fontId="7" fillId="0" borderId="6" xfId="12" applyNumberFormat="1" applyFont="1" applyFill="1" applyBorder="1" applyAlignment="1" applyProtection="1">
      <alignment horizontal="center" vertical="center"/>
      <protection locked="0"/>
    </xf>
    <xf numFmtId="44" fontId="6" fillId="0" borderId="8" xfId="3" applyFont="1" applyFill="1" applyBorder="1" applyAlignment="1" applyProtection="1">
      <alignment vertical="center"/>
      <protection locked="0"/>
    </xf>
    <xf numFmtId="4" fontId="7" fillId="0" borderId="9" xfId="0" applyNumberFormat="1" applyFont="1" applyFill="1" applyBorder="1" applyAlignment="1">
      <alignment horizontal="right" vertical="top" wrapText="1"/>
    </xf>
    <xf numFmtId="44" fontId="7" fillId="0" borderId="36" xfId="3" applyFont="1" applyFill="1" applyBorder="1" applyAlignment="1">
      <alignment horizontal="right" vertical="top" wrapText="1"/>
    </xf>
    <xf numFmtId="2" fontId="7" fillId="0" borderId="11" xfId="12" applyNumberFormat="1" applyFont="1" applyFill="1" applyBorder="1" applyAlignment="1" applyProtection="1">
      <alignment horizontal="center" vertical="center"/>
      <protection locked="0"/>
    </xf>
    <xf numFmtId="44" fontId="7" fillId="0" borderId="39" xfId="3" applyFont="1" applyFill="1" applyBorder="1" applyAlignment="1" applyProtection="1">
      <alignment vertical="center"/>
      <protection locked="0"/>
    </xf>
    <xf numFmtId="0" fontId="7" fillId="2" borderId="9" xfId="5" applyFont="1" applyFill="1" applyBorder="1" applyAlignment="1">
      <alignment horizontal="left" vertical="center" wrapText="1"/>
    </xf>
    <xf numFmtId="2" fontId="21" fillId="0" borderId="22" xfId="7" applyNumberFormat="1" applyFont="1" applyFill="1" applyBorder="1" applyAlignment="1">
      <alignment horizontal="center" vertical="center"/>
    </xf>
    <xf numFmtId="2" fontId="21" fillId="0" borderId="22" xfId="7" applyNumberFormat="1" applyFont="1" applyFill="1" applyBorder="1" applyAlignment="1">
      <alignment horizontal="center" vertical="center"/>
    </xf>
    <xf numFmtId="2" fontId="21" fillId="0" borderId="22" xfId="7" applyNumberFormat="1" applyFont="1" applyFill="1" applyBorder="1" applyAlignment="1">
      <alignment horizontal="center" vertical="center"/>
    </xf>
    <xf numFmtId="2" fontId="22" fillId="0" borderId="0" xfId="7" applyNumberFormat="1" applyFont="1" applyFill="1" applyBorder="1" applyAlignment="1">
      <alignment horizontal="right" vertical="center"/>
    </xf>
    <xf numFmtId="2" fontId="21" fillId="0" borderId="0" xfId="7" applyNumberFormat="1" applyFont="1" applyFill="1" applyBorder="1" applyAlignment="1">
      <alignment horizontal="center" vertical="center" wrapText="1"/>
    </xf>
    <xf numFmtId="0" fontId="38" fillId="0" borderId="0" xfId="15" applyFont="1" applyFill="1" applyBorder="1" applyAlignment="1">
      <alignment vertical="center"/>
    </xf>
    <xf numFmtId="0" fontId="39" fillId="0" borderId="0" xfId="15" applyFont="1" applyFill="1" applyBorder="1"/>
    <xf numFmtId="0" fontId="39" fillId="0" borderId="0" xfId="15" applyFont="1"/>
    <xf numFmtId="0" fontId="4" fillId="0" borderId="9" xfId="15" applyFont="1" applyBorder="1" applyAlignment="1">
      <alignment horizontal="center"/>
    </xf>
    <xf numFmtId="0" fontId="3" fillId="0" borderId="9" xfId="15" applyFont="1" applyBorder="1" applyAlignment="1">
      <alignment horizontal="center"/>
    </xf>
    <xf numFmtId="0" fontId="3" fillId="0" borderId="9" xfId="15" applyFont="1" applyBorder="1"/>
    <xf numFmtId="10" fontId="3" fillId="0" borderId="9" xfId="15" applyNumberFormat="1" applyFont="1" applyBorder="1" applyAlignment="1">
      <alignment horizontal="right"/>
    </xf>
    <xf numFmtId="10" fontId="4" fillId="0" borderId="9" xfId="15" applyNumberFormat="1" applyFont="1" applyBorder="1" applyAlignment="1">
      <alignment horizontal="right"/>
    </xf>
    <xf numFmtId="0" fontId="3" fillId="0" borderId="9" xfId="15" applyFont="1" applyBorder="1" applyAlignment="1">
      <alignment wrapText="1"/>
    </xf>
    <xf numFmtId="10" fontId="3" fillId="0" borderId="9" xfId="15" applyNumberFormat="1" applyFont="1" applyBorder="1"/>
    <xf numFmtId="0" fontId="4" fillId="0" borderId="0" xfId="15" applyFont="1"/>
    <xf numFmtId="10" fontId="26" fillId="0" borderId="9" xfId="15" applyNumberFormat="1" applyFont="1" applyBorder="1" applyAlignment="1">
      <alignment horizontal="right"/>
    </xf>
    <xf numFmtId="44" fontId="7" fillId="3" borderId="9" xfId="5" applyNumberFormat="1" applyFont="1" applyFill="1" applyBorder="1" applyAlignment="1">
      <alignment horizontal="center" vertical="center"/>
    </xf>
    <xf numFmtId="0" fontId="7" fillId="0" borderId="9" xfId="0" applyFont="1" applyBorder="1" applyAlignment="1">
      <alignment horizontal="left" wrapText="1"/>
    </xf>
    <xf numFmtId="44" fontId="6" fillId="3" borderId="9" xfId="3" applyFont="1" applyFill="1" applyBorder="1" applyAlignment="1">
      <alignment vertical="center"/>
    </xf>
    <xf numFmtId="2" fontId="21" fillId="0" borderId="22" xfId="7" applyNumberFormat="1" applyFont="1" applyFill="1" applyBorder="1" applyAlignment="1">
      <alignment horizontal="center" vertical="center"/>
    </xf>
    <xf numFmtId="0" fontId="17" fillId="0" borderId="0" xfId="7" applyFont="1" applyBorder="1" applyAlignment="1">
      <alignment horizontal="left" vertical="center"/>
    </xf>
    <xf numFmtId="2" fontId="19" fillId="0" borderId="22" xfId="7" applyNumberFormat="1" applyFont="1" applyFill="1" applyBorder="1" applyAlignment="1">
      <alignment horizontal="center" vertical="center"/>
    </xf>
    <xf numFmtId="2" fontId="16" fillId="0" borderId="22" xfId="7" applyNumberFormat="1" applyFont="1" applyFill="1" applyBorder="1" applyAlignment="1">
      <alignment horizontal="center" vertical="center" wrapText="1"/>
    </xf>
    <xf numFmtId="2" fontId="23" fillId="0" borderId="22" xfId="7" applyNumberFormat="1" applyFont="1" applyFill="1" applyBorder="1" applyAlignment="1">
      <alignment horizontal="center" vertical="center"/>
    </xf>
    <xf numFmtId="2" fontId="7" fillId="0" borderId="22" xfId="7" applyNumberFormat="1" applyFont="1" applyFill="1" applyBorder="1" applyAlignment="1">
      <alignment horizontal="center" vertical="center" wrapText="1"/>
    </xf>
    <xf numFmtId="2" fontId="23" fillId="0" borderId="26" xfId="7" applyNumberFormat="1" applyFont="1" applyFill="1" applyBorder="1" applyAlignment="1">
      <alignment horizontal="center" vertical="center"/>
    </xf>
    <xf numFmtId="0" fontId="11" fillId="0" borderId="9" xfId="0" applyFont="1" applyBorder="1" applyAlignment="1">
      <alignment horizontal="center"/>
    </xf>
    <xf numFmtId="2" fontId="21" fillId="0" borderId="22" xfId="7" applyNumberFormat="1" applyFont="1" applyFill="1" applyBorder="1" applyAlignment="1">
      <alignment horizontal="center" vertical="center"/>
    </xf>
    <xf numFmtId="2" fontId="21" fillId="0" borderId="22" xfId="7" applyNumberFormat="1" applyFont="1" applyFill="1" applyBorder="1" applyAlignment="1">
      <alignment horizontal="center" vertical="center"/>
    </xf>
    <xf numFmtId="2" fontId="23" fillId="0" borderId="22" xfId="7" applyNumberFormat="1" applyFont="1" applyFill="1" applyBorder="1" applyAlignment="1">
      <alignment horizontal="center" vertical="center"/>
    </xf>
    <xf numFmtId="2" fontId="3" fillId="0" borderId="23" xfId="7" applyNumberFormat="1" applyFont="1" applyFill="1" applyBorder="1" applyAlignment="1">
      <alignment horizontal="center" vertical="center" wrapText="1"/>
    </xf>
    <xf numFmtId="2" fontId="3" fillId="0" borderId="24" xfId="7" applyNumberFormat="1" applyFont="1" applyFill="1" applyBorder="1" applyAlignment="1">
      <alignment horizontal="center" vertical="center" wrapText="1"/>
    </xf>
    <xf numFmtId="2" fontId="3" fillId="0" borderId="25" xfId="7" applyNumberFormat="1" applyFont="1" applyFill="1" applyBorder="1" applyAlignment="1">
      <alignment horizontal="center" vertical="center" wrapText="1"/>
    </xf>
    <xf numFmtId="2" fontId="24" fillId="0" borderId="0" xfId="7" applyNumberFormat="1" applyFont="1" applyFill="1" applyBorder="1" applyAlignment="1">
      <alignment horizontal="right" vertical="center"/>
    </xf>
    <xf numFmtId="2" fontId="23" fillId="0" borderId="0" xfId="7" applyNumberFormat="1" applyFont="1" applyFill="1" applyBorder="1" applyAlignment="1">
      <alignment horizontal="center" vertical="center" wrapText="1"/>
    </xf>
    <xf numFmtId="4" fontId="12" fillId="0" borderId="22" xfId="7" applyNumberFormat="1" applyFont="1" applyFill="1" applyBorder="1" applyAlignment="1">
      <alignment horizontal="center" vertical="center"/>
    </xf>
    <xf numFmtId="2" fontId="12" fillId="0" borderId="22" xfId="7" applyNumberFormat="1" applyFont="1" applyFill="1" applyBorder="1" applyAlignment="1">
      <alignment horizontal="center" vertical="center"/>
    </xf>
    <xf numFmtId="0" fontId="12" fillId="0" borderId="22" xfId="7" applyFont="1" applyFill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0" xfId="0" applyFont="1"/>
    <xf numFmtId="0" fontId="12" fillId="0" borderId="0" xfId="0" applyFont="1"/>
    <xf numFmtId="0" fontId="4" fillId="0" borderId="0" xfId="7" applyFont="1" applyFill="1" applyBorder="1" applyAlignment="1">
      <alignment horizontal="center" vertical="center"/>
    </xf>
    <xf numFmtId="2" fontId="21" fillId="0" borderId="22" xfId="7" applyNumberFormat="1" applyFont="1" applyFill="1" applyBorder="1" applyAlignment="1">
      <alignment horizontal="center" vertical="center"/>
    </xf>
    <xf numFmtId="0" fontId="4" fillId="0" borderId="0" xfId="7" applyFont="1" applyFill="1" applyBorder="1" applyAlignment="1">
      <alignment horizontal="center" vertical="center"/>
    </xf>
    <xf numFmtId="2" fontId="23" fillId="0" borderId="22" xfId="7" applyNumberFormat="1" applyFont="1" applyFill="1" applyBorder="1" applyAlignment="1">
      <alignment horizontal="center" vertical="center"/>
    </xf>
    <xf numFmtId="0" fontId="17" fillId="0" borderId="0" xfId="7" applyFont="1" applyBorder="1" applyAlignment="1">
      <alignment horizontal="left" vertical="center"/>
    </xf>
    <xf numFmtId="2" fontId="19" fillId="0" borderId="22" xfId="7" applyNumberFormat="1" applyFont="1" applyFill="1" applyBorder="1" applyAlignment="1">
      <alignment horizontal="center" vertical="center"/>
    </xf>
    <xf numFmtId="2" fontId="16" fillId="0" borderId="22" xfId="7" applyNumberFormat="1" applyFont="1" applyFill="1" applyBorder="1" applyAlignment="1">
      <alignment horizontal="center" vertical="center" wrapText="1"/>
    </xf>
    <xf numFmtId="2" fontId="23" fillId="0" borderId="26" xfId="7" applyNumberFormat="1" applyFont="1" applyFill="1" applyBorder="1" applyAlignment="1">
      <alignment horizontal="center" vertical="center"/>
    </xf>
    <xf numFmtId="2" fontId="7" fillId="0" borderId="22" xfId="7" applyNumberFormat="1" applyFont="1" applyFill="1" applyBorder="1" applyAlignment="1">
      <alignment horizontal="center" vertical="center" wrapText="1"/>
    </xf>
    <xf numFmtId="0" fontId="11" fillId="0" borderId="9" xfId="0" quotePrefix="1" applyFont="1" applyBorder="1" applyAlignment="1">
      <alignment horizontal="left" vertical="center" wrapText="1"/>
    </xf>
    <xf numFmtId="1" fontId="23" fillId="3" borderId="28" xfId="12" applyNumberFormat="1" applyFont="1" applyFill="1" applyBorder="1" applyAlignment="1">
      <alignment horizontal="left" vertical="center" wrapText="1"/>
    </xf>
    <xf numFmtId="0" fontId="12" fillId="0" borderId="0" xfId="0" applyFont="1" applyAlignment="1">
      <alignment horizontal="left" wrapText="1"/>
    </xf>
    <xf numFmtId="44" fontId="7" fillId="0" borderId="36" xfId="3" applyFont="1" applyFill="1" applyBorder="1" applyAlignment="1">
      <alignment horizontal="right" vertical="center" wrapText="1"/>
    </xf>
    <xf numFmtId="0" fontId="12" fillId="0" borderId="4" xfId="0" applyFont="1" applyBorder="1" applyAlignment="1">
      <alignment vertical="center"/>
    </xf>
    <xf numFmtId="0" fontId="12" fillId="0" borderId="0" xfId="0" applyFont="1" applyBorder="1" applyAlignment="1">
      <alignment vertical="center"/>
    </xf>
    <xf numFmtId="0" fontId="12" fillId="0" borderId="7" xfId="0" applyFont="1" applyBorder="1" applyAlignment="1">
      <alignment vertical="center"/>
    </xf>
    <xf numFmtId="0" fontId="12" fillId="0" borderId="6" xfId="0" applyFont="1" applyBorder="1" applyAlignment="1">
      <alignment vertical="center"/>
    </xf>
    <xf numFmtId="2" fontId="3" fillId="0" borderId="23" xfId="7" applyNumberFormat="1" applyFont="1" applyFill="1" applyBorder="1" applyAlignment="1">
      <alignment horizontal="center" vertical="center" wrapText="1"/>
    </xf>
    <xf numFmtId="2" fontId="3" fillId="0" borderId="24" xfId="7" applyNumberFormat="1" applyFont="1" applyFill="1" applyBorder="1" applyAlignment="1">
      <alignment horizontal="center" vertical="center" wrapText="1"/>
    </xf>
    <xf numFmtId="2" fontId="3" fillId="0" borderId="25" xfId="7" applyNumberFormat="1" applyFont="1" applyFill="1" applyBorder="1" applyAlignment="1">
      <alignment horizontal="center" vertical="center" wrapText="1"/>
    </xf>
    <xf numFmtId="2" fontId="21" fillId="0" borderId="22" xfId="7" applyNumberFormat="1" applyFont="1" applyFill="1" applyBorder="1" applyAlignment="1">
      <alignment horizontal="center" vertical="center"/>
    </xf>
    <xf numFmtId="2" fontId="23" fillId="0" borderId="22" xfId="7" applyNumberFormat="1" applyFont="1" applyFill="1" applyBorder="1" applyAlignment="1">
      <alignment horizontal="center" vertical="center"/>
    </xf>
    <xf numFmtId="0" fontId="4" fillId="0" borderId="0" xfId="7" applyFont="1" applyFill="1" applyBorder="1" applyAlignment="1">
      <alignment horizontal="center" vertical="center"/>
    </xf>
    <xf numFmtId="2" fontId="7" fillId="0" borderId="22" xfId="7" applyNumberFormat="1" applyFont="1" applyFill="1" applyBorder="1" applyAlignment="1">
      <alignment horizontal="center" vertical="center" wrapText="1"/>
    </xf>
    <xf numFmtId="2" fontId="21" fillId="0" borderId="22" xfId="7" applyNumberFormat="1" applyFont="1" applyFill="1" applyBorder="1" applyAlignment="1">
      <alignment horizontal="center" vertical="center"/>
    </xf>
    <xf numFmtId="0" fontId="4" fillId="0" borderId="0" xfId="7" applyFont="1" applyFill="1" applyBorder="1" applyAlignment="1">
      <alignment horizontal="center" vertical="center"/>
    </xf>
    <xf numFmtId="2" fontId="22" fillId="0" borderId="23" xfId="7" applyNumberFormat="1" applyFont="1" applyFill="1" applyBorder="1" applyAlignment="1">
      <alignment horizontal="right" vertical="center"/>
    </xf>
    <xf numFmtId="2" fontId="22" fillId="0" borderId="24" xfId="7" applyNumberFormat="1" applyFont="1" applyFill="1" applyBorder="1" applyAlignment="1">
      <alignment horizontal="right" vertical="center"/>
    </xf>
    <xf numFmtId="2" fontId="22" fillId="0" borderId="25" xfId="7" applyNumberFormat="1" applyFont="1" applyFill="1" applyBorder="1" applyAlignment="1">
      <alignment horizontal="right" vertical="center"/>
    </xf>
    <xf numFmtId="2" fontId="37" fillId="0" borderId="22" xfId="7" applyNumberFormat="1" applyFont="1" applyFill="1" applyBorder="1" applyAlignment="1">
      <alignment horizontal="center" vertical="center"/>
    </xf>
    <xf numFmtId="0" fontId="37" fillId="0" borderId="22" xfId="7" applyFont="1" applyFill="1" applyBorder="1" applyAlignment="1">
      <alignment horizontal="center" vertical="center"/>
    </xf>
    <xf numFmtId="0" fontId="4" fillId="2" borderId="16" xfId="0" applyFont="1" applyFill="1" applyBorder="1" applyAlignment="1">
      <alignment horizontal="center" vertical="center" wrapText="1"/>
    </xf>
    <xf numFmtId="0" fontId="4" fillId="2" borderId="17" xfId="0" applyFont="1" applyFill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/>
    </xf>
    <xf numFmtId="2" fontId="19" fillId="0" borderId="22" xfId="7" applyNumberFormat="1" applyFont="1" applyFill="1" applyBorder="1" applyAlignment="1">
      <alignment horizontal="center" vertical="center"/>
    </xf>
    <xf numFmtId="2" fontId="16" fillId="0" borderId="22" xfId="7" applyNumberFormat="1" applyFont="1" applyFill="1" applyBorder="1" applyAlignment="1">
      <alignment horizontal="center" vertical="center" wrapText="1"/>
    </xf>
    <xf numFmtId="0" fontId="17" fillId="0" borderId="0" xfId="7" applyFont="1" applyBorder="1" applyAlignment="1">
      <alignment horizontal="left" vertical="center"/>
    </xf>
    <xf numFmtId="0" fontId="7" fillId="0" borderId="9" xfId="0" applyFont="1" applyBorder="1" applyAlignment="1">
      <alignment horizontal="right" vertical="center"/>
    </xf>
    <xf numFmtId="0" fontId="7" fillId="0" borderId="9" xfId="0" applyFont="1" applyBorder="1" applyAlignment="1">
      <alignment horizontal="left" vertical="center" wrapText="1"/>
    </xf>
    <xf numFmtId="0" fontId="7" fillId="0" borderId="0" xfId="0" applyFont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2" fontId="21" fillId="0" borderId="22" xfId="7" applyNumberFormat="1" applyFont="1" applyFill="1" applyBorder="1" applyAlignment="1">
      <alignment horizontal="center" vertical="center"/>
    </xf>
    <xf numFmtId="2" fontId="23" fillId="0" borderId="22" xfId="7" applyNumberFormat="1" applyFont="1" applyFill="1" applyBorder="1" applyAlignment="1">
      <alignment horizontal="center" vertical="center"/>
    </xf>
    <xf numFmtId="0" fontId="4" fillId="0" borderId="0" xfId="7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2" fontId="7" fillId="0" borderId="22" xfId="7" applyNumberFormat="1" applyFont="1" applyFill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/>
    </xf>
    <xf numFmtId="2" fontId="23" fillId="0" borderId="26" xfId="7" applyNumberFormat="1" applyFont="1" applyFill="1" applyBorder="1" applyAlignment="1">
      <alignment horizontal="center" vertical="center"/>
    </xf>
    <xf numFmtId="2" fontId="23" fillId="0" borderId="22" xfId="7" applyNumberFormat="1" applyFont="1" applyFill="1" applyBorder="1" applyAlignment="1">
      <alignment horizontal="center" vertical="center"/>
    </xf>
    <xf numFmtId="2" fontId="7" fillId="0" borderId="22" xfId="7" applyNumberFormat="1" applyFont="1" applyFill="1" applyBorder="1" applyAlignment="1">
      <alignment horizontal="center" vertical="center" wrapText="1"/>
    </xf>
    <xf numFmtId="0" fontId="12" fillId="2" borderId="9" xfId="5" applyFont="1" applyFill="1" applyBorder="1" applyAlignment="1">
      <alignment horizontal="center" vertical="center"/>
    </xf>
    <xf numFmtId="164" fontId="12" fillId="2" borderId="9" xfId="5" applyNumberFormat="1" applyFont="1" applyFill="1" applyBorder="1" applyAlignment="1">
      <alignment horizontal="center" vertical="center"/>
    </xf>
    <xf numFmtId="0" fontId="12" fillId="0" borderId="9" xfId="0" applyFont="1" applyBorder="1" applyAlignment="1">
      <alignment horizontal="center" vertical="center"/>
    </xf>
    <xf numFmtId="44" fontId="12" fillId="2" borderId="9" xfId="5" applyNumberFormat="1" applyFont="1" applyFill="1" applyBorder="1" applyAlignment="1">
      <alignment horizontal="center" vertical="center"/>
    </xf>
    <xf numFmtId="0" fontId="4" fillId="2" borderId="16" xfId="0" applyFont="1" applyFill="1" applyBorder="1" applyAlignment="1">
      <alignment horizontal="center" vertical="center" wrapText="1"/>
    </xf>
    <xf numFmtId="0" fontId="4" fillId="2" borderId="17" xfId="0" applyFont="1" applyFill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/>
    </xf>
    <xf numFmtId="2" fontId="19" fillId="0" borderId="22" xfId="7" applyNumberFormat="1" applyFont="1" applyFill="1" applyBorder="1" applyAlignment="1">
      <alignment horizontal="center" vertical="center"/>
    </xf>
    <xf numFmtId="2" fontId="16" fillId="0" borderId="22" xfId="7" applyNumberFormat="1" applyFont="1" applyFill="1" applyBorder="1" applyAlignment="1">
      <alignment horizontal="center" vertical="center" wrapText="1"/>
    </xf>
    <xf numFmtId="2" fontId="23" fillId="0" borderId="22" xfId="7" applyNumberFormat="1" applyFont="1" applyFill="1" applyBorder="1" applyAlignment="1">
      <alignment horizontal="center" vertical="center"/>
    </xf>
    <xf numFmtId="2" fontId="23" fillId="0" borderId="26" xfId="7" applyNumberFormat="1" applyFont="1" applyFill="1" applyBorder="1" applyAlignment="1">
      <alignment horizontal="center" vertical="center"/>
    </xf>
    <xf numFmtId="0" fontId="17" fillId="0" borderId="0" xfId="7" applyFont="1" applyBorder="1" applyAlignment="1">
      <alignment horizontal="left" vertical="center"/>
    </xf>
    <xf numFmtId="2" fontId="7" fillId="0" borderId="22" xfId="7" applyNumberFormat="1" applyFont="1" applyFill="1" applyBorder="1" applyAlignment="1">
      <alignment horizontal="center" vertical="center" wrapText="1"/>
    </xf>
    <xf numFmtId="0" fontId="12" fillId="0" borderId="9" xfId="0" applyFont="1" applyBorder="1" applyAlignment="1">
      <alignment horizontal="left" wrapText="1"/>
    </xf>
    <xf numFmtId="43" fontId="7" fillId="0" borderId="9" xfId="1" applyFont="1" applyBorder="1" applyAlignment="1">
      <alignment horizontal="right" vertical="center"/>
    </xf>
    <xf numFmtId="44" fontId="7" fillId="2" borderId="9" xfId="5" applyNumberFormat="1" applyFont="1" applyFill="1" applyBorder="1" applyAlignment="1">
      <alignment horizontal="center" vertical="center"/>
    </xf>
    <xf numFmtId="0" fontId="9" fillId="2" borderId="9" xfId="5" applyFont="1" applyFill="1" applyBorder="1" applyAlignment="1">
      <alignment horizontal="center" vertical="center"/>
    </xf>
    <xf numFmtId="0" fontId="10" fillId="2" borderId="9" xfId="5" applyFont="1" applyFill="1" applyBorder="1" applyAlignment="1">
      <alignment vertical="center" wrapText="1"/>
    </xf>
    <xf numFmtId="164" fontId="10" fillId="2" borderId="9" xfId="5" applyNumberFormat="1" applyFont="1" applyFill="1" applyBorder="1" applyAlignment="1">
      <alignment horizontal="center" vertical="center"/>
    </xf>
    <xf numFmtId="4" fontId="10" fillId="2" borderId="9" xfId="5" applyNumberFormat="1" applyFont="1" applyFill="1" applyBorder="1" applyAlignment="1">
      <alignment vertical="center"/>
    </xf>
    <xf numFmtId="44" fontId="9" fillId="2" borderId="9" xfId="3" applyFont="1" applyFill="1" applyBorder="1" applyAlignment="1">
      <alignment vertical="center"/>
    </xf>
    <xf numFmtId="44" fontId="6" fillId="4" borderId="9" xfId="3" applyFont="1" applyFill="1" applyBorder="1" applyAlignment="1">
      <alignment horizontal="center" vertical="center"/>
    </xf>
    <xf numFmtId="0" fontId="6" fillId="3" borderId="0" xfId="7" applyFont="1" applyFill="1" applyBorder="1" applyAlignment="1">
      <alignment horizontal="center" vertical="center"/>
    </xf>
    <xf numFmtId="0" fontId="7" fillId="3" borderId="0" xfId="7" applyFont="1" applyFill="1" applyBorder="1" applyAlignment="1">
      <alignment horizontal="center" vertical="center"/>
    </xf>
    <xf numFmtId="0" fontId="6" fillId="0" borderId="0" xfId="7" applyFont="1" applyFill="1" applyBorder="1" applyAlignment="1">
      <alignment horizontal="center" vertical="center" wrapText="1"/>
    </xf>
    <xf numFmtId="4" fontId="6" fillId="0" borderId="21" xfId="7" applyNumberFormat="1" applyFont="1" applyFill="1" applyBorder="1" applyAlignment="1">
      <alignment horizontal="center" vertical="center"/>
    </xf>
    <xf numFmtId="4" fontId="7" fillId="0" borderId="22" xfId="7" applyNumberFormat="1" applyFont="1" applyFill="1" applyBorder="1" applyAlignment="1">
      <alignment horizontal="center" vertical="center" wrapText="1"/>
    </xf>
    <xf numFmtId="0" fontId="12" fillId="0" borderId="0" xfId="0" applyFont="1" applyAlignment="1">
      <alignment horizontal="left" vertical="center" wrapText="1"/>
    </xf>
    <xf numFmtId="4" fontId="23" fillId="0" borderId="22" xfId="7" applyNumberFormat="1" applyFont="1" applyFill="1" applyBorder="1" applyAlignment="1">
      <alignment horizontal="center" vertical="center" wrapText="1"/>
    </xf>
    <xf numFmtId="4" fontId="23" fillId="0" borderId="0" xfId="7" applyNumberFormat="1" applyFont="1" applyFill="1" applyBorder="1" applyAlignment="1">
      <alignment horizontal="center" vertical="center" wrapText="1"/>
    </xf>
    <xf numFmtId="165" fontId="7" fillId="0" borderId="22" xfId="7" applyNumberFormat="1" applyFont="1" applyFill="1" applyBorder="1" applyAlignment="1">
      <alignment horizontal="center" vertical="center"/>
    </xf>
    <xf numFmtId="0" fontId="6" fillId="0" borderId="0" xfId="7" applyFont="1" applyFill="1" applyBorder="1" applyAlignment="1">
      <alignment horizontal="center" vertical="center"/>
    </xf>
    <xf numFmtId="2" fontId="24" fillId="0" borderId="23" xfId="7" applyNumberFormat="1" applyFont="1" applyFill="1" applyBorder="1" applyAlignment="1">
      <alignment horizontal="right" vertical="center"/>
    </xf>
    <xf numFmtId="2" fontId="24" fillId="0" borderId="24" xfId="7" applyNumberFormat="1" applyFont="1" applyFill="1" applyBorder="1" applyAlignment="1">
      <alignment horizontal="right" vertical="center"/>
    </xf>
    <xf numFmtId="2" fontId="24" fillId="0" borderId="25" xfId="7" applyNumberFormat="1" applyFont="1" applyFill="1" applyBorder="1" applyAlignment="1">
      <alignment horizontal="right" vertical="center"/>
    </xf>
    <xf numFmtId="0" fontId="6" fillId="4" borderId="9" xfId="5" applyFont="1" applyFill="1" applyBorder="1" applyAlignment="1">
      <alignment horizontal="center" vertical="center" wrapText="1"/>
    </xf>
    <xf numFmtId="4" fontId="6" fillId="4" borderId="9" xfId="5" applyNumberFormat="1" applyFont="1" applyFill="1" applyBorder="1" applyAlignment="1">
      <alignment horizontal="center" vertical="center"/>
    </xf>
    <xf numFmtId="0" fontId="7" fillId="0" borderId="9" xfId="0" applyFont="1" applyBorder="1" applyAlignment="1">
      <alignment horizontal="center" vertical="center" wrapText="1"/>
    </xf>
    <xf numFmtId="4" fontId="7" fillId="0" borderId="9" xfId="6" applyNumberFormat="1" applyFont="1" applyFill="1" applyBorder="1" applyAlignment="1">
      <alignment horizontal="center" vertical="center"/>
    </xf>
    <xf numFmtId="4" fontId="7" fillId="2" borderId="9" xfId="6" applyNumberFormat="1" applyFont="1" applyFill="1" applyBorder="1" applyAlignment="1">
      <alignment horizontal="center" vertical="center"/>
    </xf>
    <xf numFmtId="0" fontId="7" fillId="0" borderId="9" xfId="5" applyFont="1" applyFill="1" applyBorder="1" applyAlignment="1">
      <alignment horizontal="left" vertical="center" wrapText="1"/>
    </xf>
    <xf numFmtId="0" fontId="6" fillId="4" borderId="9" xfId="5" applyFont="1" applyFill="1" applyBorder="1" applyAlignment="1">
      <alignment horizontal="left" vertical="center" wrapText="1"/>
    </xf>
    <xf numFmtId="0" fontId="11" fillId="0" borderId="9" xfId="0" applyFont="1" applyBorder="1" applyAlignment="1">
      <alignment horizontal="left" vertical="center" wrapText="1"/>
    </xf>
    <xf numFmtId="0" fontId="4" fillId="2" borderId="9" xfId="0" applyFont="1" applyFill="1" applyBorder="1" applyAlignment="1">
      <alignment horizontal="center" vertical="center" wrapText="1"/>
    </xf>
    <xf numFmtId="44" fontId="7" fillId="0" borderId="9" xfId="3" applyFont="1" applyBorder="1" applyAlignment="1">
      <alignment horizontal="center" vertical="center"/>
    </xf>
    <xf numFmtId="0" fontId="7" fillId="2" borderId="9" xfId="5" applyFont="1" applyFill="1" applyBorder="1" applyAlignment="1">
      <alignment horizontal="center" vertical="center"/>
    </xf>
    <xf numFmtId="171" fontId="7" fillId="0" borderId="9" xfId="0" applyNumberFormat="1" applyFont="1" applyFill="1" applyBorder="1" applyAlignment="1">
      <alignment horizontal="right" vertical="top" wrapText="1"/>
    </xf>
    <xf numFmtId="4" fontId="7" fillId="0" borderId="36" xfId="0" applyNumberFormat="1" applyFont="1" applyFill="1" applyBorder="1" applyAlignment="1">
      <alignment horizontal="right" vertical="top" wrapText="1"/>
    </xf>
    <xf numFmtId="4" fontId="7" fillId="0" borderId="39" xfId="12" applyNumberFormat="1" applyFont="1" applyFill="1" applyBorder="1" applyAlignment="1" applyProtection="1">
      <alignment vertical="center"/>
      <protection locked="0"/>
    </xf>
    <xf numFmtId="4" fontId="7" fillId="0" borderId="5" xfId="12" applyNumberFormat="1" applyFont="1" applyFill="1" applyBorder="1" applyAlignment="1" applyProtection="1">
      <alignment vertical="center"/>
      <protection locked="0"/>
    </xf>
    <xf numFmtId="4" fontId="6" fillId="0" borderId="8" xfId="12" applyNumberFormat="1" applyFont="1" applyFill="1" applyBorder="1" applyAlignment="1" applyProtection="1">
      <alignment vertical="center"/>
      <protection locked="0"/>
    </xf>
    <xf numFmtId="0" fontId="7" fillId="0" borderId="35" xfId="0" applyFont="1" applyFill="1" applyBorder="1" applyAlignment="1">
      <alignment horizontal="left" vertical="center" wrapText="1"/>
    </xf>
    <xf numFmtId="0" fontId="7" fillId="0" borderId="9" xfId="0" applyFont="1" applyFill="1" applyBorder="1" applyAlignment="1">
      <alignment horizontal="left" vertical="center" wrapText="1"/>
    </xf>
    <xf numFmtId="4" fontId="7" fillId="0" borderId="9" xfId="0" applyNumberFormat="1" applyFont="1" applyFill="1" applyBorder="1" applyAlignment="1">
      <alignment horizontal="right" vertical="center" wrapText="1"/>
    </xf>
    <xf numFmtId="0" fontId="23" fillId="3" borderId="27" xfId="12" applyNumberFormat="1" applyFont="1" applyFill="1" applyBorder="1" applyAlignment="1">
      <alignment horizontal="left" vertical="center" wrapText="1"/>
    </xf>
    <xf numFmtId="0" fontId="7" fillId="0" borderId="20" xfId="0" applyFont="1" applyFill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44" fontId="7" fillId="2" borderId="9" xfId="5" applyNumberFormat="1" applyFont="1" applyFill="1" applyBorder="1" applyAlignment="1">
      <alignment horizontal="center" vertical="center"/>
    </xf>
    <xf numFmtId="2" fontId="21" fillId="0" borderId="22" xfId="7" applyNumberFormat="1" applyFont="1" applyFill="1" applyBorder="1" applyAlignment="1">
      <alignment horizontal="center" vertical="center"/>
    </xf>
    <xf numFmtId="0" fontId="4" fillId="0" borderId="0" xfId="7" applyFont="1" applyFill="1" applyBorder="1" applyAlignment="1">
      <alignment horizontal="center" vertical="center"/>
    </xf>
    <xf numFmtId="2" fontId="23" fillId="0" borderId="26" xfId="7" applyNumberFormat="1" applyFont="1" applyFill="1" applyBorder="1" applyAlignment="1">
      <alignment horizontal="center" vertical="center"/>
    </xf>
    <xf numFmtId="2" fontId="23" fillId="0" borderId="22" xfId="7" applyNumberFormat="1" applyFont="1" applyFill="1" applyBorder="1" applyAlignment="1">
      <alignment horizontal="center" vertical="center"/>
    </xf>
    <xf numFmtId="0" fontId="6" fillId="3" borderId="0" xfId="7" applyFont="1" applyFill="1" applyBorder="1" applyAlignment="1">
      <alignment vertical="center"/>
    </xf>
    <xf numFmtId="2" fontId="7" fillId="0" borderId="22" xfId="7" applyNumberFormat="1" applyFont="1" applyFill="1" applyBorder="1" applyAlignment="1">
      <alignment horizontal="center" vertical="center" wrapText="1"/>
    </xf>
    <xf numFmtId="0" fontId="6" fillId="0" borderId="0" xfId="7" applyFont="1" applyFill="1" applyBorder="1" applyAlignment="1">
      <alignment horizontal="center" vertical="center"/>
    </xf>
    <xf numFmtId="0" fontId="7" fillId="2" borderId="9" xfId="5" applyFont="1" applyFill="1" applyBorder="1" applyAlignment="1">
      <alignment horizontal="center" vertical="center"/>
    </xf>
    <xf numFmtId="0" fontId="7" fillId="0" borderId="0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2" fontId="21" fillId="0" borderId="22" xfId="7" applyNumberFormat="1" applyFont="1" applyFill="1" applyBorder="1" applyAlignment="1">
      <alignment horizontal="center" vertical="center"/>
    </xf>
    <xf numFmtId="0" fontId="4" fillId="0" borderId="0" xfId="7" applyFont="1" applyFill="1" applyBorder="1" applyAlignment="1">
      <alignment horizontal="center" vertical="center"/>
    </xf>
    <xf numFmtId="0" fontId="7" fillId="0" borderId="0" xfId="0" applyFont="1" applyAlignment="1">
      <alignment horizontal="left" wrapText="1"/>
    </xf>
    <xf numFmtId="0" fontId="40" fillId="3" borderId="28" xfId="0" applyFont="1" applyFill="1" applyBorder="1" applyAlignment="1">
      <alignment horizontal="left" vertical="center" wrapText="1"/>
    </xf>
    <xf numFmtId="44" fontId="12" fillId="0" borderId="9" xfId="3" applyFont="1" applyFill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44" fontId="7" fillId="2" borderId="9" xfId="5" applyNumberFormat="1" applyFont="1" applyFill="1" applyBorder="1" applyAlignment="1">
      <alignment horizontal="center" vertical="center"/>
    </xf>
    <xf numFmtId="2" fontId="21" fillId="0" borderId="22" xfId="7" applyNumberFormat="1" applyFont="1" applyFill="1" applyBorder="1" applyAlignment="1">
      <alignment horizontal="center" vertical="center"/>
    </xf>
    <xf numFmtId="0" fontId="4" fillId="0" borderId="0" xfId="7" applyFont="1" applyFill="1" applyBorder="1" applyAlignment="1">
      <alignment horizontal="center" vertical="center"/>
    </xf>
    <xf numFmtId="2" fontId="23" fillId="0" borderId="22" xfId="7" applyNumberFormat="1" applyFont="1" applyFill="1" applyBorder="1" applyAlignment="1">
      <alignment horizontal="center" vertical="center"/>
    </xf>
    <xf numFmtId="2" fontId="3" fillId="0" borderId="0" xfId="7" applyNumberFormat="1" applyFont="1" applyFill="1" applyBorder="1" applyAlignment="1">
      <alignment horizontal="center" vertical="center" wrapText="1"/>
    </xf>
    <xf numFmtId="2" fontId="7" fillId="0" borderId="22" xfId="7" applyNumberFormat="1" applyFont="1" applyFill="1" applyBorder="1" applyAlignment="1">
      <alignment horizontal="center" vertical="center" wrapText="1"/>
    </xf>
    <xf numFmtId="0" fontId="6" fillId="0" borderId="0" xfId="7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7" fillId="2" borderId="9" xfId="5" applyFont="1" applyFill="1" applyBorder="1" applyAlignment="1">
      <alignment horizontal="center" vertical="center"/>
    </xf>
    <xf numFmtId="44" fontId="7" fillId="0" borderId="9" xfId="3" applyFont="1" applyFill="1" applyBorder="1" applyAlignment="1">
      <alignment horizontal="right" vertical="center" wrapText="1"/>
    </xf>
    <xf numFmtId="0" fontId="0" fillId="0" borderId="0" xfId="0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44" fontId="7" fillId="2" borderId="9" xfId="5" applyNumberFormat="1" applyFont="1" applyFill="1" applyBorder="1" applyAlignment="1">
      <alignment horizontal="center" vertical="center"/>
    </xf>
    <xf numFmtId="2" fontId="21" fillId="0" borderId="22" xfId="7" applyNumberFormat="1" applyFont="1" applyFill="1" applyBorder="1" applyAlignment="1">
      <alignment horizontal="center" vertical="center"/>
    </xf>
    <xf numFmtId="2" fontId="23" fillId="0" borderId="22" xfId="7" applyNumberFormat="1" applyFont="1" applyFill="1" applyBorder="1" applyAlignment="1">
      <alignment horizontal="center" vertical="center"/>
    </xf>
    <xf numFmtId="0" fontId="4" fillId="0" borderId="0" xfId="7" applyFont="1" applyFill="1" applyBorder="1" applyAlignment="1">
      <alignment horizontal="center" vertical="center"/>
    </xf>
    <xf numFmtId="0" fontId="6" fillId="0" borderId="0" xfId="7" applyFont="1" applyFill="1" applyBorder="1" applyAlignment="1">
      <alignment horizontal="center" vertical="center"/>
    </xf>
    <xf numFmtId="2" fontId="7" fillId="0" borderId="22" xfId="7" applyNumberFormat="1" applyFont="1" applyFill="1" applyBorder="1" applyAlignment="1">
      <alignment horizontal="center" vertical="center" wrapText="1"/>
    </xf>
    <xf numFmtId="0" fontId="7" fillId="2" borderId="9" xfId="5" applyFont="1" applyFill="1" applyBorder="1" applyAlignment="1">
      <alignment horizontal="center" vertical="center"/>
    </xf>
    <xf numFmtId="0" fontId="23" fillId="3" borderId="43" xfId="16" applyFont="1" applyFill="1" applyBorder="1" applyAlignment="1">
      <alignment horizontal="left" vertical="center" wrapText="1"/>
    </xf>
    <xf numFmtId="1" fontId="23" fillId="3" borderId="44" xfId="16" applyNumberFormat="1" applyFont="1" applyFill="1" applyBorder="1" applyAlignment="1">
      <alignment horizontal="center" vertical="center"/>
    </xf>
    <xf numFmtId="170" fontId="6" fillId="3" borderId="44" xfId="17" applyNumberFormat="1" applyFont="1" applyFill="1" applyBorder="1" applyAlignment="1">
      <alignment horizontal="center" vertical="center"/>
    </xf>
    <xf numFmtId="2" fontId="6" fillId="3" borderId="44" xfId="16" applyNumberFormat="1" applyFont="1" applyFill="1" applyBorder="1" applyAlignment="1">
      <alignment horizontal="center" vertical="center"/>
    </xf>
    <xf numFmtId="4" fontId="6" fillId="3" borderId="45" xfId="16" applyNumberFormat="1" applyFont="1" applyFill="1" applyBorder="1" applyAlignment="1">
      <alignment horizontal="center" vertical="center"/>
    </xf>
    <xf numFmtId="0" fontId="11" fillId="0" borderId="5" xfId="0" applyFont="1" applyBorder="1" applyAlignment="1">
      <alignment horizontal="left" vertical="center" wrapText="1"/>
    </xf>
    <xf numFmtId="2" fontId="7" fillId="0" borderId="0" xfId="16" applyNumberFormat="1" applyFont="1" applyAlignment="1" applyProtection="1">
      <alignment horizontal="center" vertical="center"/>
      <protection locked="0"/>
    </xf>
    <xf numFmtId="44" fontId="7" fillId="0" borderId="5" xfId="18" applyFont="1" applyFill="1" applyBorder="1" applyAlignment="1" applyProtection="1">
      <alignment vertical="center"/>
      <protection locked="0"/>
    </xf>
    <xf numFmtId="0" fontId="12" fillId="0" borderId="5" xfId="0" applyFont="1" applyBorder="1" applyAlignment="1">
      <alignment vertical="center"/>
    </xf>
    <xf numFmtId="170" fontId="7" fillId="0" borderId="0" xfId="17" applyNumberFormat="1" applyFont="1" applyFill="1" applyBorder="1" applyAlignment="1" applyProtection="1">
      <alignment vertical="center"/>
    </xf>
    <xf numFmtId="0" fontId="12" fillId="0" borderId="8" xfId="0" applyFont="1" applyBorder="1" applyAlignment="1">
      <alignment vertical="center"/>
    </xf>
    <xf numFmtId="0" fontId="6" fillId="0" borderId="6" xfId="16" applyFont="1" applyBorder="1" applyAlignment="1" applyProtection="1">
      <alignment horizontal="left" vertical="center"/>
      <protection locked="0"/>
    </xf>
    <xf numFmtId="170" fontId="7" fillId="0" borderId="6" xfId="17" applyNumberFormat="1" applyFont="1" applyFill="1" applyBorder="1" applyAlignment="1" applyProtection="1">
      <alignment vertical="center"/>
    </xf>
    <xf numFmtId="2" fontId="7" fillId="0" borderId="6" xfId="16" applyNumberFormat="1" applyFont="1" applyBorder="1" applyAlignment="1" applyProtection="1">
      <alignment horizontal="center" vertical="center"/>
      <protection locked="0"/>
    </xf>
    <xf numFmtId="44" fontId="6" fillId="0" borderId="8" xfId="18" applyFont="1" applyFill="1" applyBorder="1" applyAlignment="1" applyProtection="1">
      <alignment vertical="center"/>
      <protection locked="0"/>
    </xf>
    <xf numFmtId="0" fontId="12" fillId="2" borderId="9" xfId="16" applyFont="1" applyFill="1" applyBorder="1" applyAlignment="1">
      <alignment horizontal="left" vertical="center" wrapText="1"/>
    </xf>
    <xf numFmtId="0" fontId="12" fillId="0" borderId="0" xfId="0" applyFont="1" applyAlignment="1">
      <alignment vertical="center"/>
    </xf>
    <xf numFmtId="0" fontId="7" fillId="0" borderId="0" xfId="0" applyFont="1" applyBorder="1" applyAlignment="1">
      <alignment horizontal="center" vertical="center"/>
    </xf>
    <xf numFmtId="44" fontId="7" fillId="2" borderId="9" xfId="5" applyNumberFormat="1" applyFont="1" applyFill="1" applyBorder="1" applyAlignment="1">
      <alignment horizontal="center" vertical="center"/>
    </xf>
    <xf numFmtId="2" fontId="21" fillId="0" borderId="22" xfId="7" applyNumberFormat="1" applyFont="1" applyFill="1" applyBorder="1" applyAlignment="1">
      <alignment horizontal="center" vertical="center"/>
    </xf>
    <xf numFmtId="0" fontId="4" fillId="0" borderId="0" xfId="7" applyFont="1" applyFill="1" applyBorder="1" applyAlignment="1">
      <alignment horizontal="center" vertical="center"/>
    </xf>
    <xf numFmtId="0" fontId="6" fillId="0" borderId="0" xfId="7" applyFont="1" applyFill="1" applyBorder="1" applyAlignment="1">
      <alignment horizontal="center" vertical="center"/>
    </xf>
    <xf numFmtId="0" fontId="7" fillId="2" borderId="9" xfId="5" applyFont="1" applyFill="1" applyBorder="1" applyAlignment="1">
      <alignment horizontal="center" vertical="center"/>
    </xf>
    <xf numFmtId="0" fontId="0" fillId="0" borderId="0" xfId="0" applyAlignment="1"/>
    <xf numFmtId="0" fontId="7" fillId="0" borderId="9" xfId="21" applyFont="1" applyBorder="1" applyAlignment="1">
      <alignment horizontal="center" vertical="center"/>
    </xf>
    <xf numFmtId="0" fontId="7" fillId="0" borderId="9" xfId="21" applyFont="1" applyFill="1" applyBorder="1" applyAlignment="1">
      <alignment horizontal="center" vertical="center"/>
    </xf>
    <xf numFmtId="0" fontId="7" fillId="0" borderId="9" xfId="11" applyFont="1" applyFill="1" applyBorder="1" applyAlignment="1">
      <alignment horizontal="center" vertical="center"/>
    </xf>
    <xf numFmtId="0" fontId="7" fillId="0" borderId="9" xfId="11" applyFont="1" applyFill="1" applyBorder="1" applyAlignment="1">
      <alignment horizontal="center" vertical="center" wrapText="1"/>
    </xf>
    <xf numFmtId="0" fontId="7" fillId="0" borderId="9" xfId="27" applyNumberFormat="1" applyFont="1" applyFill="1" applyBorder="1" applyAlignment="1">
      <alignment horizontal="center" vertical="center" wrapText="1"/>
    </xf>
    <xf numFmtId="0" fontId="7" fillId="0" borderId="9" xfId="28" applyFont="1" applyFill="1" applyBorder="1" applyAlignment="1">
      <alignment horizontal="center" vertical="center"/>
    </xf>
    <xf numFmtId="164" fontId="7" fillId="0" borderId="9" xfId="6" applyFont="1" applyBorder="1" applyAlignment="1">
      <alignment horizontal="center" vertical="center"/>
    </xf>
    <xf numFmtId="0" fontId="7" fillId="0" borderId="9" xfId="21" applyFont="1" applyFill="1" applyBorder="1" applyAlignment="1">
      <alignment horizontal="center" vertical="center" wrapText="1"/>
    </xf>
    <xf numFmtId="0" fontId="7" fillId="0" borderId="9" xfId="29" applyFont="1" applyFill="1" applyBorder="1" applyAlignment="1">
      <alignment horizontal="center" vertical="center"/>
    </xf>
    <xf numFmtId="0" fontId="7" fillId="0" borderId="52" xfId="11" applyFont="1" applyFill="1" applyBorder="1" applyAlignment="1">
      <alignment horizontal="center" vertical="center" wrapText="1"/>
    </xf>
    <xf numFmtId="0" fontId="7" fillId="0" borderId="9" xfId="30" applyFont="1" applyFill="1" applyBorder="1" applyAlignment="1">
      <alignment horizontal="center" vertical="center"/>
    </xf>
    <xf numFmtId="0" fontId="7" fillId="2" borderId="9" xfId="11" applyFont="1" applyFill="1" applyBorder="1" applyAlignment="1">
      <alignment horizontal="center" vertical="center" wrapText="1"/>
    </xf>
    <xf numFmtId="0" fontId="7" fillId="0" borderId="9" xfId="32" applyFont="1" applyFill="1" applyBorder="1" applyAlignment="1">
      <alignment horizontal="center" vertical="center"/>
    </xf>
    <xf numFmtId="0" fontId="7" fillId="0" borderId="9" xfId="11" applyNumberFormat="1" applyFont="1" applyFill="1" applyBorder="1" applyAlignment="1">
      <alignment horizontal="center" vertical="center"/>
    </xf>
    <xf numFmtId="0" fontId="7" fillId="0" borderId="9" xfId="33" applyFont="1" applyFill="1" applyBorder="1" applyAlignment="1">
      <alignment horizontal="center" vertical="center" wrapText="1"/>
    </xf>
    <xf numFmtId="164" fontId="7" fillId="0" borderId="9" xfId="6" quotePrefix="1" applyFont="1" applyBorder="1" applyAlignment="1">
      <alignment horizontal="center" vertical="center"/>
    </xf>
    <xf numFmtId="2" fontId="19" fillId="0" borderId="22" xfId="7" applyNumberFormat="1" applyFont="1" applyFill="1" applyBorder="1" applyAlignment="1">
      <alignment horizontal="center" vertical="center"/>
    </xf>
    <xf numFmtId="2" fontId="16" fillId="0" borderId="22" xfId="7" applyNumberFormat="1" applyFont="1" applyFill="1" applyBorder="1" applyAlignment="1">
      <alignment horizontal="center" vertical="center" wrapText="1"/>
    </xf>
    <xf numFmtId="2" fontId="23" fillId="0" borderId="22" xfId="7" applyNumberFormat="1" applyFont="1" applyFill="1" applyBorder="1" applyAlignment="1">
      <alignment horizontal="center" vertical="center"/>
    </xf>
    <xf numFmtId="2" fontId="23" fillId="0" borderId="26" xfId="7" applyNumberFormat="1" applyFont="1" applyFill="1" applyBorder="1" applyAlignment="1">
      <alignment horizontal="center" vertical="center"/>
    </xf>
    <xf numFmtId="0" fontId="17" fillId="0" borderId="0" xfId="7" applyFont="1" applyBorder="1" applyAlignment="1">
      <alignment horizontal="left" vertical="center"/>
    </xf>
    <xf numFmtId="0" fontId="6" fillId="3" borderId="0" xfId="7" applyFont="1" applyFill="1" applyBorder="1" applyAlignment="1">
      <alignment vertical="center"/>
    </xf>
    <xf numFmtId="0" fontId="6" fillId="0" borderId="0" xfId="7" applyFont="1" applyFill="1" applyBorder="1" applyAlignment="1">
      <alignment horizontal="center" vertical="center"/>
    </xf>
    <xf numFmtId="2" fontId="7" fillId="0" borderId="22" xfId="7" applyNumberFormat="1" applyFont="1" applyFill="1" applyBorder="1" applyAlignment="1">
      <alignment horizontal="center" vertical="center" wrapText="1"/>
    </xf>
    <xf numFmtId="2" fontId="47" fillId="0" borderId="1" xfId="34" applyFont="1" applyBorder="1"/>
    <xf numFmtId="2" fontId="48" fillId="0" borderId="2" xfId="34" applyFont="1" applyBorder="1"/>
    <xf numFmtId="2" fontId="2" fillId="0" borderId="2" xfId="34" applyFont="1" applyBorder="1"/>
    <xf numFmtId="2" fontId="2" fillId="0" borderId="0" xfId="34" applyFont="1"/>
    <xf numFmtId="2" fontId="49" fillId="0" borderId="0" xfId="34" applyFont="1"/>
    <xf numFmtId="2" fontId="48" fillId="0" borderId="0" xfId="34" applyFont="1" applyAlignment="1">
      <alignment vertical="center"/>
    </xf>
    <xf numFmtId="4" fontId="25" fillId="0" borderId="0" xfId="36" applyNumberFormat="1" applyFont="1" applyFill="1" applyBorder="1" applyAlignment="1">
      <alignment vertical="center"/>
    </xf>
    <xf numFmtId="0" fontId="51" fillId="0" borderId="0" xfId="35" applyFont="1" applyFill="1" applyBorder="1" applyAlignment="1">
      <alignment horizontal="center" vertical="center"/>
    </xf>
    <xf numFmtId="10" fontId="51" fillId="0" borderId="6" xfId="35" applyNumberFormat="1" applyFont="1" applyFill="1" applyBorder="1" applyAlignment="1">
      <alignment horizontal="center" vertical="center"/>
    </xf>
    <xf numFmtId="2" fontId="56" fillId="0" borderId="0" xfId="34" applyFont="1" applyAlignment="1">
      <alignment vertical="center"/>
    </xf>
    <xf numFmtId="2" fontId="58" fillId="10" borderId="45" xfId="34" applyFont="1" applyFill="1" applyBorder="1" applyAlignment="1">
      <alignment horizontal="center" vertical="center"/>
    </xf>
    <xf numFmtId="2" fontId="58" fillId="10" borderId="61" xfId="34" applyFont="1" applyFill="1" applyBorder="1" applyAlignment="1">
      <alignment horizontal="center" vertical="center"/>
    </xf>
    <xf numFmtId="49" fontId="54" fillId="0" borderId="30" xfId="34" applyNumberFormat="1" applyFont="1" applyBorder="1" applyAlignment="1">
      <alignment horizontal="center" vertical="center"/>
    </xf>
    <xf numFmtId="49" fontId="54" fillId="0" borderId="12" xfId="34" applyNumberFormat="1" applyFont="1" applyBorder="1" applyAlignment="1">
      <alignment horizontal="center" vertical="center"/>
    </xf>
    <xf numFmtId="2" fontId="56" fillId="0" borderId="45" xfId="34" applyFont="1" applyFill="1" applyBorder="1" applyAlignment="1">
      <alignment horizontal="center" vertical="center"/>
    </xf>
    <xf numFmtId="10" fontId="56" fillId="0" borderId="62" xfId="38" applyNumberFormat="1" applyFont="1" applyFill="1" applyBorder="1" applyAlignment="1">
      <alignment vertical="center"/>
    </xf>
    <xf numFmtId="10" fontId="56" fillId="0" borderId="28" xfId="38" applyNumberFormat="1" applyFont="1" applyFill="1" applyBorder="1" applyAlignment="1">
      <alignment vertical="center"/>
    </xf>
    <xf numFmtId="2" fontId="60" fillId="0" borderId="0" xfId="34" applyFont="1" applyAlignment="1">
      <alignment vertical="center"/>
    </xf>
    <xf numFmtId="10" fontId="56" fillId="9" borderId="0" xfId="37" applyNumberFormat="1" applyFont="1" applyFill="1" applyAlignment="1">
      <alignment vertical="center"/>
    </xf>
    <xf numFmtId="2" fontId="56" fillId="0" borderId="61" xfId="34" applyFont="1" applyFill="1" applyBorder="1" applyAlignment="1">
      <alignment horizontal="center" vertical="center"/>
    </xf>
    <xf numFmtId="172" fontId="61" fillId="0" borderId="20" xfId="34" applyNumberFormat="1" applyFont="1" applyFill="1" applyBorder="1" applyAlignment="1">
      <alignment vertical="center"/>
    </xf>
    <xf numFmtId="172" fontId="61" fillId="0" borderId="9" xfId="34" applyNumberFormat="1" applyFont="1" applyFill="1" applyBorder="1" applyAlignment="1">
      <alignment vertical="center"/>
    </xf>
    <xf numFmtId="2" fontId="52" fillId="0" borderId="0" xfId="34" applyFont="1" applyAlignment="1">
      <alignment vertical="center"/>
    </xf>
    <xf numFmtId="164" fontId="49" fillId="0" borderId="0" xfId="37" applyFont="1" applyAlignment="1">
      <alignment vertical="center"/>
    </xf>
    <xf numFmtId="172" fontId="56" fillId="0" borderId="63" xfId="34" applyNumberFormat="1" applyFont="1" applyFill="1" applyBorder="1" applyAlignment="1">
      <alignment horizontal="center" vertical="center"/>
    </xf>
    <xf numFmtId="172" fontId="55" fillId="0" borderId="64" xfId="34" applyNumberFormat="1" applyFont="1" applyFill="1" applyBorder="1" applyAlignment="1">
      <alignment vertical="center"/>
    </xf>
    <xf numFmtId="164" fontId="56" fillId="12" borderId="0" xfId="37" applyFont="1" applyFill="1" applyAlignment="1">
      <alignment vertical="center"/>
    </xf>
    <xf numFmtId="10" fontId="56" fillId="0" borderId="17" xfId="38" applyNumberFormat="1" applyFont="1" applyFill="1" applyBorder="1" applyAlignment="1">
      <alignment vertical="center"/>
    </xf>
    <xf numFmtId="10" fontId="56" fillId="0" borderId="52" xfId="38" applyNumberFormat="1" applyFont="1" applyFill="1" applyBorder="1" applyAlignment="1">
      <alignment vertical="center"/>
    </xf>
    <xf numFmtId="172" fontId="55" fillId="0" borderId="9" xfId="34" applyNumberFormat="1" applyFont="1" applyFill="1" applyBorder="1" applyAlignment="1">
      <alignment vertical="center"/>
    </xf>
    <xf numFmtId="4" fontId="56" fillId="0" borderId="66" xfId="34" applyNumberFormat="1" applyFont="1" applyBorder="1" applyAlignment="1">
      <alignment vertical="center"/>
    </xf>
    <xf numFmtId="4" fontId="56" fillId="0" borderId="67" xfId="34" applyNumberFormat="1" applyFont="1" applyBorder="1" applyAlignment="1">
      <alignment vertical="center" wrapText="1"/>
    </xf>
    <xf numFmtId="4" fontId="56" fillId="13" borderId="67" xfId="34" applyNumberFormat="1" applyFont="1" applyFill="1" applyBorder="1" applyAlignment="1">
      <alignment vertical="center"/>
    </xf>
    <xf numFmtId="4" fontId="56" fillId="0" borderId="68" xfId="34" applyNumberFormat="1" applyFont="1" applyFill="1" applyBorder="1" applyAlignment="1">
      <alignment horizontal="center" vertical="center"/>
    </xf>
    <xf numFmtId="10" fontId="55" fillId="0" borderId="62" xfId="34" applyNumberFormat="1" applyFont="1" applyBorder="1" applyAlignment="1">
      <alignment horizontal="right" vertical="center"/>
    </xf>
    <xf numFmtId="4" fontId="60" fillId="0" borderId="0" xfId="34" applyNumberFormat="1" applyFont="1" applyAlignment="1">
      <alignment vertical="center"/>
    </xf>
    <xf numFmtId="4" fontId="56" fillId="0" borderId="0" xfId="37" applyNumberFormat="1" applyFont="1" applyAlignment="1">
      <alignment vertical="center"/>
    </xf>
    <xf numFmtId="4" fontId="56" fillId="0" borderId="69" xfId="34" applyNumberFormat="1" applyFont="1" applyBorder="1" applyAlignment="1">
      <alignment vertical="center"/>
    </xf>
    <xf numFmtId="4" fontId="56" fillId="0" borderId="22" xfId="34" applyNumberFormat="1" applyFont="1" applyBorder="1" applyAlignment="1">
      <alignment vertical="center" wrapText="1"/>
    </xf>
    <xf numFmtId="4" fontId="56" fillId="13" borderId="22" xfId="34" applyNumberFormat="1" applyFont="1" applyFill="1" applyBorder="1" applyAlignment="1">
      <alignment vertical="center"/>
    </xf>
    <xf numFmtId="4" fontId="56" fillId="0" borderId="70" xfId="34" applyNumberFormat="1" applyFont="1" applyFill="1" applyBorder="1" applyAlignment="1">
      <alignment horizontal="center" vertical="center"/>
    </xf>
    <xf numFmtId="10" fontId="55" fillId="0" borderId="12" xfId="34" applyNumberFormat="1" applyFont="1" applyBorder="1" applyAlignment="1">
      <alignment horizontal="right" vertical="center"/>
    </xf>
    <xf numFmtId="4" fontId="49" fillId="0" borderId="0" xfId="34" applyNumberFormat="1" applyFont="1"/>
    <xf numFmtId="4" fontId="55" fillId="0" borderId="0" xfId="34" applyNumberFormat="1" applyFont="1" applyAlignment="1">
      <alignment horizontal="center" vertical="center"/>
    </xf>
    <xf numFmtId="2" fontId="56" fillId="0" borderId="69" xfId="34" applyFont="1" applyBorder="1" applyAlignment="1">
      <alignment vertical="center"/>
    </xf>
    <xf numFmtId="2" fontId="56" fillId="0" borderId="22" xfId="34" applyFont="1" applyBorder="1" applyAlignment="1">
      <alignment vertical="center" wrapText="1"/>
    </xf>
    <xf numFmtId="2" fontId="56" fillId="13" borderId="22" xfId="34" applyFont="1" applyFill="1" applyBorder="1" applyAlignment="1">
      <alignment vertical="center"/>
    </xf>
    <xf numFmtId="172" fontId="56" fillId="0" borderId="70" xfId="34" applyNumberFormat="1" applyFont="1" applyFill="1" applyBorder="1" applyAlignment="1">
      <alignment horizontal="center" vertical="center"/>
    </xf>
    <xf numFmtId="164" fontId="55" fillId="0" borderId="56" xfId="37" applyFont="1" applyBorder="1" applyAlignment="1">
      <alignment horizontal="center" vertical="center"/>
    </xf>
    <xf numFmtId="2" fontId="56" fillId="0" borderId="71" xfId="34" applyFont="1" applyBorder="1" applyAlignment="1">
      <alignment vertical="center"/>
    </xf>
    <xf numFmtId="2" fontId="56" fillId="0" borderId="72" xfId="34" applyFont="1" applyBorder="1" applyAlignment="1">
      <alignment vertical="center" wrapText="1"/>
    </xf>
    <xf numFmtId="164" fontId="55" fillId="0" borderId="72" xfId="37" applyFont="1" applyBorder="1" applyAlignment="1">
      <alignment vertical="center"/>
    </xf>
    <xf numFmtId="172" fontId="56" fillId="0" borderId="73" xfId="34" applyNumberFormat="1" applyFont="1" applyFill="1" applyBorder="1" applyAlignment="1">
      <alignment horizontal="center" vertical="center"/>
    </xf>
    <xf numFmtId="172" fontId="55" fillId="0" borderId="56" xfId="34" applyNumberFormat="1" applyFont="1" applyBorder="1" applyAlignment="1">
      <alignment horizontal="center" vertical="center"/>
    </xf>
    <xf numFmtId="4" fontId="55" fillId="0" borderId="0" xfId="34" applyNumberFormat="1" applyFont="1" applyAlignment="1">
      <alignment horizontal="center" vertical="center" wrapText="1"/>
    </xf>
    <xf numFmtId="2" fontId="48" fillId="0" borderId="0" xfId="34" applyFont="1"/>
    <xf numFmtId="4" fontId="62" fillId="0" borderId="0" xfId="34" applyNumberFormat="1" applyFont="1"/>
    <xf numFmtId="164" fontId="57" fillId="0" borderId="72" xfId="37" applyFont="1" applyBorder="1" applyAlignment="1">
      <alignment vertical="center"/>
    </xf>
    <xf numFmtId="164" fontId="63" fillId="0" borderId="0" xfId="37" applyFont="1" applyBorder="1" applyAlignment="1">
      <alignment vertical="center"/>
    </xf>
    <xf numFmtId="4" fontId="4" fillId="0" borderId="0" xfId="36" applyNumberFormat="1" applyFont="1" applyFill="1" applyBorder="1" applyAlignment="1">
      <alignment vertical="top"/>
    </xf>
    <xf numFmtId="2" fontId="2" fillId="0" borderId="0" xfId="34" applyFont="1" applyBorder="1"/>
    <xf numFmtId="2" fontId="59" fillId="0" borderId="0" xfId="34" applyFont="1" applyFill="1" applyBorder="1" applyAlignment="1">
      <alignment horizontal="left" vertical="center" wrapText="1"/>
    </xf>
    <xf numFmtId="4" fontId="57" fillId="9" borderId="0" xfId="37" applyNumberFormat="1" applyFont="1" applyFill="1" applyBorder="1" applyAlignment="1">
      <alignment horizontal="center" vertical="center"/>
    </xf>
    <xf numFmtId="4" fontId="57" fillId="0" borderId="0" xfId="34" applyNumberFormat="1" applyFont="1" applyFill="1" applyBorder="1" applyAlignment="1">
      <alignment horizontal="center" vertical="center" wrapText="1"/>
    </xf>
    <xf numFmtId="0" fontId="11" fillId="8" borderId="74" xfId="5" applyFont="1" applyFill="1" applyBorder="1" applyAlignment="1">
      <alignment horizontal="center" vertical="center"/>
    </xf>
    <xf numFmtId="0" fontId="40" fillId="8" borderId="74" xfId="5" applyFont="1" applyFill="1" applyBorder="1" applyAlignment="1">
      <alignment horizontal="center" vertical="center" wrapText="1"/>
    </xf>
    <xf numFmtId="4" fontId="40" fillId="8" borderId="74" xfId="5" applyNumberFormat="1" applyFont="1" applyFill="1" applyBorder="1" applyAlignment="1">
      <alignment horizontal="center" vertical="center"/>
    </xf>
    <xf numFmtId="44" fontId="40" fillId="8" borderId="74" xfId="3" applyFont="1" applyFill="1" applyBorder="1" applyAlignment="1">
      <alignment horizontal="center" vertical="center"/>
    </xf>
    <xf numFmtId="0" fontId="11" fillId="8" borderId="74" xfId="5" applyFont="1" applyFill="1" applyBorder="1" applyAlignment="1">
      <alignment horizontal="left" vertical="center" wrapText="1"/>
    </xf>
    <xf numFmtId="4" fontId="11" fillId="8" borderId="74" xfId="5" applyNumberFormat="1" applyFont="1" applyFill="1" applyBorder="1" applyAlignment="1">
      <alignment horizontal="center" vertical="center"/>
    </xf>
    <xf numFmtId="44" fontId="11" fillId="8" borderId="74" xfId="3" applyFont="1" applyFill="1" applyBorder="1" applyAlignment="1">
      <alignment horizontal="center" vertical="center"/>
    </xf>
    <xf numFmtId="164" fontId="11" fillId="8" borderId="74" xfId="5" applyNumberFormat="1" applyFont="1" applyFill="1" applyBorder="1" applyAlignment="1">
      <alignment horizontal="center" vertical="center"/>
    </xf>
    <xf numFmtId="0" fontId="11" fillId="8" borderId="74" xfId="0" applyFont="1" applyFill="1" applyBorder="1" applyAlignment="1">
      <alignment horizontal="left" vertical="center" wrapText="1"/>
    </xf>
    <xf numFmtId="4" fontId="11" fillId="8" borderId="74" xfId="6" applyNumberFormat="1" applyFont="1" applyFill="1" applyBorder="1" applyAlignment="1">
      <alignment horizontal="center" vertical="center"/>
    </xf>
    <xf numFmtId="0" fontId="65" fillId="8" borderId="0" xfId="0" applyFont="1" applyFill="1"/>
    <xf numFmtId="0" fontId="69" fillId="8" borderId="2" xfId="7" applyFont="1" applyFill="1" applyBorder="1" applyAlignment="1">
      <alignment horizontal="center" vertical="center" wrapText="1"/>
    </xf>
    <xf numFmtId="0" fontId="69" fillId="8" borderId="2" xfId="7" applyFont="1" applyFill="1" applyBorder="1" applyAlignment="1">
      <alignment vertical="center" wrapText="1"/>
    </xf>
    <xf numFmtId="10" fontId="68" fillId="8" borderId="0" xfId="7" applyNumberFormat="1" applyFont="1" applyFill="1" applyBorder="1" applyAlignment="1">
      <alignment horizontal="center" vertical="center"/>
    </xf>
    <xf numFmtId="0" fontId="68" fillId="8" borderId="0" xfId="7" applyFont="1" applyFill="1" applyBorder="1" applyAlignment="1">
      <alignment horizontal="center" vertical="center"/>
    </xf>
    <xf numFmtId="0" fontId="68" fillId="8" borderId="0" xfId="7" applyFont="1" applyFill="1" applyBorder="1" applyAlignment="1">
      <alignment vertical="center"/>
    </xf>
    <xf numFmtId="14" fontId="68" fillId="8" borderId="0" xfId="7" applyNumberFormat="1" applyFont="1" applyFill="1" applyBorder="1" applyAlignment="1">
      <alignment horizontal="center" vertical="center"/>
    </xf>
    <xf numFmtId="4" fontId="69" fillId="8" borderId="0" xfId="8" applyNumberFormat="1" applyFont="1" applyFill="1" applyBorder="1" applyAlignment="1">
      <alignment vertical="center"/>
    </xf>
    <xf numFmtId="0" fontId="69" fillId="8" borderId="0" xfId="7" applyFont="1" applyFill="1" applyBorder="1" applyAlignment="1">
      <alignment horizontal="center" vertical="center"/>
    </xf>
    <xf numFmtId="49" fontId="68" fillId="8" borderId="0" xfId="7" applyNumberFormat="1" applyFont="1" applyFill="1" applyBorder="1" applyAlignment="1">
      <alignment vertical="center"/>
    </xf>
    <xf numFmtId="2" fontId="68" fillId="8" borderId="0" xfId="7" applyNumberFormat="1" applyFont="1" applyFill="1" applyBorder="1" applyAlignment="1">
      <alignment horizontal="center" vertical="center"/>
    </xf>
    <xf numFmtId="49" fontId="68" fillId="8" borderId="0" xfId="9" applyNumberFormat="1" applyFont="1" applyFill="1" applyBorder="1" applyAlignment="1">
      <alignment horizontal="left" vertical="center"/>
    </xf>
    <xf numFmtId="49" fontId="69" fillId="8" borderId="0" xfId="9" applyNumberFormat="1" applyFont="1" applyFill="1" applyBorder="1" applyAlignment="1">
      <alignment vertical="center"/>
    </xf>
    <xf numFmtId="49" fontId="70" fillId="8" borderId="0" xfId="9" applyNumberFormat="1" applyFont="1" applyFill="1" applyBorder="1" applyAlignment="1">
      <alignment vertical="center"/>
    </xf>
    <xf numFmtId="164" fontId="68" fillId="8" borderId="0" xfId="9" applyNumberFormat="1" applyFont="1" applyFill="1" applyBorder="1" applyAlignment="1">
      <alignment vertical="center"/>
    </xf>
    <xf numFmtId="164" fontId="68" fillId="8" borderId="0" xfId="9" applyNumberFormat="1" applyFont="1" applyFill="1" applyBorder="1" applyAlignment="1">
      <alignment horizontal="center" vertical="center"/>
    </xf>
    <xf numFmtId="49" fontId="68" fillId="8" borderId="0" xfId="9" applyNumberFormat="1" applyFont="1" applyFill="1" applyBorder="1" applyAlignment="1">
      <alignment horizontal="right" vertical="center"/>
    </xf>
    <xf numFmtId="0" fontId="69" fillId="8" borderId="0" xfId="7" applyFont="1" applyFill="1" applyBorder="1" applyAlignment="1">
      <alignment horizontal="center" vertical="center" wrapText="1"/>
    </xf>
    <xf numFmtId="4" fontId="69" fillId="8" borderId="21" xfId="7" applyNumberFormat="1" applyFont="1" applyFill="1" applyBorder="1" applyAlignment="1">
      <alignment horizontal="center" vertical="center"/>
    </xf>
    <xf numFmtId="0" fontId="69" fillId="8" borderId="22" xfId="7" applyFont="1" applyFill="1" applyBorder="1" applyAlignment="1">
      <alignment horizontal="center" vertical="center"/>
    </xf>
    <xf numFmtId="2" fontId="69" fillId="8" borderId="22" xfId="7" applyNumberFormat="1" applyFont="1" applyFill="1" applyBorder="1" applyAlignment="1">
      <alignment horizontal="center" vertical="center" wrapText="1"/>
    </xf>
    <xf numFmtId="4" fontId="68" fillId="8" borderId="22" xfId="7" applyNumberFormat="1" applyFont="1" applyFill="1" applyBorder="1" applyAlignment="1">
      <alignment horizontal="center" vertical="center"/>
    </xf>
    <xf numFmtId="4" fontId="68" fillId="8" borderId="22" xfId="7" applyNumberFormat="1" applyFont="1" applyFill="1" applyBorder="1" applyAlignment="1">
      <alignment horizontal="center" vertical="center" wrapText="1"/>
    </xf>
    <xf numFmtId="4" fontId="69" fillId="8" borderId="22" xfId="7" applyNumberFormat="1" applyFont="1" applyFill="1" applyBorder="1" applyAlignment="1">
      <alignment horizontal="center" vertical="center" wrapText="1"/>
    </xf>
    <xf numFmtId="2" fontId="68" fillId="8" borderId="0" xfId="7" applyNumberFormat="1" applyFont="1" applyFill="1" applyBorder="1" applyAlignment="1">
      <alignment horizontal="right" vertical="center"/>
    </xf>
    <xf numFmtId="4" fontId="69" fillId="8" borderId="0" xfId="7" applyNumberFormat="1" applyFont="1" applyFill="1" applyBorder="1" applyAlignment="1">
      <alignment horizontal="center" vertical="center" wrapText="1"/>
    </xf>
    <xf numFmtId="2" fontId="69" fillId="8" borderId="0" xfId="7" applyNumberFormat="1" applyFont="1" applyFill="1" applyBorder="1" applyAlignment="1">
      <alignment horizontal="center" vertical="center" wrapText="1"/>
    </xf>
    <xf numFmtId="0" fontId="36" fillId="8" borderId="0" xfId="7" applyFont="1" applyFill="1" applyBorder="1" applyAlignment="1">
      <alignment horizontal="center" vertical="center"/>
    </xf>
    <xf numFmtId="2" fontId="40" fillId="8" borderId="22" xfId="7" applyNumberFormat="1" applyFont="1" applyFill="1" applyBorder="1" applyAlignment="1">
      <alignment horizontal="center" vertical="center" wrapText="1"/>
    </xf>
    <xf numFmtId="2" fontId="40" fillId="8" borderId="78" xfId="7" applyNumberFormat="1" applyFont="1" applyFill="1" applyBorder="1" applyAlignment="1">
      <alignment horizontal="center" vertical="center" wrapText="1"/>
    </xf>
    <xf numFmtId="0" fontId="64" fillId="8" borderId="22" xfId="7" applyFont="1" applyFill="1" applyBorder="1" applyAlignment="1">
      <alignment horizontal="center" vertical="center"/>
    </xf>
    <xf numFmtId="2" fontId="64" fillId="8" borderId="23" xfId="7" applyNumberFormat="1" applyFont="1" applyFill="1" applyBorder="1" applyAlignment="1">
      <alignment horizontal="center" vertical="center" wrapText="1"/>
    </xf>
    <xf numFmtId="4" fontId="36" fillId="8" borderId="22" xfId="7" applyNumberFormat="1" applyFont="1" applyFill="1" applyBorder="1" applyAlignment="1">
      <alignment horizontal="center" vertical="center"/>
    </xf>
    <xf numFmtId="0" fontId="65" fillId="8" borderId="0" xfId="0" applyFont="1" applyFill="1" applyAlignment="1">
      <alignment horizontal="left" vertical="center" wrapText="1"/>
    </xf>
    <xf numFmtId="165" fontId="68" fillId="8" borderId="22" xfId="7" applyNumberFormat="1" applyFont="1" applyFill="1" applyBorder="1" applyAlignment="1">
      <alignment horizontal="center" vertical="center"/>
    </xf>
    <xf numFmtId="2" fontId="64" fillId="8" borderId="22" xfId="7" applyNumberFormat="1" applyFont="1" applyFill="1" applyBorder="1" applyAlignment="1">
      <alignment horizontal="center" vertical="center" wrapText="1"/>
    </xf>
    <xf numFmtId="2" fontId="36" fillId="8" borderId="0" xfId="7" applyNumberFormat="1" applyFont="1" applyFill="1" applyBorder="1" applyAlignment="1">
      <alignment horizontal="center" vertical="center"/>
    </xf>
    <xf numFmtId="2" fontId="36" fillId="8" borderId="22" xfId="7" applyNumberFormat="1" applyFont="1" applyFill="1" applyBorder="1" applyAlignment="1">
      <alignment horizontal="center" vertical="center" wrapText="1"/>
    </xf>
    <xf numFmtId="4" fontId="36" fillId="8" borderId="24" xfId="7" applyNumberFormat="1" applyFont="1" applyFill="1" applyBorder="1" applyAlignment="1">
      <alignment horizontal="center" vertical="center"/>
    </xf>
    <xf numFmtId="4" fontId="36" fillId="8" borderId="25" xfId="7" applyNumberFormat="1" applyFont="1" applyFill="1" applyBorder="1" applyAlignment="1">
      <alignment horizontal="center" vertical="center"/>
    </xf>
    <xf numFmtId="2" fontId="36" fillId="8" borderId="0" xfId="7" applyNumberFormat="1" applyFont="1" applyFill="1" applyBorder="1" applyAlignment="1">
      <alignment horizontal="right" vertical="center"/>
    </xf>
    <xf numFmtId="2" fontId="64" fillId="8" borderId="0" xfId="7" applyNumberFormat="1" applyFont="1" applyFill="1" applyBorder="1" applyAlignment="1">
      <alignment horizontal="center" vertical="center" wrapText="1"/>
    </xf>
    <xf numFmtId="2" fontId="40" fillId="8" borderId="23" xfId="7" applyNumberFormat="1" applyFont="1" applyFill="1" applyBorder="1" applyAlignment="1">
      <alignment horizontal="center" vertical="center" wrapText="1"/>
    </xf>
    <xf numFmtId="2" fontId="36" fillId="8" borderId="23" xfId="7" applyNumberFormat="1" applyFont="1" applyFill="1" applyBorder="1" applyAlignment="1">
      <alignment vertical="center"/>
    </xf>
    <xf numFmtId="2" fontId="36" fillId="8" borderId="24" xfId="7" applyNumberFormat="1" applyFont="1" applyFill="1" applyBorder="1" applyAlignment="1">
      <alignment vertical="center"/>
    </xf>
    <xf numFmtId="0" fontId="11" fillId="8" borderId="35" xfId="0" applyFont="1" applyFill="1" applyBorder="1" applyAlignment="1">
      <alignment horizontal="center" vertical="top" wrapText="1"/>
    </xf>
    <xf numFmtId="0" fontId="11" fillId="8" borderId="9" xfId="0" applyFont="1" applyFill="1" applyBorder="1" applyAlignment="1">
      <alignment horizontal="left" vertical="top" wrapText="1"/>
    </xf>
    <xf numFmtId="0" fontId="11" fillId="8" borderId="9" xfId="0" applyFont="1" applyFill="1" applyBorder="1" applyAlignment="1">
      <alignment horizontal="center" vertical="top" wrapText="1"/>
    </xf>
    <xf numFmtId="171" fontId="11" fillId="8" borderId="9" xfId="0" applyNumberFormat="1" applyFont="1" applyFill="1" applyBorder="1" applyAlignment="1">
      <alignment horizontal="right" vertical="top" wrapText="1"/>
    </xf>
    <xf numFmtId="4" fontId="11" fillId="8" borderId="9" xfId="0" applyNumberFormat="1" applyFont="1" applyFill="1" applyBorder="1" applyAlignment="1">
      <alignment horizontal="right" vertical="top" wrapText="1"/>
    </xf>
    <xf numFmtId="4" fontId="11" fillId="8" borderId="36" xfId="0" applyNumberFormat="1" applyFont="1" applyFill="1" applyBorder="1" applyAlignment="1">
      <alignment horizontal="right" vertical="top" wrapText="1"/>
    </xf>
    <xf numFmtId="0" fontId="11" fillId="8" borderId="4" xfId="0" applyFont="1" applyFill="1" applyBorder="1"/>
    <xf numFmtId="0" fontId="11" fillId="8" borderId="0" xfId="0" applyFont="1" applyFill="1" applyBorder="1"/>
    <xf numFmtId="2" fontId="11" fillId="8" borderId="11" xfId="12" applyNumberFormat="1" applyFont="1" applyFill="1" applyBorder="1" applyAlignment="1" applyProtection="1">
      <alignment horizontal="center" vertical="center"/>
      <protection locked="0"/>
    </xf>
    <xf numFmtId="4" fontId="11" fillId="8" borderId="39" xfId="12" applyNumberFormat="1" applyFont="1" applyFill="1" applyBorder="1" applyAlignment="1" applyProtection="1">
      <alignment vertical="center"/>
      <protection locked="0"/>
    </xf>
    <xf numFmtId="0" fontId="11" fillId="8" borderId="13" xfId="12" applyNumberFormat="1" applyFont="1" applyFill="1" applyBorder="1" applyAlignment="1" applyProtection="1">
      <alignment horizontal="left" vertical="center"/>
      <protection locked="0"/>
    </xf>
    <xf numFmtId="170" fontId="11" fillId="8" borderId="0" xfId="13" applyNumberFormat="1" applyFont="1" applyFill="1" applyBorder="1" applyAlignment="1" applyProtection="1">
      <alignment vertical="center"/>
    </xf>
    <xf numFmtId="2" fontId="11" fillId="8" borderId="0" xfId="12" applyNumberFormat="1" applyFont="1" applyFill="1" applyBorder="1" applyAlignment="1" applyProtection="1">
      <alignment horizontal="center" vertical="center"/>
      <protection locked="0"/>
    </xf>
    <xf numFmtId="4" fontId="11" fillId="8" borderId="5" xfId="12" applyNumberFormat="1" applyFont="1" applyFill="1" applyBorder="1" applyAlignment="1" applyProtection="1">
      <alignment vertical="center"/>
      <protection locked="0"/>
    </xf>
    <xf numFmtId="0" fontId="11" fillId="8" borderId="7" xfId="0" applyFont="1" applyFill="1" applyBorder="1"/>
    <xf numFmtId="0" fontId="11" fillId="8" borderId="6" xfId="0" applyFont="1" applyFill="1" applyBorder="1"/>
    <xf numFmtId="0" fontId="40" fillId="8" borderId="41" xfId="12" applyNumberFormat="1" applyFont="1" applyFill="1" applyBorder="1" applyAlignment="1" applyProtection="1">
      <alignment horizontal="left" vertical="center"/>
      <protection locked="0"/>
    </xf>
    <xf numFmtId="170" fontId="11" fillId="8" borderId="6" xfId="13" applyNumberFormat="1" applyFont="1" applyFill="1" applyBorder="1" applyAlignment="1" applyProtection="1">
      <alignment vertical="center"/>
    </xf>
    <xf numFmtId="2" fontId="11" fillId="8" borderId="6" xfId="12" applyNumberFormat="1" applyFont="1" applyFill="1" applyBorder="1" applyAlignment="1" applyProtection="1">
      <alignment horizontal="center" vertical="center"/>
      <protection locked="0"/>
    </xf>
    <xf numFmtId="4" fontId="40" fillId="8" borderId="8" xfId="12" applyNumberFormat="1" applyFont="1" applyFill="1" applyBorder="1" applyAlignment="1" applyProtection="1">
      <alignment vertical="center"/>
      <protection locked="0"/>
    </xf>
    <xf numFmtId="1" fontId="40" fillId="11" borderId="28" xfId="12" applyNumberFormat="1" applyFont="1" applyFill="1" applyBorder="1" applyAlignment="1">
      <alignment horizontal="center" vertical="center"/>
    </xf>
    <xf numFmtId="170" fontId="40" fillId="11" borderId="28" xfId="13" applyNumberFormat="1" applyFont="1" applyFill="1" applyBorder="1" applyAlignment="1">
      <alignment horizontal="center" vertical="center"/>
    </xf>
    <xf numFmtId="2" fontId="40" fillId="11" borderId="28" xfId="12" applyNumberFormat="1" applyFont="1" applyFill="1" applyBorder="1" applyAlignment="1">
      <alignment horizontal="center" vertical="center"/>
    </xf>
    <xf numFmtId="4" fontId="40" fillId="11" borderId="29" xfId="12" applyNumberFormat="1" applyFont="1" applyFill="1" applyBorder="1" applyAlignment="1">
      <alignment horizontal="center" vertical="center"/>
    </xf>
    <xf numFmtId="0" fontId="40" fillId="11" borderId="28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40" fillId="8" borderId="74" xfId="5" applyFont="1" applyFill="1" applyBorder="1" applyAlignment="1">
      <alignment horizontal="center" vertical="center"/>
    </xf>
    <xf numFmtId="0" fontId="11" fillId="8" borderId="74" xfId="0" applyFont="1" applyFill="1" applyBorder="1" applyAlignment="1">
      <alignment horizontal="center" vertical="center"/>
    </xf>
    <xf numFmtId="44" fontId="11" fillId="8" borderId="74" xfId="5" applyNumberFormat="1" applyFont="1" applyFill="1" applyBorder="1" applyAlignment="1">
      <alignment horizontal="center" vertical="center"/>
    </xf>
    <xf numFmtId="0" fontId="64" fillId="8" borderId="74" xfId="0" applyFont="1" applyFill="1" applyBorder="1" applyAlignment="1">
      <alignment horizontal="center" vertical="center" wrapText="1"/>
    </xf>
    <xf numFmtId="2" fontId="64" fillId="8" borderId="22" xfId="7" applyNumberFormat="1" applyFont="1" applyFill="1" applyBorder="1" applyAlignment="1">
      <alignment horizontal="center" vertical="center"/>
    </xf>
    <xf numFmtId="2" fontId="36" fillId="8" borderId="23" xfId="7" applyNumberFormat="1" applyFont="1" applyFill="1" applyBorder="1" applyAlignment="1">
      <alignment horizontal="center" vertical="center" wrapText="1"/>
    </xf>
    <xf numFmtId="2" fontId="36" fillId="8" borderId="24" xfId="7" applyNumberFormat="1" applyFont="1" applyFill="1" applyBorder="1" applyAlignment="1">
      <alignment horizontal="center" vertical="center" wrapText="1"/>
    </xf>
    <xf numFmtId="2" fontId="36" fillId="8" borderId="25" xfId="7" applyNumberFormat="1" applyFont="1" applyFill="1" applyBorder="1" applyAlignment="1">
      <alignment horizontal="center" vertical="center" wrapText="1"/>
    </xf>
    <xf numFmtId="0" fontId="64" fillId="8" borderId="0" xfId="7" applyFont="1" applyFill="1" applyBorder="1" applyAlignment="1">
      <alignment vertical="center"/>
    </xf>
    <xf numFmtId="0" fontId="64" fillId="8" borderId="0" xfId="7" applyFont="1" applyFill="1" applyBorder="1" applyAlignment="1">
      <alignment horizontal="center" vertical="center"/>
    </xf>
    <xf numFmtId="2" fontId="69" fillId="8" borderId="22" xfId="7" applyNumberFormat="1" applyFont="1" applyFill="1" applyBorder="1" applyAlignment="1">
      <alignment horizontal="center" vertical="center"/>
    </xf>
    <xf numFmtId="2" fontId="68" fillId="8" borderId="22" xfId="7" applyNumberFormat="1" applyFont="1" applyFill="1" applyBorder="1" applyAlignment="1">
      <alignment horizontal="center" vertical="center" wrapText="1"/>
    </xf>
    <xf numFmtId="0" fontId="69" fillId="8" borderId="0" xfId="7" applyFont="1" applyFill="1" applyBorder="1" applyAlignment="1">
      <alignment vertical="center"/>
    </xf>
    <xf numFmtId="0" fontId="69" fillId="8" borderId="0" xfId="7" applyFont="1" applyFill="1" applyBorder="1" applyAlignment="1">
      <alignment horizontal="left" vertical="center"/>
    </xf>
    <xf numFmtId="0" fontId="11" fillId="8" borderId="74" xfId="5" applyFont="1" applyFill="1" applyBorder="1" applyAlignment="1">
      <alignment horizontal="center" vertical="center" wrapText="1"/>
    </xf>
    <xf numFmtId="0" fontId="11" fillId="2" borderId="35" xfId="0" applyFont="1" applyFill="1" applyBorder="1" applyAlignment="1">
      <alignment horizontal="center" vertical="top" wrapText="1"/>
    </xf>
    <xf numFmtId="0" fontId="11" fillId="2" borderId="9" xfId="0" applyFont="1" applyFill="1" applyBorder="1" applyAlignment="1">
      <alignment horizontal="left" vertical="top" wrapText="1"/>
    </xf>
    <xf numFmtId="0" fontId="11" fillId="2" borderId="9" xfId="0" applyFont="1" applyFill="1" applyBorder="1" applyAlignment="1">
      <alignment horizontal="center" vertical="top" wrapText="1"/>
    </xf>
    <xf numFmtId="171" fontId="11" fillId="2" borderId="9" xfId="0" applyNumberFormat="1" applyFont="1" applyFill="1" applyBorder="1" applyAlignment="1">
      <alignment horizontal="right" vertical="top" wrapText="1"/>
    </xf>
    <xf numFmtId="4" fontId="11" fillId="2" borderId="9" xfId="0" applyNumberFormat="1" applyFont="1" applyFill="1" applyBorder="1" applyAlignment="1">
      <alignment horizontal="right" vertical="top" wrapText="1"/>
    </xf>
    <xf numFmtId="4" fontId="11" fillId="2" borderId="36" xfId="0" applyNumberFormat="1" applyFont="1" applyFill="1" applyBorder="1" applyAlignment="1">
      <alignment horizontal="right" vertical="top" wrapText="1"/>
    </xf>
    <xf numFmtId="0" fontId="11" fillId="2" borderId="4" xfId="0" applyFont="1" applyFill="1" applyBorder="1"/>
    <xf numFmtId="0" fontId="11" fillId="2" borderId="0" xfId="0" applyFont="1" applyFill="1" applyBorder="1"/>
    <xf numFmtId="2" fontId="11" fillId="2" borderId="11" xfId="12" applyNumberFormat="1" applyFont="1" applyFill="1" applyBorder="1" applyAlignment="1" applyProtection="1">
      <alignment horizontal="center" vertical="center"/>
      <protection locked="0"/>
    </xf>
    <xf numFmtId="4" fontId="11" fillId="2" borderId="39" xfId="12" applyNumberFormat="1" applyFont="1" applyFill="1" applyBorder="1" applyAlignment="1" applyProtection="1">
      <alignment vertical="center"/>
      <protection locked="0"/>
    </xf>
    <xf numFmtId="0" fontId="11" fillId="2" borderId="13" xfId="12" applyNumberFormat="1" applyFont="1" applyFill="1" applyBorder="1" applyAlignment="1" applyProtection="1">
      <alignment horizontal="left" vertical="center"/>
      <protection locked="0"/>
    </xf>
    <xf numFmtId="170" fontId="11" fillId="2" borderId="0" xfId="13" applyNumberFormat="1" applyFont="1" applyFill="1" applyBorder="1" applyAlignment="1" applyProtection="1">
      <alignment vertical="center"/>
    </xf>
    <xf numFmtId="2" fontId="11" fillId="2" borderId="0" xfId="12" applyNumberFormat="1" applyFont="1" applyFill="1" applyBorder="1" applyAlignment="1" applyProtection="1">
      <alignment horizontal="center" vertical="center"/>
      <protection locked="0"/>
    </xf>
    <xf numFmtId="4" fontId="11" fillId="2" borderId="5" xfId="12" applyNumberFormat="1" applyFont="1" applyFill="1" applyBorder="1" applyAlignment="1" applyProtection="1">
      <alignment vertical="center"/>
      <protection locked="0"/>
    </xf>
    <xf numFmtId="0" fontId="11" fillId="2" borderId="7" xfId="0" applyFont="1" applyFill="1" applyBorder="1"/>
    <xf numFmtId="0" fontId="11" fillId="2" borderId="6" xfId="0" applyFont="1" applyFill="1" applyBorder="1"/>
    <xf numFmtId="0" fontId="40" fillId="2" borderId="41" xfId="12" applyNumberFormat="1" applyFont="1" applyFill="1" applyBorder="1" applyAlignment="1" applyProtection="1">
      <alignment horizontal="left" vertical="center"/>
      <protection locked="0"/>
    </xf>
    <xf numFmtId="170" fontId="11" fillId="2" borderId="6" xfId="13" applyNumberFormat="1" applyFont="1" applyFill="1" applyBorder="1" applyAlignment="1" applyProtection="1">
      <alignment vertical="center"/>
    </xf>
    <xf numFmtId="2" fontId="11" fillId="2" borderId="6" xfId="12" applyNumberFormat="1" applyFont="1" applyFill="1" applyBorder="1" applyAlignment="1" applyProtection="1">
      <alignment horizontal="center" vertical="center"/>
      <protection locked="0"/>
    </xf>
    <xf numFmtId="4" fontId="40" fillId="2" borderId="8" xfId="12" applyNumberFormat="1" applyFont="1" applyFill="1" applyBorder="1" applyAlignment="1" applyProtection="1">
      <alignment vertical="center"/>
      <protection locked="0"/>
    </xf>
    <xf numFmtId="0" fontId="11" fillId="11" borderId="74" xfId="5" applyFont="1" applyFill="1" applyBorder="1" applyAlignment="1">
      <alignment horizontal="center" vertical="center"/>
    </xf>
    <xf numFmtId="2" fontId="11" fillId="11" borderId="74" xfId="5" applyNumberFormat="1" applyFont="1" applyFill="1" applyBorder="1" applyAlignment="1">
      <alignment horizontal="center" vertical="center"/>
    </xf>
    <xf numFmtId="44" fontId="11" fillId="11" borderId="74" xfId="3" applyFont="1" applyFill="1" applyBorder="1" applyAlignment="1">
      <alignment horizontal="center" vertical="center" wrapText="1"/>
    </xf>
    <xf numFmtId="0" fontId="40" fillId="11" borderId="74" xfId="5" applyFont="1" applyFill="1" applyBorder="1" applyAlignment="1">
      <alignment horizontal="center" vertical="center"/>
    </xf>
    <xf numFmtId="0" fontId="40" fillId="11" borderId="74" xfId="5" applyFont="1" applyFill="1" applyBorder="1" applyAlignment="1">
      <alignment horizontal="left" vertical="center" wrapText="1"/>
    </xf>
    <xf numFmtId="4" fontId="40" fillId="11" borderId="74" xfId="5" applyNumberFormat="1" applyFont="1" applyFill="1" applyBorder="1" applyAlignment="1">
      <alignment horizontal="center" vertical="center"/>
    </xf>
    <xf numFmtId="44" fontId="40" fillId="11" borderId="74" xfId="3" applyFont="1" applyFill="1" applyBorder="1" applyAlignment="1">
      <alignment horizontal="center" vertical="center"/>
    </xf>
    <xf numFmtId="44" fontId="11" fillId="11" borderId="74" xfId="5" applyNumberFormat="1" applyFont="1" applyFill="1" applyBorder="1" applyAlignment="1">
      <alignment horizontal="center" vertical="center"/>
    </xf>
    <xf numFmtId="0" fontId="11" fillId="11" borderId="74" xfId="0" applyFont="1" applyFill="1" applyBorder="1" applyAlignment="1">
      <alignment horizontal="center" vertical="center"/>
    </xf>
    <xf numFmtId="164" fontId="11" fillId="11" borderId="74" xfId="5" applyNumberFormat="1" applyFont="1" applyFill="1" applyBorder="1" applyAlignment="1">
      <alignment horizontal="center" vertical="center"/>
    </xf>
    <xf numFmtId="4" fontId="11" fillId="11" borderId="74" xfId="6" applyNumberFormat="1" applyFont="1" applyFill="1" applyBorder="1" applyAlignment="1">
      <alignment horizontal="center" vertical="center"/>
    </xf>
    <xf numFmtId="44" fontId="11" fillId="11" borderId="74" xfId="3" applyFont="1" applyFill="1" applyBorder="1" applyAlignment="1">
      <alignment horizontal="center" vertical="center"/>
    </xf>
    <xf numFmtId="0" fontId="64" fillId="11" borderId="0" xfId="7" applyFont="1" applyFill="1" applyBorder="1" applyAlignment="1">
      <alignment horizontal="center" vertical="center"/>
    </xf>
    <xf numFmtId="0" fontId="36" fillId="11" borderId="0" xfId="7" applyFont="1" applyFill="1" applyBorder="1" applyAlignment="1">
      <alignment horizontal="center" vertical="center"/>
    </xf>
    <xf numFmtId="2" fontId="64" fillId="11" borderId="0" xfId="7" applyNumberFormat="1" applyFont="1" applyFill="1" applyBorder="1" applyAlignment="1">
      <alignment horizontal="right" vertical="center"/>
    </xf>
    <xf numFmtId="2" fontId="36" fillId="11" borderId="0" xfId="7" applyNumberFormat="1" applyFont="1" applyFill="1" applyBorder="1" applyAlignment="1">
      <alignment horizontal="right" vertical="center"/>
    </xf>
    <xf numFmtId="2" fontId="64" fillId="11" borderId="0" xfId="7" applyNumberFormat="1" applyFont="1" applyFill="1" applyBorder="1" applyAlignment="1">
      <alignment horizontal="center" vertical="center" wrapText="1"/>
    </xf>
    <xf numFmtId="2" fontId="36" fillId="11" borderId="0" xfId="7" applyNumberFormat="1" applyFont="1" applyFill="1" applyBorder="1" applyAlignment="1">
      <alignment horizontal="center" vertical="center"/>
    </xf>
    <xf numFmtId="44" fontId="0" fillId="0" borderId="0" xfId="0" applyNumberFormat="1"/>
    <xf numFmtId="0" fontId="4" fillId="2" borderId="9" xfId="0" applyFont="1" applyFill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44" fontId="7" fillId="2" borderId="9" xfId="5" applyNumberFormat="1" applyFont="1" applyFill="1" applyBorder="1" applyAlignment="1">
      <alignment horizontal="center" vertical="center"/>
    </xf>
    <xf numFmtId="0" fontId="7" fillId="2" borderId="9" xfId="5" applyFont="1" applyFill="1" applyBorder="1" applyAlignment="1">
      <alignment horizontal="center" vertical="center"/>
    </xf>
    <xf numFmtId="0" fontId="6" fillId="4" borderId="52" xfId="5" applyFont="1" applyFill="1" applyBorder="1" applyAlignment="1">
      <alignment vertical="center" wrapText="1"/>
    </xf>
    <xf numFmtId="1" fontId="23" fillId="3" borderId="52" xfId="12" applyNumberFormat="1" applyFont="1" applyFill="1" applyBorder="1" applyAlignment="1">
      <alignment horizontal="center" vertical="center"/>
    </xf>
    <xf numFmtId="170" fontId="6" fillId="3" borderId="52" xfId="13" applyNumberFormat="1" applyFont="1" applyFill="1" applyBorder="1" applyAlignment="1">
      <alignment horizontal="center" vertical="center"/>
    </xf>
    <xf numFmtId="2" fontId="6" fillId="3" borderId="52" xfId="12" applyNumberFormat="1" applyFont="1" applyFill="1" applyBorder="1" applyAlignment="1">
      <alignment horizontal="center" vertical="center"/>
    </xf>
    <xf numFmtId="4" fontId="6" fillId="3" borderId="53" xfId="12" applyNumberFormat="1" applyFont="1" applyFill="1" applyBorder="1" applyAlignment="1">
      <alignment horizontal="center" vertical="center"/>
    </xf>
    <xf numFmtId="2" fontId="23" fillId="0" borderId="22" xfId="7" applyNumberFormat="1" applyFont="1" applyFill="1" applyBorder="1" applyAlignment="1">
      <alignment horizontal="center" vertical="center"/>
    </xf>
    <xf numFmtId="0" fontId="6" fillId="0" borderId="0" xfId="7" applyFont="1" applyFill="1" applyBorder="1" applyAlignment="1">
      <alignment horizontal="center" vertical="center"/>
    </xf>
    <xf numFmtId="3" fontId="6" fillId="0" borderId="0" xfId="7" applyNumberFormat="1" applyFont="1" applyFill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44" fontId="7" fillId="2" borderId="9" xfId="5" applyNumberFormat="1" applyFont="1" applyFill="1" applyBorder="1" applyAlignment="1">
      <alignment horizontal="center" vertical="center"/>
    </xf>
    <xf numFmtId="0" fontId="7" fillId="0" borderId="0" xfId="0" applyFont="1" applyBorder="1" applyAlignment="1">
      <alignment horizontal="center" wrapText="1"/>
    </xf>
    <xf numFmtId="0" fontId="7" fillId="0" borderId="0" xfId="0" applyFont="1" applyAlignment="1">
      <alignment horizontal="center" wrapText="1"/>
    </xf>
    <xf numFmtId="0" fontId="7" fillId="2" borderId="9" xfId="5" applyFont="1" applyFill="1" applyBorder="1" applyAlignment="1">
      <alignment horizontal="center" vertical="center"/>
    </xf>
    <xf numFmtId="0" fontId="7" fillId="0" borderId="9" xfId="12" applyNumberFormat="1" applyFont="1" applyFill="1" applyBorder="1" applyAlignment="1" applyProtection="1">
      <alignment vertical="center"/>
      <protection locked="0"/>
    </xf>
    <xf numFmtId="0" fontId="7" fillId="0" borderId="9" xfId="12" applyNumberFormat="1" applyFont="1" applyFill="1" applyBorder="1" applyAlignment="1" applyProtection="1">
      <alignment horizontal="left" vertical="center"/>
      <protection locked="0"/>
    </xf>
    <xf numFmtId="170" fontId="7" fillId="0" borderId="9" xfId="13" applyNumberFormat="1" applyFont="1" applyFill="1" applyBorder="1" applyAlignment="1" applyProtection="1">
      <alignment vertical="center"/>
    </xf>
    <xf numFmtId="0" fontId="7" fillId="0" borderId="9" xfId="14" applyNumberFormat="1" applyFont="1" applyFill="1" applyBorder="1" applyAlignment="1" applyProtection="1">
      <alignment vertical="center"/>
      <protection locked="0"/>
    </xf>
    <xf numFmtId="0" fontId="6" fillId="4" borderId="28" xfId="5" applyFont="1" applyFill="1" applyBorder="1" applyAlignment="1">
      <alignment vertical="center" wrapText="1"/>
    </xf>
    <xf numFmtId="44" fontId="7" fillId="0" borderId="36" xfId="3" applyFont="1" applyFill="1" applyBorder="1" applyAlignment="1" applyProtection="1">
      <alignment vertical="center"/>
      <protection locked="0"/>
    </xf>
    <xf numFmtId="44" fontId="7" fillId="0" borderId="36" xfId="3" applyNumberFormat="1" applyFont="1" applyFill="1" applyBorder="1" applyAlignment="1" applyProtection="1">
      <alignment vertical="center"/>
      <protection locked="0"/>
    </xf>
    <xf numFmtId="0" fontId="6" fillId="0" borderId="47" xfId="12" applyNumberFormat="1" applyFont="1" applyFill="1" applyBorder="1" applyAlignment="1" applyProtection="1">
      <alignment horizontal="left" vertical="center"/>
      <protection locked="0"/>
    </xf>
    <xf numFmtId="170" fontId="7" fillId="0" borderId="47" xfId="13" applyNumberFormat="1" applyFont="1" applyFill="1" applyBorder="1" applyAlignment="1" applyProtection="1">
      <alignment vertical="center"/>
    </xf>
    <xf numFmtId="44" fontId="6" fillId="0" borderId="48" xfId="3" applyFont="1" applyFill="1" applyBorder="1" applyAlignment="1" applyProtection="1">
      <alignment vertical="center"/>
      <protection locked="0"/>
    </xf>
    <xf numFmtId="44" fontId="11" fillId="8" borderId="9" xfId="3" applyFont="1" applyFill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44" fontId="7" fillId="2" borderId="9" xfId="5" applyNumberFormat="1" applyFont="1" applyFill="1" applyBorder="1" applyAlignment="1">
      <alignment horizontal="center" vertical="center"/>
    </xf>
    <xf numFmtId="2" fontId="19" fillId="0" borderId="22" xfId="7" applyNumberFormat="1" applyFont="1" applyFill="1" applyBorder="1" applyAlignment="1">
      <alignment horizontal="center" vertical="center"/>
    </xf>
    <xf numFmtId="2" fontId="16" fillId="0" borderId="22" xfId="7" applyNumberFormat="1" applyFont="1" applyFill="1" applyBorder="1" applyAlignment="1">
      <alignment horizontal="center" vertical="center" wrapText="1"/>
    </xf>
    <xf numFmtId="2" fontId="23" fillId="0" borderId="22" xfId="7" applyNumberFormat="1" applyFont="1" applyFill="1" applyBorder="1" applyAlignment="1">
      <alignment horizontal="center" vertical="center"/>
    </xf>
    <xf numFmtId="2" fontId="23" fillId="0" borderId="26" xfId="7" applyNumberFormat="1" applyFont="1" applyFill="1" applyBorder="1" applyAlignment="1">
      <alignment horizontal="center" vertical="center"/>
    </xf>
    <xf numFmtId="0" fontId="17" fillId="0" borderId="0" xfId="7" applyFont="1" applyBorder="1" applyAlignment="1">
      <alignment horizontal="left" vertical="center"/>
    </xf>
    <xf numFmtId="2" fontId="24" fillId="0" borderId="23" xfId="7" applyNumberFormat="1" applyFont="1" applyFill="1" applyBorder="1" applyAlignment="1">
      <alignment horizontal="right" vertical="center"/>
    </xf>
    <xf numFmtId="2" fontId="24" fillId="0" borderId="24" xfId="7" applyNumberFormat="1" applyFont="1" applyFill="1" applyBorder="1" applyAlignment="1">
      <alignment horizontal="right" vertical="center"/>
    </xf>
    <xf numFmtId="2" fontId="24" fillId="0" borderId="25" xfId="7" applyNumberFormat="1" applyFont="1" applyFill="1" applyBorder="1" applyAlignment="1">
      <alignment horizontal="right" vertical="center"/>
    </xf>
    <xf numFmtId="0" fontId="6" fillId="3" borderId="0" xfId="7" applyFont="1" applyFill="1" applyBorder="1" applyAlignment="1">
      <alignment vertical="center"/>
    </xf>
    <xf numFmtId="0" fontId="6" fillId="0" borderId="0" xfId="7" applyFont="1" applyFill="1" applyBorder="1" applyAlignment="1">
      <alignment horizontal="center" vertical="center"/>
    </xf>
    <xf numFmtId="2" fontId="7" fillId="0" borderId="22" xfId="7" applyNumberFormat="1" applyFont="1" applyFill="1" applyBorder="1" applyAlignment="1">
      <alignment horizontal="center" vertical="center" wrapText="1"/>
    </xf>
    <xf numFmtId="0" fontId="7" fillId="2" borderId="9" xfId="5" applyFont="1" applyFill="1" applyBorder="1" applyAlignment="1">
      <alignment horizontal="center" vertical="center"/>
    </xf>
    <xf numFmtId="2" fontId="7" fillId="0" borderId="22" xfId="7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44" fontId="7" fillId="2" borderId="9" xfId="5" applyNumberFormat="1" applyFont="1" applyFill="1" applyBorder="1" applyAlignment="1">
      <alignment horizontal="center" vertical="center"/>
    </xf>
    <xf numFmtId="2" fontId="23" fillId="0" borderId="22" xfId="7" applyNumberFormat="1" applyFont="1" applyFill="1" applyBorder="1" applyAlignment="1">
      <alignment horizontal="center" vertical="center"/>
    </xf>
    <xf numFmtId="0" fontId="6" fillId="0" borderId="0" xfId="7" applyFont="1" applyFill="1" applyBorder="1" applyAlignment="1">
      <alignment horizontal="center" vertical="center"/>
    </xf>
    <xf numFmtId="2" fontId="7" fillId="0" borderId="22" xfId="7" applyNumberFormat="1" applyFont="1" applyFill="1" applyBorder="1" applyAlignment="1">
      <alignment horizontal="center" vertical="center" wrapText="1"/>
    </xf>
    <xf numFmtId="0" fontId="7" fillId="2" borderId="9" xfId="5" applyFont="1" applyFill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11" xfId="12" applyNumberFormat="1" applyFont="1" applyFill="1" applyBorder="1" applyAlignment="1" applyProtection="1">
      <alignment horizontal="left" vertical="center"/>
      <protection locked="0"/>
    </xf>
    <xf numFmtId="0" fontId="7" fillId="0" borderId="0" xfId="14" applyNumberFormat="1" applyFont="1" applyFill="1" applyBorder="1" applyAlignment="1" applyProtection="1">
      <alignment horizontal="left" vertical="center"/>
      <protection locked="0"/>
    </xf>
    <xf numFmtId="0" fontId="7" fillId="0" borderId="0" xfId="16" applyFont="1" applyBorder="1" applyAlignment="1" applyProtection="1">
      <alignment horizontal="left" vertical="center"/>
      <protection locked="0"/>
    </xf>
    <xf numFmtId="0" fontId="7" fillId="0" borderId="13" xfId="12" applyNumberFormat="1" applyFont="1" applyFill="1" applyBorder="1" applyAlignment="1" applyProtection="1">
      <alignment horizontal="left" vertical="center"/>
      <protection locked="0"/>
    </xf>
    <xf numFmtId="0" fontId="7" fillId="0" borderId="0" xfId="12" applyNumberFormat="1" applyFont="1" applyFill="1" applyBorder="1" applyAlignment="1" applyProtection="1">
      <alignment horizontal="left" vertical="center"/>
      <protection locked="0"/>
    </xf>
    <xf numFmtId="0" fontId="40" fillId="11" borderId="74" xfId="5" applyFont="1" applyFill="1" applyBorder="1" applyAlignment="1">
      <alignment horizontal="center" vertical="center"/>
    </xf>
    <xf numFmtId="0" fontId="11" fillId="11" borderId="74" xfId="0" applyFont="1" applyFill="1" applyBorder="1" applyAlignment="1">
      <alignment horizontal="center" vertical="center"/>
    </xf>
    <xf numFmtId="44" fontId="11" fillId="8" borderId="74" xfId="5" applyNumberFormat="1" applyFont="1" applyFill="1" applyBorder="1" applyAlignment="1">
      <alignment horizontal="center" vertical="center"/>
    </xf>
    <xf numFmtId="0" fontId="40" fillId="8" borderId="74" xfId="5" applyFont="1" applyFill="1" applyBorder="1" applyAlignment="1">
      <alignment horizontal="center" vertical="center"/>
    </xf>
    <xf numFmtId="0" fontId="64" fillId="8" borderId="74" xfId="0" applyFont="1" applyFill="1" applyBorder="1" applyAlignment="1">
      <alignment horizontal="center" vertical="center" wrapText="1"/>
    </xf>
    <xf numFmtId="44" fontId="11" fillId="8" borderId="74" xfId="3" applyFont="1" applyFill="1" applyBorder="1" applyAlignment="1">
      <alignment horizontal="center" vertical="center" wrapText="1"/>
    </xf>
    <xf numFmtId="2" fontId="64" fillId="8" borderId="22" xfId="7" applyNumberFormat="1" applyFont="1" applyFill="1" applyBorder="1" applyAlignment="1">
      <alignment horizontal="center" vertical="center"/>
    </xf>
    <xf numFmtId="2" fontId="36" fillId="8" borderId="23" xfId="7" applyNumberFormat="1" applyFont="1" applyFill="1" applyBorder="1" applyAlignment="1">
      <alignment horizontal="center" vertical="center" wrapText="1"/>
    </xf>
    <xf numFmtId="2" fontId="36" fillId="8" borderId="24" xfId="7" applyNumberFormat="1" applyFont="1" applyFill="1" applyBorder="1" applyAlignment="1">
      <alignment horizontal="center" vertical="center" wrapText="1"/>
    </xf>
    <xf numFmtId="2" fontId="36" fillId="8" borderId="25" xfId="7" applyNumberFormat="1" applyFont="1" applyFill="1" applyBorder="1" applyAlignment="1">
      <alignment horizontal="center" vertical="center" wrapText="1"/>
    </xf>
    <xf numFmtId="0" fontId="64" fillId="8" borderId="0" xfId="7" applyFont="1" applyFill="1" applyBorder="1" applyAlignment="1">
      <alignment horizontal="center" vertical="center"/>
    </xf>
    <xf numFmtId="2" fontId="69" fillId="8" borderId="22" xfId="7" applyNumberFormat="1" applyFont="1" applyFill="1" applyBorder="1" applyAlignment="1">
      <alignment horizontal="center" vertical="center"/>
    </xf>
    <xf numFmtId="2" fontId="68" fillId="8" borderId="22" xfId="7" applyNumberFormat="1" applyFont="1" applyFill="1" applyBorder="1" applyAlignment="1">
      <alignment horizontal="center" vertical="center" wrapText="1"/>
    </xf>
    <xf numFmtId="0" fontId="69" fillId="8" borderId="0" xfId="7" applyFont="1" applyFill="1" applyBorder="1" applyAlignment="1">
      <alignment vertical="center"/>
    </xf>
    <xf numFmtId="0" fontId="69" fillId="8" borderId="0" xfId="7" applyFont="1" applyFill="1" applyBorder="1" applyAlignment="1">
      <alignment horizontal="left" vertical="center"/>
    </xf>
    <xf numFmtId="164" fontId="7" fillId="0" borderId="9" xfId="6" quotePrefix="1" applyFont="1" applyFill="1" applyBorder="1" applyAlignment="1">
      <alignment horizontal="center" vertical="center"/>
    </xf>
    <xf numFmtId="164" fontId="7" fillId="0" borderId="52" xfId="6" quotePrefix="1" applyFont="1" applyFill="1" applyBorder="1" applyAlignment="1">
      <alignment horizontal="center" vertical="center"/>
    </xf>
    <xf numFmtId="2" fontId="11" fillId="8" borderId="74" xfId="5" applyNumberFormat="1" applyFont="1" applyFill="1" applyBorder="1" applyAlignment="1">
      <alignment horizontal="center" vertical="center"/>
    </xf>
    <xf numFmtId="2" fontId="11" fillId="8" borderId="74" xfId="5" applyNumberFormat="1" applyFont="1" applyFill="1" applyBorder="1" applyAlignment="1">
      <alignment horizontal="left" vertical="center" wrapText="1"/>
    </xf>
    <xf numFmtId="0" fontId="40" fillId="15" borderId="74" xfId="5" applyFont="1" applyFill="1" applyBorder="1" applyAlignment="1">
      <alignment horizontal="center" vertical="center"/>
    </xf>
    <xf numFmtId="0" fontId="40" fillId="15" borderId="74" xfId="5" applyFont="1" applyFill="1" applyBorder="1" applyAlignment="1">
      <alignment horizontal="left" vertical="center" wrapText="1"/>
    </xf>
    <xf numFmtId="4" fontId="40" fillId="15" borderId="74" xfId="5" applyNumberFormat="1" applyFont="1" applyFill="1" applyBorder="1" applyAlignment="1">
      <alignment horizontal="center" vertical="center"/>
    </xf>
    <xf numFmtId="44" fontId="40" fillId="15" borderId="74" xfId="3" applyFont="1" applyFill="1" applyBorder="1" applyAlignment="1">
      <alignment horizontal="center" vertical="center"/>
    </xf>
    <xf numFmtId="44" fontId="11" fillId="15" borderId="74" xfId="5" applyNumberFormat="1" applyFont="1" applyFill="1" applyBorder="1" applyAlignment="1">
      <alignment horizontal="center" vertical="center"/>
    </xf>
    <xf numFmtId="0" fontId="64" fillId="4" borderId="0" xfId="7" applyFont="1" applyFill="1" applyBorder="1" applyAlignment="1">
      <alignment horizontal="center" vertical="center"/>
    </xf>
    <xf numFmtId="2" fontId="64" fillId="4" borderId="0" xfId="7" applyNumberFormat="1" applyFont="1" applyFill="1" applyBorder="1" applyAlignment="1">
      <alignment horizontal="left" vertical="center"/>
    </xf>
    <xf numFmtId="2" fontId="36" fillId="4" borderId="0" xfId="7" applyNumberFormat="1" applyFont="1" applyFill="1" applyBorder="1" applyAlignment="1">
      <alignment horizontal="right" vertical="center"/>
    </xf>
    <xf numFmtId="2" fontId="64" fillId="4" borderId="0" xfId="7" applyNumberFormat="1" applyFont="1" applyFill="1" applyBorder="1" applyAlignment="1">
      <alignment horizontal="center" vertical="center" wrapText="1"/>
    </xf>
    <xf numFmtId="2" fontId="36" fillId="4" borderId="0" xfId="7" applyNumberFormat="1" applyFont="1" applyFill="1" applyBorder="1" applyAlignment="1">
      <alignment horizontal="center" vertical="center"/>
    </xf>
    <xf numFmtId="0" fontId="7" fillId="0" borderId="27" xfId="0" applyFont="1" applyBorder="1" applyAlignment="1">
      <alignment horizontal="center" vertical="center" wrapText="1"/>
    </xf>
    <xf numFmtId="0" fontId="7" fillId="0" borderId="28" xfId="0" applyFont="1" applyBorder="1" applyAlignment="1">
      <alignment horizontal="left" vertical="center" wrapText="1"/>
    </xf>
    <xf numFmtId="0" fontId="7" fillId="0" borderId="28" xfId="0" applyFont="1" applyBorder="1" applyAlignment="1">
      <alignment horizontal="center" vertical="center" wrapText="1"/>
    </xf>
    <xf numFmtId="4" fontId="7" fillId="0" borderId="28" xfId="0" applyNumberFormat="1" applyFont="1" applyBorder="1" applyAlignment="1">
      <alignment horizontal="center" vertical="center" wrapText="1"/>
    </xf>
    <xf numFmtId="44" fontId="7" fillId="0" borderId="29" xfId="3" applyFont="1" applyFill="1" applyBorder="1" applyAlignment="1" applyProtection="1">
      <alignment horizontal="center" vertical="center"/>
      <protection locked="0"/>
    </xf>
    <xf numFmtId="0" fontId="7" fillId="0" borderId="35" xfId="0" applyFont="1" applyBorder="1" applyAlignment="1">
      <alignment horizontal="center" vertical="center" wrapText="1"/>
    </xf>
    <xf numFmtId="4" fontId="7" fillId="0" borderId="9" xfId="0" applyNumberFormat="1" applyFont="1" applyBorder="1" applyAlignment="1">
      <alignment horizontal="center" vertical="center" wrapText="1"/>
    </xf>
    <xf numFmtId="44" fontId="7" fillId="0" borderId="36" xfId="3" applyFont="1" applyFill="1" applyBorder="1" applyAlignment="1" applyProtection="1">
      <alignment horizontal="center" vertical="center"/>
      <protection locked="0"/>
    </xf>
    <xf numFmtId="0" fontId="7" fillId="0" borderId="46" xfId="0" applyFont="1" applyBorder="1" applyAlignment="1">
      <alignment horizontal="center" vertical="top" wrapText="1"/>
    </xf>
    <xf numFmtId="0" fontId="7" fillId="0" borderId="47" xfId="0" applyFont="1" applyBorder="1" applyAlignment="1">
      <alignment horizontal="left" vertical="top" wrapText="1"/>
    </xf>
    <xf numFmtId="0" fontId="7" fillId="0" borderId="47" xfId="0" applyFont="1" applyBorder="1" applyAlignment="1">
      <alignment horizontal="center" vertical="center" wrapText="1"/>
    </xf>
    <xf numFmtId="4" fontId="7" fillId="0" borderId="47" xfId="0" applyNumberFormat="1" applyFont="1" applyBorder="1" applyAlignment="1">
      <alignment horizontal="center" vertical="center" wrapText="1"/>
    </xf>
    <xf numFmtId="44" fontId="7" fillId="0" borderId="48" xfId="3" applyFont="1" applyFill="1" applyBorder="1" applyAlignment="1">
      <alignment horizontal="center" vertical="center" wrapText="1"/>
    </xf>
    <xf numFmtId="1" fontId="23" fillId="3" borderId="27" xfId="12" applyNumberFormat="1" applyFont="1" applyFill="1" applyBorder="1" applyAlignment="1">
      <alignment horizontal="left" vertical="center" wrapText="1"/>
    </xf>
    <xf numFmtId="1" fontId="23" fillId="3" borderId="27" xfId="12" applyNumberFormat="1" applyFont="1" applyFill="1" applyBorder="1" applyAlignment="1">
      <alignment horizontal="center" vertical="center"/>
    </xf>
    <xf numFmtId="170" fontId="6" fillId="14" borderId="28" xfId="13" applyNumberFormat="1" applyFont="1" applyFill="1" applyBorder="1" applyAlignment="1">
      <alignment horizontal="center" vertical="center"/>
    </xf>
    <xf numFmtId="2" fontId="6" fillId="14" borderId="28" xfId="12" applyNumberFormat="1" applyFont="1" applyFill="1" applyBorder="1" applyAlignment="1">
      <alignment horizontal="center" vertical="center"/>
    </xf>
    <xf numFmtId="4" fontId="6" fillId="14" borderId="29" xfId="12" applyNumberFormat="1" applyFont="1" applyFill="1" applyBorder="1" applyAlignment="1">
      <alignment horizontal="center" vertical="center"/>
    </xf>
    <xf numFmtId="0" fontId="12" fillId="2" borderId="35" xfId="12" applyNumberFormat="1" applyFont="1" applyFill="1" applyBorder="1" applyAlignment="1">
      <alignment horizontal="center" vertical="center" wrapText="1"/>
    </xf>
    <xf numFmtId="0" fontId="7" fillId="2" borderId="9" xfId="12" applyNumberFormat="1" applyFont="1" applyFill="1" applyBorder="1" applyAlignment="1" applyProtection="1">
      <alignment vertical="center" wrapText="1"/>
      <protection locked="0"/>
    </xf>
    <xf numFmtId="0" fontId="7" fillId="2" borderId="9" xfId="12" applyFont="1" applyFill="1" applyBorder="1" applyAlignment="1">
      <alignment horizontal="center" vertical="center"/>
    </xf>
    <xf numFmtId="170" fontId="7" fillId="2" borderId="9" xfId="13" applyNumberFormat="1" applyFont="1" applyFill="1" applyBorder="1" applyAlignment="1">
      <alignment horizontal="center" vertical="center"/>
    </xf>
    <xf numFmtId="2" fontId="7" fillId="2" borderId="9" xfId="12" applyNumberFormat="1" applyFont="1" applyFill="1" applyBorder="1" applyAlignment="1">
      <alignment horizontal="center" vertical="center"/>
    </xf>
    <xf numFmtId="4" fontId="7" fillId="0" borderId="36" xfId="12" applyNumberFormat="1" applyFont="1" applyFill="1" applyBorder="1" applyAlignment="1" applyProtection="1">
      <alignment vertical="center"/>
      <protection locked="0"/>
    </xf>
    <xf numFmtId="0" fontId="12" fillId="2" borderId="35" xfId="12" applyNumberFormat="1" applyFont="1" applyFill="1" applyBorder="1" applyAlignment="1">
      <alignment horizontal="center" vertical="center"/>
    </xf>
    <xf numFmtId="4" fontId="7" fillId="2" borderId="9" xfId="12" applyNumberFormat="1" applyFont="1" applyFill="1" applyBorder="1" applyAlignment="1">
      <alignment horizontal="center" vertical="center"/>
    </xf>
    <xf numFmtId="0" fontId="12" fillId="0" borderId="4" xfId="12" applyNumberFormat="1" applyFont="1" applyBorder="1" applyAlignment="1">
      <alignment horizontal="center" vertical="center"/>
    </xf>
    <xf numFmtId="0" fontId="7" fillId="0" borderId="0" xfId="12" applyNumberFormat="1" applyFont="1" applyFill="1" applyBorder="1" applyAlignment="1">
      <alignment horizontal="justify" vertical="center" wrapText="1"/>
    </xf>
    <xf numFmtId="0" fontId="7" fillId="0" borderId="0" xfId="12" applyNumberFormat="1" applyFont="1" applyFill="1" applyBorder="1" applyAlignment="1" applyProtection="1">
      <alignment vertical="center" wrapText="1"/>
      <protection locked="0"/>
    </xf>
    <xf numFmtId="0" fontId="6" fillId="0" borderId="0" xfId="12" applyNumberFormat="1" applyFont="1" applyFill="1" applyBorder="1" applyAlignment="1" applyProtection="1">
      <alignment horizontal="left" vertical="center"/>
      <protection locked="0"/>
    </xf>
    <xf numFmtId="4" fontId="6" fillId="0" borderId="5" xfId="12" applyNumberFormat="1" applyFont="1" applyFill="1" applyBorder="1" applyAlignment="1" applyProtection="1">
      <alignment vertical="center"/>
      <protection locked="0"/>
    </xf>
    <xf numFmtId="0" fontId="12" fillId="0" borderId="7" xfId="12" applyNumberFormat="1" applyFont="1" applyBorder="1" applyAlignment="1">
      <alignment horizontal="center" vertical="center"/>
    </xf>
    <xf numFmtId="0" fontId="7" fillId="0" borderId="6" xfId="12" applyNumberFormat="1" applyFont="1" applyFill="1" applyBorder="1" applyAlignment="1" applyProtection="1">
      <alignment vertical="center" wrapText="1"/>
      <protection locked="0"/>
    </xf>
    <xf numFmtId="0" fontId="6" fillId="0" borderId="6" xfId="12" applyNumberFormat="1" applyFont="1" applyFill="1" applyBorder="1" applyAlignment="1" applyProtection="1">
      <alignment horizontal="left" vertical="center"/>
      <protection locked="0"/>
    </xf>
    <xf numFmtId="0" fontId="12" fillId="2" borderId="35" xfId="12" applyNumberFormat="1" applyFont="1" applyFill="1" applyBorder="1" applyAlignment="1">
      <alignment horizontal="left" vertical="center" wrapText="1"/>
    </xf>
    <xf numFmtId="0" fontId="12" fillId="0" borderId="0" xfId="12" applyNumberFormat="1" applyFont="1" applyAlignment="1">
      <alignment horizontal="center" vertical="center"/>
    </xf>
    <xf numFmtId="0" fontId="7" fillId="0" borderId="0" xfId="12" applyNumberFormat="1" applyFont="1" applyFill="1" applyBorder="1" applyAlignment="1">
      <alignment vertical="center" wrapText="1"/>
    </xf>
    <xf numFmtId="0" fontId="7" fillId="0" borderId="0" xfId="12" applyNumberFormat="1" applyFont="1" applyFill="1" applyBorder="1" applyAlignment="1">
      <alignment horizontal="left" vertical="center"/>
    </xf>
    <xf numFmtId="2" fontId="7" fillId="0" borderId="0" xfId="12" applyNumberFormat="1" applyFont="1" applyFill="1" applyBorder="1" applyAlignment="1" applyProtection="1">
      <alignment horizontal="center" vertical="center"/>
    </xf>
    <xf numFmtId="4" fontId="7" fillId="0" borderId="0" xfId="12" applyNumberFormat="1" applyFont="1" applyFill="1" applyBorder="1" applyAlignment="1" applyProtection="1">
      <alignment vertical="center"/>
    </xf>
    <xf numFmtId="0" fontId="6" fillId="3" borderId="28" xfId="12" applyNumberFormat="1" applyFont="1" applyFill="1" applyBorder="1" applyAlignment="1" applyProtection="1">
      <alignment horizontal="left" vertical="center" wrapText="1"/>
      <protection locked="0"/>
    </xf>
    <xf numFmtId="0" fontId="6" fillId="14" borderId="28" xfId="12" applyFont="1" applyFill="1" applyBorder="1" applyAlignment="1">
      <alignment horizontal="center" vertical="center"/>
    </xf>
    <xf numFmtId="0" fontId="12" fillId="2" borderId="9" xfId="12" applyNumberFormat="1" applyFont="1" applyFill="1" applyBorder="1" applyAlignment="1">
      <alignment horizontal="center" vertical="center" wrapText="1"/>
    </xf>
    <xf numFmtId="0" fontId="12" fillId="2" borderId="9" xfId="12" applyNumberFormat="1" applyFont="1" applyFill="1" applyBorder="1" applyAlignment="1">
      <alignment vertical="center" wrapText="1"/>
    </xf>
    <xf numFmtId="4" fontId="12" fillId="2" borderId="9" xfId="12" applyNumberFormat="1" applyFont="1" applyFill="1" applyBorder="1" applyAlignment="1">
      <alignment horizontal="center" vertical="center" wrapText="1"/>
    </xf>
    <xf numFmtId="4" fontId="12" fillId="2" borderId="9" xfId="12" applyNumberFormat="1" applyFont="1" applyFill="1" applyBorder="1" applyAlignment="1">
      <alignment horizontal="right" vertical="center" wrapText="1"/>
    </xf>
    <xf numFmtId="165" fontId="12" fillId="2" borderId="9" xfId="12" applyNumberFormat="1" applyFont="1" applyFill="1" applyBorder="1" applyAlignment="1">
      <alignment horizontal="center" vertical="center" wrapText="1"/>
    </xf>
    <xf numFmtId="0" fontId="23" fillId="3" borderId="27" xfId="12" applyNumberFormat="1" applyFont="1" applyFill="1" applyBorder="1" applyAlignment="1">
      <alignment horizontal="center" vertical="center" wrapText="1"/>
    </xf>
    <xf numFmtId="0" fontId="12" fillId="0" borderId="0" xfId="12" applyFont="1" applyAlignment="1">
      <alignment vertical="center" wrapText="1"/>
    </xf>
    <xf numFmtId="0" fontId="12" fillId="0" borderId="0" xfId="12" applyFont="1" applyAlignment="1">
      <alignment horizontal="left" vertical="center"/>
    </xf>
    <xf numFmtId="170" fontId="12" fillId="0" borderId="0" xfId="12" applyNumberFormat="1" applyFont="1" applyAlignment="1">
      <alignment vertical="center"/>
    </xf>
    <xf numFmtId="0" fontId="12" fillId="0" borderId="0" xfId="12" applyFont="1" applyAlignment="1">
      <alignment horizontal="center" vertical="center"/>
    </xf>
    <xf numFmtId="4" fontId="12" fillId="0" borderId="0" xfId="12" applyNumberFormat="1" applyFont="1" applyAlignment="1">
      <alignment vertical="center"/>
    </xf>
    <xf numFmtId="0" fontId="11" fillId="0" borderId="0" xfId="12" applyFont="1" applyAlignment="1">
      <alignment vertical="center"/>
    </xf>
    <xf numFmtId="0" fontId="11" fillId="0" borderId="9" xfId="0" applyFont="1" applyBorder="1" applyAlignment="1">
      <alignment horizontal="left" wrapText="1"/>
    </xf>
    <xf numFmtId="4" fontId="12" fillId="2" borderId="36" xfId="12" applyNumberFormat="1" applyFont="1" applyFill="1" applyBorder="1" applyAlignment="1">
      <alignment horizontal="right" vertical="center" wrapText="1"/>
    </xf>
    <xf numFmtId="0" fontId="12" fillId="0" borderId="9" xfId="0" applyFont="1" applyBorder="1" applyAlignment="1">
      <alignment horizontal="left" vertical="center"/>
    </xf>
    <xf numFmtId="2" fontId="11" fillId="8" borderId="23" xfId="7" applyNumberFormat="1" applyFont="1" applyFill="1" applyBorder="1" applyAlignment="1">
      <alignment horizontal="center" vertical="center" wrapText="1"/>
    </xf>
    <xf numFmtId="0" fontId="7" fillId="11" borderId="0" xfId="0" applyFont="1" applyFill="1" applyBorder="1" applyAlignment="1">
      <alignment horizontal="center" vertical="center"/>
    </xf>
    <xf numFmtId="0" fontId="40" fillId="11" borderId="74" xfId="0" applyFont="1" applyFill="1" applyBorder="1" applyAlignment="1">
      <alignment horizontal="left" vertical="center" wrapText="1"/>
    </xf>
    <xf numFmtId="164" fontId="40" fillId="11" borderId="74" xfId="5" applyNumberFormat="1" applyFont="1" applyFill="1" applyBorder="1" applyAlignment="1">
      <alignment horizontal="center" vertical="center"/>
    </xf>
    <xf numFmtId="4" fontId="40" fillId="11" borderId="74" xfId="6" applyNumberFormat="1" applyFont="1" applyFill="1" applyBorder="1" applyAlignment="1">
      <alignment horizontal="center" vertical="center"/>
    </xf>
    <xf numFmtId="44" fontId="40" fillId="11" borderId="74" xfId="5" applyNumberFormat="1" applyFont="1" applyFill="1" applyBorder="1" applyAlignment="1">
      <alignment horizontal="center" vertical="center"/>
    </xf>
    <xf numFmtId="0" fontId="40" fillId="11" borderId="74" xfId="0" applyFont="1" applyFill="1" applyBorder="1" applyAlignment="1">
      <alignment horizontal="center" vertical="center"/>
    </xf>
    <xf numFmtId="0" fontId="40" fillId="11" borderId="74" xfId="5" applyFont="1" applyFill="1" applyBorder="1" applyAlignment="1">
      <alignment horizontal="center" vertical="center" wrapText="1"/>
    </xf>
    <xf numFmtId="0" fontId="51" fillId="0" borderId="5" xfId="35" applyFont="1" applyFill="1" applyBorder="1" applyAlignment="1">
      <alignment horizontal="center" vertical="center"/>
    </xf>
    <xf numFmtId="10" fontId="51" fillId="0" borderId="8" xfId="35" applyNumberFormat="1" applyFont="1" applyFill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71" fillId="0" borderId="9" xfId="0" applyFont="1" applyBorder="1" applyAlignment="1">
      <alignment horizontal="center" vertical="center"/>
    </xf>
    <xf numFmtId="0" fontId="7" fillId="2" borderId="9" xfId="5" applyFont="1" applyFill="1" applyBorder="1" applyAlignment="1">
      <alignment horizontal="center" vertical="center"/>
    </xf>
    <xf numFmtId="0" fontId="40" fillId="11" borderId="74" xfId="0" applyFont="1" applyFill="1" applyBorder="1" applyAlignment="1">
      <alignment horizontal="center" vertical="center" wrapText="1"/>
    </xf>
    <xf numFmtId="0" fontId="7" fillId="2" borderId="18" xfId="5" applyFont="1" applyFill="1" applyBorder="1" applyAlignment="1">
      <alignment horizontal="center" vertical="center"/>
    </xf>
    <xf numFmtId="0" fontId="7" fillId="2" borderId="19" xfId="5" applyFont="1" applyFill="1" applyBorder="1" applyAlignment="1">
      <alignment horizontal="center" vertical="center"/>
    </xf>
    <xf numFmtId="0" fontId="7" fillId="0" borderId="0" xfId="0" applyFont="1" applyBorder="1" applyAlignment="1">
      <alignment horizontal="center"/>
    </xf>
    <xf numFmtId="0" fontId="7" fillId="0" borderId="0" xfId="0" applyFont="1" applyAlignment="1">
      <alignment horizontal="center"/>
    </xf>
    <xf numFmtId="44" fontId="7" fillId="2" borderId="9" xfId="5" applyNumberFormat="1" applyFont="1" applyFill="1" applyBorder="1" applyAlignment="1">
      <alignment horizontal="center" vertical="center"/>
    </xf>
    <xf numFmtId="0" fontId="6" fillId="2" borderId="9" xfId="5" applyFont="1" applyFill="1" applyBorder="1" applyAlignment="1">
      <alignment horizontal="center" vertical="center"/>
    </xf>
    <xf numFmtId="0" fontId="12" fillId="2" borderId="9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 wrapText="1"/>
    </xf>
    <xf numFmtId="2" fontId="23" fillId="0" borderId="22" xfId="7" applyNumberFormat="1" applyFont="1" applyFill="1" applyBorder="1" applyAlignment="1">
      <alignment horizontal="center" vertical="center"/>
    </xf>
    <xf numFmtId="0" fontId="4" fillId="2" borderId="16" xfId="0" applyFont="1" applyFill="1" applyBorder="1" applyAlignment="1">
      <alignment horizontal="center" vertical="center" wrapText="1"/>
    </xf>
    <xf numFmtId="0" fontId="4" fillId="2" borderId="17" xfId="0" applyFont="1" applyFill="1" applyBorder="1" applyAlignment="1">
      <alignment horizontal="center" vertical="center" wrapText="1"/>
    </xf>
    <xf numFmtId="0" fontId="6" fillId="0" borderId="0" xfId="7" applyFont="1" applyFill="1" applyBorder="1" applyAlignment="1">
      <alignment horizontal="center" vertical="center"/>
    </xf>
    <xf numFmtId="0" fontId="7" fillId="2" borderId="9" xfId="5" applyFont="1" applyFill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44" fontId="11" fillId="8" borderId="74" xfId="5" applyNumberFormat="1" applyFont="1" applyFill="1" applyBorder="1" applyAlignment="1">
      <alignment horizontal="center" vertical="center"/>
    </xf>
    <xf numFmtId="2" fontId="64" fillId="8" borderId="22" xfId="7" applyNumberFormat="1" applyFont="1" applyFill="1" applyBorder="1" applyAlignment="1">
      <alignment horizontal="center" vertical="center"/>
    </xf>
    <xf numFmtId="0" fontId="64" fillId="8" borderId="0" xfId="7" applyFont="1" applyFill="1" applyBorder="1" applyAlignment="1">
      <alignment horizontal="center" vertical="center"/>
    </xf>
    <xf numFmtId="2" fontId="36" fillId="8" borderId="0" xfId="7" applyNumberFormat="1" applyFont="1" applyFill="1" applyBorder="1" applyAlignment="1">
      <alignment horizontal="center" vertical="center"/>
    </xf>
    <xf numFmtId="0" fontId="7" fillId="0" borderId="19" xfId="0" applyFont="1" applyBorder="1" applyAlignment="1">
      <alignment horizontal="left" vertical="center" wrapText="1"/>
    </xf>
    <xf numFmtId="164" fontId="7" fillId="2" borderId="19" xfId="5" applyNumberFormat="1" applyFont="1" applyFill="1" applyBorder="1" applyAlignment="1">
      <alignment horizontal="center" vertical="center" wrapText="1" shrinkToFit="1"/>
    </xf>
    <xf numFmtId="4" fontId="7" fillId="2" borderId="19" xfId="6" applyNumberFormat="1" applyFont="1" applyFill="1" applyBorder="1" applyAlignment="1">
      <alignment horizontal="center" vertical="center"/>
    </xf>
    <xf numFmtId="44" fontId="7" fillId="0" borderId="19" xfId="3" applyFont="1" applyFill="1" applyBorder="1" applyAlignment="1">
      <alignment horizontal="center" vertical="center"/>
    </xf>
    <xf numFmtId="44" fontId="7" fillId="2" borderId="19" xfId="5" applyNumberFormat="1" applyFont="1" applyFill="1" applyBorder="1" applyAlignment="1">
      <alignment horizontal="center" vertical="center"/>
    </xf>
    <xf numFmtId="44" fontId="7" fillId="0" borderId="20" xfId="3" applyFont="1" applyFill="1" applyBorder="1" applyAlignment="1">
      <alignment vertical="center"/>
    </xf>
    <xf numFmtId="44" fontId="7" fillId="2" borderId="20" xfId="5" applyNumberFormat="1" applyFont="1" applyFill="1" applyBorder="1" applyAlignment="1">
      <alignment horizontal="center" vertical="center"/>
    </xf>
    <xf numFmtId="0" fontId="12" fillId="0" borderId="9" xfId="21" applyFont="1" applyBorder="1" applyAlignment="1">
      <alignment horizontal="left" vertical="center" wrapText="1"/>
    </xf>
    <xf numFmtId="0" fontId="7" fillId="0" borderId="0" xfId="21" applyFont="1" applyAlignment="1">
      <alignment horizontal="left" vertical="center"/>
    </xf>
    <xf numFmtId="0" fontId="12" fillId="0" borderId="9" xfId="26" applyFont="1" applyBorder="1" applyAlignment="1">
      <alignment horizontal="left" vertical="center"/>
    </xf>
    <xf numFmtId="0" fontId="7" fillId="0" borderId="0" xfId="21" applyFont="1" applyAlignment="1">
      <alignment horizontal="left" vertical="center" wrapText="1"/>
    </xf>
    <xf numFmtId="0" fontId="7" fillId="0" borderId="9" xfId="21" applyFont="1" applyBorder="1" applyAlignment="1">
      <alignment horizontal="left" vertical="center" wrapText="1"/>
    </xf>
    <xf numFmtId="164" fontId="7" fillId="0" borderId="9" xfId="6" quotePrefix="1" applyFont="1" applyFill="1" applyBorder="1" applyAlignment="1">
      <alignment horizontal="right" vertical="center"/>
    </xf>
    <xf numFmtId="44" fontId="7" fillId="2" borderId="9" xfId="5" applyNumberFormat="1" applyFont="1" applyFill="1" applyBorder="1" applyAlignment="1">
      <alignment horizontal="right" vertical="center"/>
    </xf>
    <xf numFmtId="44" fontId="7" fillId="0" borderId="9" xfId="3" applyFont="1" applyFill="1" applyBorder="1" applyAlignment="1">
      <alignment horizontal="right" vertical="center"/>
    </xf>
    <xf numFmtId="44" fontId="7" fillId="0" borderId="9" xfId="3" quotePrefix="1" applyFont="1" applyFill="1" applyBorder="1" applyAlignment="1">
      <alignment horizontal="right" vertical="center"/>
    </xf>
    <xf numFmtId="44" fontId="7" fillId="0" borderId="9" xfId="3" applyFont="1" applyBorder="1" applyAlignment="1">
      <alignment horizontal="right" vertical="center"/>
    </xf>
    <xf numFmtId="44" fontId="7" fillId="0" borderId="0" xfId="3" applyFont="1" applyAlignment="1">
      <alignment horizontal="right" vertical="center"/>
    </xf>
    <xf numFmtId="44" fontId="7" fillId="0" borderId="9" xfId="3" quotePrefix="1" applyFont="1" applyFill="1" applyBorder="1" applyAlignment="1">
      <alignment horizontal="center" vertical="center"/>
    </xf>
    <xf numFmtId="44" fontId="7" fillId="2" borderId="9" xfId="3" applyFont="1" applyFill="1" applyBorder="1" applyAlignment="1">
      <alignment horizontal="right" vertical="center"/>
    </xf>
    <xf numFmtId="0" fontId="6" fillId="2" borderId="9" xfId="5" applyFont="1" applyFill="1" applyBorder="1" applyAlignment="1">
      <alignment horizontal="left" vertical="center"/>
    </xf>
    <xf numFmtId="0" fontId="7" fillId="2" borderId="9" xfId="2" applyFont="1" applyFill="1" applyBorder="1" applyAlignment="1" applyProtection="1">
      <alignment horizontal="left" vertical="center" wrapText="1"/>
    </xf>
    <xf numFmtId="0" fontId="7" fillId="0" borderId="9" xfId="20" applyFont="1" applyFill="1" applyBorder="1" applyAlignment="1">
      <alignment horizontal="left" vertical="center" wrapText="1"/>
    </xf>
    <xf numFmtId="0" fontId="7" fillId="0" borderId="9" xfId="11" applyFont="1" applyFill="1" applyBorder="1" applyAlignment="1">
      <alignment horizontal="left" vertical="center" wrapText="1"/>
    </xf>
    <xf numFmtId="0" fontId="12" fillId="0" borderId="0" xfId="0" applyFont="1" applyAlignment="1">
      <alignment horizontal="left" vertical="center"/>
    </xf>
    <xf numFmtId="0" fontId="7" fillId="0" borderId="9" xfId="11" applyFont="1" applyFill="1" applyBorder="1" applyAlignment="1">
      <alignment horizontal="left" vertical="center"/>
    </xf>
    <xf numFmtId="44" fontId="6" fillId="2" borderId="20" xfId="5" applyNumberFormat="1" applyFont="1" applyFill="1" applyBorder="1" applyAlignment="1">
      <alignment horizontal="center" vertical="center"/>
    </xf>
    <xf numFmtId="0" fontId="3" fillId="0" borderId="9" xfId="5" applyBorder="1" applyAlignment="1">
      <alignment vertical="center"/>
    </xf>
    <xf numFmtId="44" fontId="3" fillId="0" borderId="9" xfId="5" applyNumberFormat="1" applyBorder="1" applyAlignment="1">
      <alignment vertical="center"/>
    </xf>
    <xf numFmtId="44" fontId="72" fillId="0" borderId="9" xfId="5" applyNumberFormat="1" applyFont="1" applyBorder="1" applyAlignment="1">
      <alignment vertical="center"/>
    </xf>
    <xf numFmtId="0" fontId="3" fillId="0" borderId="9" xfId="5" applyBorder="1" applyAlignment="1">
      <alignment vertical="center" wrapText="1"/>
    </xf>
    <xf numFmtId="44" fontId="23" fillId="2" borderId="9" xfId="3" applyFont="1" applyFill="1" applyBorder="1" applyAlignment="1">
      <alignment horizontal="center" vertical="center" wrapText="1"/>
    </xf>
    <xf numFmtId="2" fontId="54" fillId="0" borderId="0" xfId="34" applyFont="1" applyBorder="1" applyAlignment="1">
      <alignment horizontal="center" vertical="center"/>
    </xf>
    <xf numFmtId="10" fontId="56" fillId="0" borderId="0" xfId="38" applyNumberFormat="1" applyFont="1" applyFill="1" applyBorder="1" applyAlignment="1">
      <alignment vertical="center"/>
    </xf>
    <xf numFmtId="172" fontId="61" fillId="0" borderId="0" xfId="34" applyNumberFormat="1" applyFont="1" applyFill="1" applyBorder="1" applyAlignment="1">
      <alignment vertical="center"/>
    </xf>
    <xf numFmtId="172" fontId="55" fillId="0" borderId="0" xfId="34" applyNumberFormat="1" applyFont="1" applyFill="1" applyBorder="1" applyAlignment="1">
      <alignment vertical="center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44" fontId="7" fillId="2" borderId="9" xfId="5" applyNumberFormat="1" applyFont="1" applyFill="1" applyBorder="1" applyAlignment="1">
      <alignment horizontal="center" vertical="center"/>
    </xf>
    <xf numFmtId="0" fontId="7" fillId="2" borderId="9" xfId="5" applyFont="1" applyFill="1" applyBorder="1" applyAlignment="1">
      <alignment horizontal="center" vertical="center"/>
    </xf>
    <xf numFmtId="2" fontId="21" fillId="0" borderId="22" xfId="7" applyNumberFormat="1" applyFont="1" applyFill="1" applyBorder="1" applyAlignment="1">
      <alignment horizontal="center" vertical="center"/>
    </xf>
    <xf numFmtId="0" fontId="4" fillId="0" borderId="0" xfId="7" applyFont="1" applyFill="1" applyBorder="1" applyAlignment="1">
      <alignment horizontal="center" vertical="center"/>
    </xf>
    <xf numFmtId="0" fontId="7" fillId="2" borderId="9" xfId="5" applyFont="1" applyFill="1" applyBorder="1" applyAlignment="1">
      <alignment horizontal="center" vertical="center"/>
    </xf>
    <xf numFmtId="4" fontId="7" fillId="0" borderId="9" xfId="0" applyNumberFormat="1" applyFont="1" applyBorder="1" applyAlignment="1">
      <alignment horizontal="center" vertical="center"/>
    </xf>
    <xf numFmtId="0" fontId="73" fillId="8" borderId="0" xfId="0" applyFont="1" applyFill="1" applyAlignment="1">
      <alignment vertical="center" wrapText="1"/>
    </xf>
    <xf numFmtId="0" fontId="7" fillId="0" borderId="9" xfId="0" applyFont="1" applyFill="1" applyBorder="1" applyAlignment="1">
      <alignment horizontal="center" wrapText="1"/>
    </xf>
    <xf numFmtId="0" fontId="7" fillId="0" borderId="35" xfId="0" applyFont="1" applyFill="1" applyBorder="1" applyAlignment="1">
      <alignment horizontal="left" vertical="top" wrapText="1"/>
    </xf>
    <xf numFmtId="0" fontId="7" fillId="2" borderId="9" xfId="12" applyNumberFormat="1" applyFont="1" applyFill="1" applyBorder="1" applyAlignment="1" applyProtection="1">
      <alignment horizontal="left" vertical="center" wrapText="1"/>
      <protection locked="0"/>
    </xf>
    <xf numFmtId="2" fontId="23" fillId="0" borderId="22" xfId="7" applyNumberFormat="1" applyFont="1" applyFill="1" applyBorder="1" applyAlignment="1">
      <alignment horizontal="center" vertical="center"/>
    </xf>
    <xf numFmtId="2" fontId="23" fillId="0" borderId="26" xfId="7" applyNumberFormat="1" applyFont="1" applyFill="1" applyBorder="1" applyAlignment="1">
      <alignment horizontal="center" vertical="center"/>
    </xf>
    <xf numFmtId="2" fontId="74" fillId="0" borderId="0" xfId="7" applyNumberFormat="1" applyFont="1" applyFill="1" applyBorder="1" applyAlignment="1">
      <alignment horizontal="right" vertical="center"/>
    </xf>
    <xf numFmtId="2" fontId="75" fillId="0" borderId="0" xfId="7" applyNumberFormat="1" applyFont="1" applyFill="1" applyBorder="1" applyAlignment="1">
      <alignment horizontal="center" vertical="center" wrapText="1"/>
    </xf>
    <xf numFmtId="2" fontId="74" fillId="0" borderId="0" xfId="7" applyNumberFormat="1" applyFont="1" applyFill="1" applyBorder="1" applyAlignment="1">
      <alignment horizontal="center" vertical="center"/>
    </xf>
    <xf numFmtId="0" fontId="23" fillId="0" borderId="0" xfId="7" applyFont="1" applyFill="1" applyBorder="1" applyAlignment="1">
      <alignment horizontal="center" vertical="center"/>
    </xf>
    <xf numFmtId="2" fontId="12" fillId="0" borderId="0" xfId="7" applyNumberFormat="1" applyFont="1" applyFill="1" applyBorder="1" applyAlignment="1">
      <alignment horizontal="center" vertical="center"/>
    </xf>
    <xf numFmtId="2" fontId="12" fillId="0" borderId="22" xfId="7" applyNumberFormat="1" applyFont="1" applyFill="1" applyBorder="1" applyAlignment="1">
      <alignment horizontal="center" vertical="center" wrapText="1"/>
    </xf>
    <xf numFmtId="4" fontId="37" fillId="0" borderId="22" xfId="7" applyNumberFormat="1" applyFont="1" applyFill="1" applyBorder="1" applyAlignment="1">
      <alignment horizontal="center" vertical="center"/>
    </xf>
    <xf numFmtId="2" fontId="23" fillId="0" borderId="22" xfId="7" applyNumberFormat="1" applyFont="1" applyFill="1" applyBorder="1" applyAlignment="1">
      <alignment horizontal="center" vertical="center"/>
    </xf>
    <xf numFmtId="0" fontId="4" fillId="0" borderId="0" xfId="7" applyFont="1" applyFill="1" applyBorder="1" applyAlignment="1">
      <alignment horizontal="center" vertical="center"/>
    </xf>
    <xf numFmtId="2" fontId="64" fillId="8" borderId="22" xfId="7" applyNumberFormat="1" applyFont="1" applyFill="1" applyBorder="1" applyAlignment="1">
      <alignment horizontal="center" vertical="center"/>
    </xf>
    <xf numFmtId="2" fontId="24" fillId="0" borderId="23" xfId="7" applyNumberFormat="1" applyFont="1" applyFill="1" applyBorder="1" applyAlignment="1">
      <alignment horizontal="right" vertical="center"/>
    </xf>
    <xf numFmtId="2" fontId="24" fillId="0" borderId="24" xfId="7" applyNumberFormat="1" applyFont="1" applyFill="1" applyBorder="1" applyAlignment="1">
      <alignment horizontal="right" vertical="center"/>
    </xf>
    <xf numFmtId="2" fontId="24" fillId="0" borderId="25" xfId="7" applyNumberFormat="1" applyFont="1" applyFill="1" applyBorder="1" applyAlignment="1">
      <alignment horizontal="right" vertical="center"/>
    </xf>
    <xf numFmtId="0" fontId="6" fillId="0" borderId="0" xfId="7" applyFont="1" applyFill="1" applyBorder="1" applyAlignment="1">
      <alignment horizontal="center" vertical="center"/>
    </xf>
    <xf numFmtId="0" fontId="7" fillId="2" borderId="9" xfId="5" applyFont="1" applyFill="1" applyBorder="1" applyAlignment="1">
      <alignment horizontal="center" vertical="center"/>
    </xf>
    <xf numFmtId="0" fontId="64" fillId="8" borderId="0" xfId="7" applyFont="1" applyFill="1" applyBorder="1" applyAlignment="1">
      <alignment horizontal="center" vertical="center"/>
    </xf>
    <xf numFmtId="0" fontId="0" fillId="9" borderId="0" xfId="0" applyFill="1"/>
    <xf numFmtId="2" fontId="64" fillId="8" borderId="22" xfId="7" applyNumberFormat="1" applyFont="1" applyFill="1" applyBorder="1" applyAlignment="1">
      <alignment horizontal="center" vertical="center"/>
    </xf>
    <xf numFmtId="0" fontId="64" fillId="8" borderId="0" xfId="7" applyFont="1" applyFill="1" applyBorder="1" applyAlignment="1">
      <alignment horizontal="center" vertical="center"/>
    </xf>
    <xf numFmtId="0" fontId="4" fillId="2" borderId="0" xfId="7" applyFont="1" applyFill="1" applyBorder="1" applyAlignment="1">
      <alignment horizontal="center" vertical="center"/>
    </xf>
    <xf numFmtId="2" fontId="6" fillId="2" borderId="22" xfId="7" applyNumberFormat="1" applyFont="1" applyFill="1" applyBorder="1" applyAlignment="1">
      <alignment horizontal="center" vertical="center" wrapText="1"/>
    </xf>
    <xf numFmtId="0" fontId="21" fillId="2" borderId="22" xfId="7" applyFont="1" applyFill="1" applyBorder="1" applyAlignment="1">
      <alignment horizontal="center" vertical="center"/>
    </xf>
    <xf numFmtId="2" fontId="21" fillId="2" borderId="22" xfId="7" applyNumberFormat="1" applyFont="1" applyFill="1" applyBorder="1" applyAlignment="1">
      <alignment horizontal="center" vertical="center"/>
    </xf>
    <xf numFmtId="2" fontId="21" fillId="2" borderId="22" xfId="7" applyNumberFormat="1" applyFont="1" applyFill="1" applyBorder="1" applyAlignment="1">
      <alignment horizontal="center" vertical="center" wrapText="1"/>
    </xf>
    <xf numFmtId="2" fontId="3" fillId="2" borderId="0" xfId="7" applyNumberFormat="1" applyFont="1" applyFill="1" applyBorder="1" applyAlignment="1">
      <alignment horizontal="center" vertical="center"/>
    </xf>
    <xf numFmtId="4" fontId="3" fillId="2" borderId="22" xfId="7" applyNumberFormat="1" applyFont="1" applyFill="1" applyBorder="1" applyAlignment="1">
      <alignment horizontal="center" vertical="center"/>
    </xf>
    <xf numFmtId="2" fontId="23" fillId="2" borderId="22" xfId="7" applyNumberFormat="1" applyFont="1" applyFill="1" applyBorder="1" applyAlignment="1">
      <alignment horizontal="center" vertical="center" wrapText="1"/>
    </xf>
    <xf numFmtId="2" fontId="22" fillId="2" borderId="0" xfId="7" applyNumberFormat="1" applyFont="1" applyFill="1" applyBorder="1" applyAlignment="1">
      <alignment horizontal="right" vertical="center"/>
    </xf>
    <xf numFmtId="2" fontId="21" fillId="2" borderId="0" xfId="7" applyNumberFormat="1" applyFont="1" applyFill="1" applyBorder="1" applyAlignment="1">
      <alignment horizontal="center" vertical="center" wrapText="1"/>
    </xf>
    <xf numFmtId="0" fontId="0" fillId="2" borderId="0" xfId="0" applyFill="1"/>
    <xf numFmtId="0" fontId="64" fillId="2" borderId="0" xfId="7" applyFont="1" applyFill="1" applyBorder="1" applyAlignment="1">
      <alignment horizontal="center" vertical="center"/>
    </xf>
    <xf numFmtId="2" fontId="40" fillId="2" borderId="22" xfId="7" applyNumberFormat="1" applyFont="1" applyFill="1" applyBorder="1" applyAlignment="1">
      <alignment horizontal="center" vertical="center" wrapText="1"/>
    </xf>
    <xf numFmtId="2" fontId="40" fillId="2" borderId="78" xfId="7" applyNumberFormat="1" applyFont="1" applyFill="1" applyBorder="1" applyAlignment="1">
      <alignment horizontal="center" vertical="center" wrapText="1"/>
    </xf>
    <xf numFmtId="0" fontId="64" fillId="2" borderId="22" xfId="7" applyFont="1" applyFill="1" applyBorder="1" applyAlignment="1">
      <alignment horizontal="center" vertical="center"/>
    </xf>
    <xf numFmtId="2" fontId="64" fillId="2" borderId="22" xfId="7" applyNumberFormat="1" applyFont="1" applyFill="1" applyBorder="1" applyAlignment="1">
      <alignment horizontal="center" vertical="center"/>
    </xf>
    <xf numFmtId="2" fontId="64" fillId="2" borderId="23" xfId="7" applyNumberFormat="1" applyFont="1" applyFill="1" applyBorder="1" applyAlignment="1">
      <alignment horizontal="center" vertical="center" wrapText="1"/>
    </xf>
    <xf numFmtId="4" fontId="36" fillId="2" borderId="22" xfId="7" applyNumberFormat="1" applyFont="1" applyFill="1" applyBorder="1" applyAlignment="1">
      <alignment horizontal="center" vertical="center"/>
    </xf>
    <xf numFmtId="2" fontId="40" fillId="2" borderId="23" xfId="7" applyNumberFormat="1" applyFont="1" applyFill="1" applyBorder="1" applyAlignment="1">
      <alignment horizontal="center" vertical="center" wrapText="1"/>
    </xf>
    <xf numFmtId="0" fontId="65" fillId="2" borderId="0" xfId="0" applyFont="1" applyFill="1"/>
    <xf numFmtId="3" fontId="64" fillId="11" borderId="0" xfId="7" applyNumberFormat="1" applyFont="1" applyFill="1" applyBorder="1" applyAlignment="1">
      <alignment horizontal="center" vertical="center"/>
    </xf>
    <xf numFmtId="2" fontId="24" fillId="0" borderId="0" xfId="7" applyNumberFormat="1" applyFont="1" applyFill="1" applyBorder="1" applyAlignment="1">
      <alignment horizontal="center" vertical="center"/>
    </xf>
    <xf numFmtId="2" fontId="23" fillId="0" borderId="0" xfId="7" applyNumberFormat="1" applyFont="1" applyFill="1" applyBorder="1" applyAlignment="1">
      <alignment horizontal="center" vertical="center"/>
    </xf>
    <xf numFmtId="2" fontId="36" fillId="2" borderId="0" xfId="7" applyNumberFormat="1" applyFont="1" applyFill="1" applyBorder="1" applyAlignment="1">
      <alignment horizontal="right" vertical="center"/>
    </xf>
    <xf numFmtId="2" fontId="64" fillId="2" borderId="0" xfId="7" applyNumberFormat="1" applyFont="1" applyFill="1" applyBorder="1" applyAlignment="1">
      <alignment horizontal="center" vertical="center" wrapText="1"/>
    </xf>
    <xf numFmtId="2" fontId="36" fillId="2" borderId="0" xfId="7" applyNumberFormat="1" applyFont="1" applyFill="1" applyBorder="1" applyAlignment="1">
      <alignment horizontal="center" vertical="center"/>
    </xf>
    <xf numFmtId="0" fontId="6" fillId="2" borderId="0" xfId="7" applyFont="1" applyFill="1" applyBorder="1" applyAlignment="1">
      <alignment horizontal="center" vertical="center"/>
    </xf>
    <xf numFmtId="0" fontId="4" fillId="0" borderId="0" xfId="7" applyFont="1" applyFill="1" applyBorder="1" applyAlignment="1">
      <alignment horizontal="center" vertical="center"/>
    </xf>
    <xf numFmtId="44" fontId="6" fillId="2" borderId="9" xfId="3" applyFont="1" applyFill="1" applyBorder="1" applyAlignment="1">
      <alignment horizontal="center" vertical="center" wrapText="1"/>
    </xf>
    <xf numFmtId="49" fontId="54" fillId="0" borderId="9" xfId="34" applyNumberFormat="1" applyFont="1" applyBorder="1" applyAlignment="1">
      <alignment horizontal="center" vertical="center"/>
    </xf>
    <xf numFmtId="0" fontId="7" fillId="0" borderId="13" xfId="12" applyNumberFormat="1" applyFont="1" applyFill="1" applyBorder="1" applyAlignment="1" applyProtection="1">
      <alignment horizontal="left" vertical="center"/>
      <protection locked="0"/>
    </xf>
    <xf numFmtId="44" fontId="6" fillId="0" borderId="0" xfId="3" applyFont="1" applyFill="1" applyBorder="1" applyAlignment="1" applyProtection="1">
      <alignment vertical="center"/>
      <protection locked="0"/>
    </xf>
    <xf numFmtId="0" fontId="7" fillId="0" borderId="13" xfId="12" applyNumberFormat="1" applyFont="1" applyFill="1" applyBorder="1" applyAlignment="1" applyProtection="1">
      <alignment horizontal="left" vertical="center"/>
      <protection locked="0"/>
    </xf>
    <xf numFmtId="4" fontId="11" fillId="8" borderId="74" xfId="0" applyNumberFormat="1" applyFont="1" applyFill="1" applyBorder="1" applyAlignment="1">
      <alignment horizontal="center" vertical="center"/>
    </xf>
    <xf numFmtId="0" fontId="23" fillId="9" borderId="27" xfId="12" applyNumberFormat="1" applyFont="1" applyFill="1" applyBorder="1" applyAlignment="1">
      <alignment horizontal="center" vertical="center"/>
    </xf>
    <xf numFmtId="44" fontId="7" fillId="2" borderId="9" xfId="5" applyNumberFormat="1" applyFont="1" applyFill="1" applyBorder="1" applyAlignment="1">
      <alignment horizontal="center" vertical="center"/>
    </xf>
    <xf numFmtId="2" fontId="16" fillId="0" borderId="22" xfId="7" applyNumberFormat="1" applyFont="1" applyFill="1" applyBorder="1" applyAlignment="1">
      <alignment horizontal="center" vertical="center" wrapText="1"/>
    </xf>
    <xf numFmtId="2" fontId="7" fillId="0" borderId="22" xfId="7" applyNumberFormat="1" applyFont="1" applyFill="1" applyBorder="1" applyAlignment="1">
      <alignment horizontal="center" vertical="center" wrapText="1"/>
    </xf>
    <xf numFmtId="0" fontId="7" fillId="2" borderId="9" xfId="5" applyFont="1" applyFill="1" applyBorder="1" applyAlignment="1">
      <alignment horizontal="center" vertical="center"/>
    </xf>
    <xf numFmtId="0" fontId="77" fillId="0" borderId="0" xfId="0" applyFont="1" applyAlignment="1">
      <alignment horizontal="left"/>
    </xf>
    <xf numFmtId="1" fontId="12" fillId="0" borderId="9" xfId="5" applyNumberFormat="1" applyFont="1" applyFill="1" applyBorder="1" applyAlignment="1">
      <alignment horizontal="left" vertical="center" wrapText="1"/>
    </xf>
    <xf numFmtId="1" fontId="11" fillId="8" borderId="74" xfId="5" applyNumberFormat="1" applyFont="1" applyFill="1" applyBorder="1" applyAlignment="1">
      <alignment horizontal="left" vertical="center" wrapText="1"/>
    </xf>
    <xf numFmtId="1" fontId="7" fillId="0" borderId="9" xfId="5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 wrapText="1"/>
    </xf>
    <xf numFmtId="0" fontId="6" fillId="4" borderId="52" xfId="5" applyFont="1" applyFill="1" applyBorder="1" applyAlignment="1">
      <alignment horizontal="center" vertical="center" wrapText="1"/>
    </xf>
    <xf numFmtId="0" fontId="7" fillId="0" borderId="51" xfId="0" applyFont="1" applyFill="1" applyBorder="1" applyAlignment="1">
      <alignment horizontal="center" vertical="center" wrapText="1"/>
    </xf>
    <xf numFmtId="44" fontId="7" fillId="0" borderId="53" xfId="3" applyFont="1" applyFill="1" applyBorder="1" applyAlignment="1">
      <alignment horizontal="right" vertical="center" wrapText="1"/>
    </xf>
    <xf numFmtId="0" fontId="6" fillId="4" borderId="80" xfId="5" applyFont="1" applyFill="1" applyBorder="1" applyAlignment="1">
      <alignment horizontal="center" vertical="center" wrapText="1"/>
    </xf>
    <xf numFmtId="1" fontId="23" fillId="3" borderId="81" xfId="12" applyNumberFormat="1" applyFont="1" applyFill="1" applyBorder="1" applyAlignment="1">
      <alignment horizontal="left" vertical="center" wrapText="1"/>
    </xf>
    <xf numFmtId="1" fontId="23" fillId="3" borderId="81" xfId="12" applyNumberFormat="1" applyFont="1" applyFill="1" applyBorder="1" applyAlignment="1">
      <alignment horizontal="center" vertical="center"/>
    </xf>
    <xf numFmtId="170" fontId="6" fillId="3" borderId="81" xfId="13" applyNumberFormat="1" applyFont="1" applyFill="1" applyBorder="1" applyAlignment="1">
      <alignment horizontal="center" vertical="center"/>
    </xf>
    <xf numFmtId="2" fontId="6" fillId="3" borderId="81" xfId="12" applyNumberFormat="1" applyFont="1" applyFill="1" applyBorder="1" applyAlignment="1">
      <alignment horizontal="center" vertical="center"/>
    </xf>
    <xf numFmtId="4" fontId="6" fillId="3" borderId="82" xfId="12" applyNumberFormat="1" applyFont="1" applyFill="1" applyBorder="1" applyAlignment="1">
      <alignment horizontal="center" vertical="center"/>
    </xf>
    <xf numFmtId="0" fontId="23" fillId="16" borderId="27" xfId="12" applyNumberFormat="1" applyFont="1" applyFill="1" applyBorder="1" applyAlignment="1">
      <alignment horizontal="center" vertical="center"/>
    </xf>
    <xf numFmtId="0" fontId="23" fillId="16" borderId="43" xfId="16" applyFont="1" applyFill="1" applyBorder="1" applyAlignment="1">
      <alignment horizontal="center" vertical="center"/>
    </xf>
    <xf numFmtId="0" fontId="40" fillId="16" borderId="27" xfId="12" applyNumberFormat="1" applyFont="1" applyFill="1" applyBorder="1" applyAlignment="1">
      <alignment horizontal="center" vertical="center"/>
    </xf>
    <xf numFmtId="0" fontId="23" fillId="16" borderId="27" xfId="12" applyNumberFormat="1" applyFont="1" applyFill="1" applyBorder="1" applyAlignment="1">
      <alignment horizontal="center" vertical="center" wrapText="1"/>
    </xf>
    <xf numFmtId="0" fontId="3" fillId="0" borderId="0" xfId="0" applyFont="1" applyAlignment="1"/>
    <xf numFmtId="0" fontId="6" fillId="0" borderId="0" xfId="5" applyFont="1" applyFill="1" applyBorder="1" applyAlignment="1">
      <alignment vertical="center"/>
    </xf>
    <xf numFmtId="4" fontId="10" fillId="2" borderId="9" xfId="5" applyNumberFormat="1" applyFont="1" applyFill="1" applyBorder="1" applyAlignment="1">
      <alignment horizontal="center" vertical="center"/>
    </xf>
    <xf numFmtId="44" fontId="9" fillId="2" borderId="9" xfId="3" applyFont="1" applyFill="1" applyBorder="1" applyAlignment="1">
      <alignment horizontal="center" vertical="center"/>
    </xf>
    <xf numFmtId="0" fontId="3" fillId="0" borderId="0" xfId="0" applyFont="1" applyAlignment="1">
      <alignment horizontal="center"/>
    </xf>
    <xf numFmtId="2" fontId="3" fillId="0" borderId="0" xfId="5" applyNumberFormat="1" applyBorder="1" applyAlignment="1">
      <alignment horizontal="center" vertical="center"/>
    </xf>
    <xf numFmtId="44" fontId="3" fillId="0" borderId="0" xfId="3" applyFont="1" applyBorder="1" applyAlignment="1">
      <alignment horizontal="center" vertical="center"/>
    </xf>
    <xf numFmtId="4" fontId="3" fillId="0" borderId="0" xfId="5" applyNumberFormat="1" applyAlignment="1">
      <alignment horizontal="center" vertical="center"/>
    </xf>
    <xf numFmtId="44" fontId="3" fillId="0" borderId="0" xfId="3" applyFont="1" applyAlignment="1">
      <alignment horizontal="center" vertical="center"/>
    </xf>
    <xf numFmtId="0" fontId="4" fillId="2" borderId="9" xfId="0" applyFont="1" applyFill="1" applyBorder="1" applyAlignment="1">
      <alignment vertical="center" wrapText="1"/>
    </xf>
    <xf numFmtId="0" fontId="11" fillId="0" borderId="9" xfId="0" applyFont="1" applyBorder="1" applyAlignment="1">
      <alignment vertical="center" wrapText="1"/>
    </xf>
    <xf numFmtId="0" fontId="7" fillId="0" borderId="9" xfId="0" applyFont="1" applyBorder="1" applyAlignment="1">
      <alignment wrapText="1"/>
    </xf>
    <xf numFmtId="0" fontId="12" fillId="2" borderId="9" xfId="16" applyFont="1" applyFill="1" applyBorder="1" applyAlignment="1">
      <alignment vertical="center" wrapText="1"/>
    </xf>
    <xf numFmtId="0" fontId="7" fillId="0" borderId="0" xfId="0" applyFont="1" applyAlignment="1">
      <alignment wrapText="1"/>
    </xf>
    <xf numFmtId="0" fontId="12" fillId="0" borderId="0" xfId="0" applyFont="1" applyAlignment="1">
      <alignment wrapText="1"/>
    </xf>
    <xf numFmtId="0" fontId="7" fillId="2" borderId="9" xfId="5" applyFont="1" applyFill="1" applyBorder="1" applyAlignment="1">
      <alignment vertical="center" wrapText="1"/>
    </xf>
    <xf numFmtId="0" fontId="7" fillId="0" borderId="9" xfId="0" applyFont="1" applyBorder="1" applyAlignment="1">
      <alignment vertical="top" wrapText="1"/>
    </xf>
    <xf numFmtId="0" fontId="4" fillId="2" borderId="18" xfId="0" applyFont="1" applyFill="1" applyBorder="1" applyAlignment="1">
      <alignment horizontal="center" vertical="center" wrapText="1"/>
    </xf>
    <xf numFmtId="0" fontId="4" fillId="2" borderId="19" xfId="0" applyFont="1" applyFill="1" applyBorder="1" applyAlignment="1">
      <alignment horizontal="center" vertical="center" wrapText="1"/>
    </xf>
    <xf numFmtId="0" fontId="4" fillId="2" borderId="20" xfId="0" applyFont="1" applyFill="1" applyBorder="1" applyAlignment="1">
      <alignment horizontal="center" vertical="center" wrapText="1"/>
    </xf>
    <xf numFmtId="0" fontId="9" fillId="2" borderId="18" xfId="5" applyFont="1" applyFill="1" applyBorder="1" applyAlignment="1">
      <alignment horizontal="center" vertical="center"/>
    </xf>
    <xf numFmtId="0" fontId="9" fillId="2" borderId="19" xfId="5" applyFont="1" applyFill="1" applyBorder="1" applyAlignment="1">
      <alignment horizontal="center" vertical="center"/>
    </xf>
    <xf numFmtId="0" fontId="9" fillId="2" borderId="20" xfId="5" applyFont="1" applyFill="1" applyBorder="1" applyAlignment="1">
      <alignment horizontal="center" vertical="center"/>
    </xf>
    <xf numFmtId="0" fontId="7" fillId="2" borderId="18" xfId="5" applyFont="1" applyFill="1" applyBorder="1" applyAlignment="1">
      <alignment horizontal="center" vertical="center"/>
    </xf>
    <xf numFmtId="0" fontId="7" fillId="2" borderId="19" xfId="5" applyFont="1" applyFill="1" applyBorder="1" applyAlignment="1">
      <alignment horizontal="center" vertical="center"/>
    </xf>
    <xf numFmtId="0" fontId="7" fillId="2" borderId="20" xfId="5" applyFont="1" applyFill="1" applyBorder="1" applyAlignment="1">
      <alignment horizontal="center" vertical="center"/>
    </xf>
    <xf numFmtId="0" fontId="6" fillId="2" borderId="18" xfId="5" applyFont="1" applyFill="1" applyBorder="1" applyAlignment="1">
      <alignment horizontal="center" vertical="center"/>
    </xf>
    <xf numFmtId="0" fontId="6" fillId="2" borderId="19" xfId="5" applyFont="1" applyFill="1" applyBorder="1" applyAlignment="1">
      <alignment horizontal="center" vertical="center"/>
    </xf>
    <xf numFmtId="0" fontId="6" fillId="2" borderId="20" xfId="5" applyFont="1" applyFill="1" applyBorder="1" applyAlignment="1">
      <alignment horizontal="center" vertical="center"/>
    </xf>
    <xf numFmtId="0" fontId="6" fillId="4" borderId="9" xfId="5" applyFont="1" applyFill="1" applyBorder="1" applyAlignment="1">
      <alignment horizontal="right" vertical="center"/>
    </xf>
    <xf numFmtId="0" fontId="4" fillId="2" borderId="9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3" fillId="2" borderId="9" xfId="5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6" fillId="4" borderId="9" xfId="0" applyFont="1" applyFill="1" applyBorder="1" applyAlignment="1">
      <alignment horizontal="center" vertical="center" wrapText="1"/>
    </xf>
    <xf numFmtId="44" fontId="7" fillId="4" borderId="9" xfId="3" applyFont="1" applyFill="1" applyBorder="1" applyAlignment="1">
      <alignment horizontal="center" vertical="center" wrapText="1"/>
    </xf>
    <xf numFmtId="10" fontId="12" fillId="4" borderId="9" xfId="4" applyNumberFormat="1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6" fillId="2" borderId="9" xfId="5" applyFont="1" applyFill="1" applyBorder="1" applyAlignment="1">
      <alignment horizontal="center" vertical="center"/>
    </xf>
    <xf numFmtId="0" fontId="12" fillId="2" borderId="9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6" fillId="0" borderId="9" xfId="5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2" fontId="3" fillId="0" borderId="23" xfId="7" applyNumberFormat="1" applyFont="1" applyFill="1" applyBorder="1" applyAlignment="1">
      <alignment horizontal="center" vertical="center" wrapText="1"/>
    </xf>
    <xf numFmtId="2" fontId="3" fillId="0" borderId="24" xfId="7" applyNumberFormat="1" applyFont="1" applyFill="1" applyBorder="1" applyAlignment="1">
      <alignment horizontal="center" vertical="center" wrapText="1"/>
    </xf>
    <xf numFmtId="2" fontId="3" fillId="0" borderId="25" xfId="7" applyNumberFormat="1" applyFont="1" applyFill="1" applyBorder="1" applyAlignment="1">
      <alignment horizontal="center" vertical="center" wrapText="1"/>
    </xf>
    <xf numFmtId="2" fontId="22" fillId="0" borderId="22" xfId="7" applyNumberFormat="1" applyFont="1" applyFill="1" applyBorder="1" applyAlignment="1">
      <alignment horizontal="right" vertical="center"/>
    </xf>
    <xf numFmtId="2" fontId="7" fillId="0" borderId="23" xfId="7" applyNumberFormat="1" applyFont="1" applyFill="1" applyBorder="1" applyAlignment="1">
      <alignment horizontal="left" vertical="center" wrapText="1"/>
    </xf>
    <xf numFmtId="2" fontId="7" fillId="0" borderId="24" xfId="7" applyNumberFormat="1" applyFont="1" applyFill="1" applyBorder="1" applyAlignment="1">
      <alignment horizontal="left" vertical="center" wrapText="1"/>
    </xf>
    <xf numFmtId="2" fontId="7" fillId="0" borderId="25" xfId="7" applyNumberFormat="1" applyFont="1" applyFill="1" applyBorder="1" applyAlignment="1">
      <alignment horizontal="left" vertical="center" wrapText="1"/>
    </xf>
    <xf numFmtId="2" fontId="23" fillId="0" borderId="22" xfId="7" applyNumberFormat="1" applyFont="1" applyFill="1" applyBorder="1" applyAlignment="1">
      <alignment horizontal="center" vertical="center"/>
    </xf>
    <xf numFmtId="2" fontId="7" fillId="0" borderId="23" xfId="7" applyNumberFormat="1" applyFont="1" applyFill="1" applyBorder="1" applyAlignment="1">
      <alignment horizontal="center" vertical="center" wrapText="1"/>
    </xf>
    <xf numFmtId="2" fontId="7" fillId="0" borderId="24" xfId="7" applyNumberFormat="1" applyFont="1" applyFill="1" applyBorder="1" applyAlignment="1">
      <alignment horizontal="center" vertical="center" wrapText="1"/>
    </xf>
    <xf numFmtId="2" fontId="7" fillId="0" borderId="25" xfId="7" applyNumberFormat="1" applyFont="1" applyFill="1" applyBorder="1" applyAlignment="1">
      <alignment horizontal="center" vertical="center" wrapText="1"/>
    </xf>
    <xf numFmtId="2" fontId="24" fillId="0" borderId="22" xfId="7" applyNumberFormat="1" applyFont="1" applyFill="1" applyBorder="1" applyAlignment="1">
      <alignment horizontal="right" vertical="center"/>
    </xf>
    <xf numFmtId="0" fontId="4" fillId="3" borderId="42" xfId="7" applyFont="1" applyFill="1" applyBorder="1" applyAlignment="1">
      <alignment vertical="center"/>
    </xf>
    <xf numFmtId="2" fontId="3" fillId="0" borderId="23" xfId="7" applyNumberFormat="1" applyFont="1" applyFill="1" applyBorder="1" applyAlignment="1">
      <alignment horizontal="left" vertical="center" wrapText="1"/>
    </xf>
    <xf numFmtId="2" fontId="3" fillId="0" borderId="24" xfId="7" applyNumberFormat="1" applyFont="1" applyFill="1" applyBorder="1" applyAlignment="1">
      <alignment horizontal="left" vertical="center" wrapText="1"/>
    </xf>
    <xf numFmtId="2" fontId="3" fillId="0" borderId="25" xfId="7" applyNumberFormat="1" applyFont="1" applyFill="1" applyBorder="1" applyAlignment="1">
      <alignment horizontal="left" vertical="center" wrapText="1"/>
    </xf>
    <xf numFmtId="2" fontId="21" fillId="0" borderId="22" xfId="7" applyNumberFormat="1" applyFont="1" applyFill="1" applyBorder="1" applyAlignment="1">
      <alignment horizontal="center" vertical="center"/>
    </xf>
    <xf numFmtId="0" fontId="4" fillId="3" borderId="0" xfId="7" applyFont="1" applyFill="1" applyBorder="1" applyAlignment="1">
      <alignment vertical="center"/>
    </xf>
    <xf numFmtId="2" fontId="12" fillId="0" borderId="23" xfId="7" applyNumberFormat="1" applyFont="1" applyFill="1" applyBorder="1" applyAlignment="1">
      <alignment horizontal="left" vertical="center" wrapText="1"/>
    </xf>
    <xf numFmtId="2" fontId="12" fillId="0" borderId="24" xfId="7" applyNumberFormat="1" applyFont="1" applyFill="1" applyBorder="1" applyAlignment="1">
      <alignment horizontal="left" vertical="center" wrapText="1"/>
    </xf>
    <xf numFmtId="2" fontId="12" fillId="0" borderId="25" xfId="7" applyNumberFormat="1" applyFont="1" applyFill="1" applyBorder="1" applyAlignment="1">
      <alignment horizontal="left" vertical="center" wrapText="1"/>
    </xf>
    <xf numFmtId="2" fontId="12" fillId="0" borderId="23" xfId="7" applyNumberFormat="1" applyFont="1" applyFill="1" applyBorder="1" applyAlignment="1">
      <alignment horizontal="left" vertical="center"/>
    </xf>
    <xf numFmtId="2" fontId="12" fillId="0" borderId="24" xfId="7" applyNumberFormat="1" applyFont="1" applyFill="1" applyBorder="1" applyAlignment="1">
      <alignment horizontal="left" vertical="center"/>
    </xf>
    <xf numFmtId="2" fontId="12" fillId="0" borderId="25" xfId="7" applyNumberFormat="1" applyFont="1" applyFill="1" applyBorder="1" applyAlignment="1">
      <alignment horizontal="left" vertical="center"/>
    </xf>
    <xf numFmtId="0" fontId="17" fillId="3" borderId="0" xfId="7" applyFont="1" applyFill="1" applyBorder="1" applyAlignment="1">
      <alignment vertical="center"/>
    </xf>
    <xf numFmtId="2" fontId="16" fillId="0" borderId="22" xfId="7" applyNumberFormat="1" applyFont="1" applyFill="1" applyBorder="1" applyAlignment="1">
      <alignment horizontal="center" vertical="center" wrapText="1"/>
    </xf>
    <xf numFmtId="2" fontId="20" fillId="0" borderId="22" xfId="7" applyNumberFormat="1" applyFont="1" applyFill="1" applyBorder="1" applyAlignment="1">
      <alignment horizontal="right" vertical="center"/>
    </xf>
    <xf numFmtId="2" fontId="16" fillId="0" borderId="21" xfId="7" applyNumberFormat="1" applyFont="1" applyFill="1" applyBorder="1" applyAlignment="1">
      <alignment horizontal="left" vertical="center" wrapText="1"/>
    </xf>
    <xf numFmtId="2" fontId="19" fillId="0" borderId="22" xfId="7" applyNumberFormat="1" applyFont="1" applyFill="1" applyBorder="1" applyAlignment="1">
      <alignment horizontal="center" vertical="center"/>
    </xf>
    <xf numFmtId="2" fontId="16" fillId="0" borderId="23" xfId="7" applyNumberFormat="1" applyFont="1" applyFill="1" applyBorder="1" applyAlignment="1">
      <alignment horizontal="center" vertical="center" wrapText="1"/>
    </xf>
    <xf numFmtId="2" fontId="16" fillId="0" borderId="24" xfId="7" applyNumberFormat="1" applyFont="1" applyFill="1" applyBorder="1" applyAlignment="1">
      <alignment horizontal="center" vertical="center" wrapText="1"/>
    </xf>
    <xf numFmtId="2" fontId="16" fillId="0" borderId="25" xfId="7" applyNumberFormat="1" applyFont="1" applyFill="1" applyBorder="1" applyAlignment="1">
      <alignment horizontal="center" vertical="center" wrapText="1"/>
    </xf>
    <xf numFmtId="2" fontId="20" fillId="0" borderId="23" xfId="7" applyNumberFormat="1" applyFont="1" applyFill="1" applyBorder="1" applyAlignment="1">
      <alignment horizontal="right" vertical="center"/>
    </xf>
    <xf numFmtId="2" fontId="20" fillId="0" borderId="24" xfId="7" applyNumberFormat="1" applyFont="1" applyFill="1" applyBorder="1" applyAlignment="1">
      <alignment horizontal="right" vertical="center"/>
    </xf>
    <xf numFmtId="2" fontId="20" fillId="0" borderId="25" xfId="7" applyNumberFormat="1" applyFont="1" applyFill="1" applyBorder="1" applyAlignment="1">
      <alignment horizontal="right" vertical="center"/>
    </xf>
    <xf numFmtId="2" fontId="19" fillId="0" borderId="23" xfId="7" applyNumberFormat="1" applyFont="1" applyFill="1" applyBorder="1" applyAlignment="1">
      <alignment horizontal="center" vertical="center"/>
    </xf>
    <xf numFmtId="2" fontId="19" fillId="0" borderId="24" xfId="7" applyNumberFormat="1" applyFont="1" applyFill="1" applyBorder="1" applyAlignment="1">
      <alignment horizontal="center" vertical="center"/>
    </xf>
    <xf numFmtId="2" fontId="19" fillId="0" borderId="25" xfId="7" applyNumberFormat="1" applyFont="1" applyFill="1" applyBorder="1" applyAlignment="1">
      <alignment horizontal="center" vertical="center"/>
    </xf>
    <xf numFmtId="2" fontId="24" fillId="0" borderId="23" xfId="7" applyNumberFormat="1" applyFont="1" applyFill="1" applyBorder="1" applyAlignment="1">
      <alignment horizontal="right" vertical="center"/>
    </xf>
    <xf numFmtId="2" fontId="24" fillId="0" borderId="24" xfId="7" applyNumberFormat="1" applyFont="1" applyFill="1" applyBorder="1" applyAlignment="1">
      <alignment horizontal="right" vertical="center"/>
    </xf>
    <xf numFmtId="2" fontId="24" fillId="0" borderId="25" xfId="7" applyNumberFormat="1" applyFont="1" applyFill="1" applyBorder="1" applyAlignment="1">
      <alignment horizontal="right" vertical="center"/>
    </xf>
    <xf numFmtId="2" fontId="12" fillId="0" borderId="22" xfId="7" applyNumberFormat="1" applyFont="1" applyFill="1" applyBorder="1" applyAlignment="1">
      <alignment horizontal="right" vertical="center"/>
    </xf>
    <xf numFmtId="2" fontId="23" fillId="0" borderId="23" xfId="7" applyNumberFormat="1" applyFont="1" applyFill="1" applyBorder="1" applyAlignment="1">
      <alignment horizontal="center" vertical="center"/>
    </xf>
    <xf numFmtId="2" fontId="23" fillId="0" borderId="24" xfId="7" applyNumberFormat="1" applyFont="1" applyFill="1" applyBorder="1" applyAlignment="1">
      <alignment horizontal="center" vertical="center"/>
    </xf>
    <xf numFmtId="2" fontId="23" fillId="0" borderId="25" xfId="7" applyNumberFormat="1" applyFont="1" applyFill="1" applyBorder="1" applyAlignment="1">
      <alignment horizontal="center" vertical="center"/>
    </xf>
    <xf numFmtId="2" fontId="37" fillId="0" borderId="23" xfId="7" applyNumberFormat="1" applyFont="1" applyFill="1" applyBorder="1" applyAlignment="1">
      <alignment horizontal="center" vertical="center"/>
    </xf>
    <xf numFmtId="2" fontId="37" fillId="0" borderId="24" xfId="7" applyNumberFormat="1" applyFont="1" applyFill="1" applyBorder="1" applyAlignment="1">
      <alignment horizontal="center" vertical="center"/>
    </xf>
    <xf numFmtId="2" fontId="37" fillId="0" borderId="25" xfId="7" applyNumberFormat="1" applyFont="1" applyFill="1" applyBorder="1" applyAlignment="1">
      <alignment horizontal="center" vertical="center"/>
    </xf>
    <xf numFmtId="2" fontId="7" fillId="0" borderId="23" xfId="7" applyNumberFormat="1" applyFont="1" applyFill="1" applyBorder="1" applyAlignment="1">
      <alignment horizontal="left" vertical="center"/>
    </xf>
    <xf numFmtId="2" fontId="7" fillId="0" borderId="24" xfId="7" applyNumberFormat="1" applyFont="1" applyFill="1" applyBorder="1" applyAlignment="1">
      <alignment horizontal="left" vertical="center"/>
    </xf>
    <xf numFmtId="2" fontId="7" fillId="0" borderId="25" xfId="7" applyNumberFormat="1" applyFont="1" applyFill="1" applyBorder="1" applyAlignment="1">
      <alignment horizontal="left" vertical="center"/>
    </xf>
    <xf numFmtId="2" fontId="23" fillId="0" borderId="26" xfId="7" applyNumberFormat="1" applyFont="1" applyFill="1" applyBorder="1" applyAlignment="1">
      <alignment horizontal="center" vertical="center"/>
    </xf>
    <xf numFmtId="2" fontId="7" fillId="0" borderId="22" xfId="7" applyNumberFormat="1" applyFont="1" applyFill="1" applyBorder="1" applyAlignment="1">
      <alignment horizontal="center" vertical="center" wrapText="1"/>
    </xf>
    <xf numFmtId="2" fontId="12" fillId="0" borderId="23" xfId="7" applyNumberFormat="1" applyFont="1" applyFill="1" applyBorder="1" applyAlignment="1">
      <alignment horizontal="center" vertical="center" wrapText="1"/>
    </xf>
    <xf numFmtId="2" fontId="12" fillId="0" borderId="24" xfId="7" applyNumberFormat="1" applyFont="1" applyFill="1" applyBorder="1" applyAlignment="1">
      <alignment horizontal="center" vertical="center" wrapText="1"/>
    </xf>
    <xf numFmtId="2" fontId="12" fillId="0" borderId="25" xfId="7" applyNumberFormat="1" applyFont="1" applyFill="1" applyBorder="1" applyAlignment="1">
      <alignment horizontal="center" vertical="center" wrapText="1"/>
    </xf>
    <xf numFmtId="2" fontId="7" fillId="0" borderId="21" xfId="7" applyNumberFormat="1" applyFont="1" applyFill="1" applyBorder="1" applyAlignment="1">
      <alignment horizontal="left" vertical="center" wrapText="1"/>
    </xf>
    <xf numFmtId="0" fontId="14" fillId="5" borderId="1" xfId="7" applyFont="1" applyFill="1" applyBorder="1" applyAlignment="1">
      <alignment horizontal="center" vertical="center" wrapText="1"/>
    </xf>
    <xf numFmtId="0" fontId="14" fillId="5" borderId="3" xfId="7" applyFont="1" applyFill="1" applyBorder="1" applyAlignment="1">
      <alignment horizontal="center" vertical="center" wrapText="1"/>
    </xf>
    <xf numFmtId="0" fontId="14" fillId="5" borderId="4" xfId="7" applyFont="1" applyFill="1" applyBorder="1" applyAlignment="1">
      <alignment horizontal="center" vertical="center" wrapText="1"/>
    </xf>
    <xf numFmtId="0" fontId="14" fillId="5" borderId="5" xfId="7" applyFont="1" applyFill="1" applyBorder="1" applyAlignment="1">
      <alignment horizontal="center" vertical="center" wrapText="1"/>
    </xf>
    <xf numFmtId="0" fontId="14" fillId="5" borderId="7" xfId="7" applyFont="1" applyFill="1" applyBorder="1" applyAlignment="1">
      <alignment horizontal="center" vertical="center" wrapText="1"/>
    </xf>
    <xf numFmtId="0" fontId="14" fillId="5" borderId="8" xfId="7" applyFont="1" applyFill="1" applyBorder="1" applyAlignment="1">
      <alignment horizontal="center" vertical="center" wrapText="1"/>
    </xf>
    <xf numFmtId="2" fontId="15" fillId="0" borderId="1" xfId="7" applyNumberFormat="1" applyFont="1" applyBorder="1" applyAlignment="1">
      <alignment horizontal="center" vertical="center" wrapText="1"/>
    </xf>
    <xf numFmtId="0" fontId="15" fillId="0" borderId="2" xfId="7" applyFont="1" applyBorder="1" applyAlignment="1">
      <alignment horizontal="center" vertical="center" wrapText="1"/>
    </xf>
    <xf numFmtId="0" fontId="15" fillId="0" borderId="3" xfId="7" applyFont="1" applyBorder="1" applyAlignment="1">
      <alignment horizontal="center" vertical="center" wrapText="1"/>
    </xf>
    <xf numFmtId="0" fontId="16" fillId="0" borderId="1" xfId="7" applyFont="1" applyBorder="1" applyAlignment="1">
      <alignment horizontal="center"/>
    </xf>
    <xf numFmtId="0" fontId="16" fillId="0" borderId="2" xfId="7" applyFont="1" applyBorder="1" applyAlignment="1">
      <alignment horizontal="center"/>
    </xf>
    <xf numFmtId="0" fontId="16" fillId="0" borderId="3" xfId="7" applyFont="1" applyBorder="1" applyAlignment="1">
      <alignment horizontal="center"/>
    </xf>
    <xf numFmtId="0" fontId="16" fillId="0" borderId="4" xfId="7" applyFont="1" applyBorder="1" applyAlignment="1">
      <alignment horizontal="center"/>
    </xf>
    <xf numFmtId="0" fontId="16" fillId="0" borderId="0" xfId="7" applyFont="1" applyBorder="1" applyAlignment="1">
      <alignment horizontal="center"/>
    </xf>
    <xf numFmtId="0" fontId="16" fillId="0" borderId="5" xfId="7" applyFont="1" applyBorder="1" applyAlignment="1">
      <alignment horizontal="center"/>
    </xf>
    <xf numFmtId="0" fontId="16" fillId="0" borderId="7" xfId="7" applyFont="1" applyBorder="1" applyAlignment="1">
      <alignment horizontal="center"/>
    </xf>
    <xf numFmtId="0" fontId="16" fillId="0" borderId="6" xfId="7" applyFont="1" applyBorder="1" applyAlignment="1">
      <alignment horizontal="center"/>
    </xf>
    <xf numFmtId="0" fontId="16" fillId="0" borderId="8" xfId="7" applyFont="1" applyBorder="1" applyAlignment="1">
      <alignment horizontal="center"/>
    </xf>
    <xf numFmtId="2" fontId="15" fillId="0" borderId="4" xfId="7" applyNumberFormat="1" applyFont="1" applyBorder="1" applyAlignment="1">
      <alignment horizontal="center" vertical="center"/>
    </xf>
    <xf numFmtId="0" fontId="15" fillId="0" borderId="0" xfId="7" applyFont="1" applyBorder="1" applyAlignment="1">
      <alignment horizontal="center" vertical="center"/>
    </xf>
    <xf numFmtId="0" fontId="15" fillId="0" borderId="5" xfId="7" applyFont="1" applyBorder="1" applyAlignment="1">
      <alignment horizontal="center" vertical="center"/>
    </xf>
    <xf numFmtId="0" fontId="15" fillId="0" borderId="4" xfId="7" applyFont="1" applyBorder="1" applyAlignment="1">
      <alignment horizontal="center" vertical="center" wrapText="1"/>
    </xf>
    <xf numFmtId="0" fontId="15" fillId="0" borderId="0" xfId="7" applyFont="1" applyBorder="1" applyAlignment="1">
      <alignment horizontal="center" vertical="center" wrapText="1"/>
    </xf>
    <xf numFmtId="0" fontId="15" fillId="0" borderId="5" xfId="7" applyFont="1" applyBorder="1" applyAlignment="1">
      <alignment horizontal="center" vertical="center" wrapText="1"/>
    </xf>
    <xf numFmtId="0" fontId="15" fillId="0" borderId="7" xfId="7" applyFont="1" applyBorder="1" applyAlignment="1">
      <alignment horizontal="center" vertical="center" wrapText="1"/>
    </xf>
    <xf numFmtId="0" fontId="15" fillId="0" borderId="6" xfId="7" applyFont="1" applyBorder="1" applyAlignment="1">
      <alignment horizontal="center" vertical="center" wrapText="1"/>
    </xf>
    <xf numFmtId="0" fontId="15" fillId="0" borderId="8" xfId="7" applyFont="1" applyBorder="1" applyAlignment="1">
      <alignment horizontal="center" vertical="center" wrapText="1"/>
    </xf>
    <xf numFmtId="0" fontId="17" fillId="0" borderId="0" xfId="7" applyFont="1" applyBorder="1" applyAlignment="1">
      <alignment horizontal="left" vertical="center"/>
    </xf>
    <xf numFmtId="44" fontId="16" fillId="0" borderId="0" xfId="3" applyFont="1" applyBorder="1" applyAlignment="1">
      <alignment horizontal="center" vertical="center"/>
    </xf>
    <xf numFmtId="2" fontId="3" fillId="0" borderId="23" xfId="7" applyNumberFormat="1" applyFont="1" applyFill="1" applyBorder="1" applyAlignment="1">
      <alignment horizontal="left" vertical="center"/>
    </xf>
    <xf numFmtId="2" fontId="3" fillId="0" borderId="24" xfId="7" applyNumberFormat="1" applyFont="1" applyFill="1" applyBorder="1" applyAlignment="1">
      <alignment horizontal="left" vertical="center"/>
    </xf>
    <xf numFmtId="2" fontId="3" fillId="0" borderId="25" xfId="7" applyNumberFormat="1" applyFont="1" applyFill="1" applyBorder="1" applyAlignment="1">
      <alignment horizontal="left" vertical="center"/>
    </xf>
    <xf numFmtId="49" fontId="7" fillId="0" borderId="18" xfId="5" applyNumberFormat="1" applyFont="1" applyFill="1" applyBorder="1" applyAlignment="1">
      <alignment horizontal="center" vertical="center"/>
    </xf>
    <xf numFmtId="49" fontId="7" fillId="0" borderId="19" xfId="5" applyNumberFormat="1" applyFont="1" applyFill="1" applyBorder="1" applyAlignment="1">
      <alignment horizontal="center" vertical="center"/>
    </xf>
    <xf numFmtId="49" fontId="7" fillId="0" borderId="20" xfId="5" applyNumberFormat="1" applyFont="1" applyFill="1" applyBorder="1" applyAlignment="1">
      <alignment horizontal="center" vertical="center"/>
    </xf>
    <xf numFmtId="0" fontId="7" fillId="0" borderId="0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2" fontId="3" fillId="0" borderId="0" xfId="7" applyNumberFormat="1" applyFont="1" applyFill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 vertical="center" wrapText="1"/>
    </xf>
    <xf numFmtId="0" fontId="4" fillId="2" borderId="11" xfId="0" applyFont="1" applyFill="1" applyBorder="1" applyAlignment="1">
      <alignment horizontal="center" vertical="center" wrapText="1"/>
    </xf>
    <xf numFmtId="0" fontId="4" fillId="2" borderId="12" xfId="0" applyFont="1" applyFill="1" applyBorder="1" applyAlignment="1">
      <alignment horizontal="center" vertical="center" wrapText="1"/>
    </xf>
    <xf numFmtId="0" fontId="4" fillId="2" borderId="13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 wrapText="1"/>
    </xf>
    <xf numFmtId="0" fontId="4" fillId="2" borderId="14" xfId="0" applyFont="1" applyFill="1" applyBorder="1" applyAlignment="1">
      <alignment horizontal="center" vertical="center" wrapText="1"/>
    </xf>
    <xf numFmtId="0" fontId="4" fillId="2" borderId="15" xfId="0" applyFont="1" applyFill="1" applyBorder="1" applyAlignment="1">
      <alignment horizontal="center" vertical="center" wrapText="1"/>
    </xf>
    <xf numFmtId="0" fontId="4" fillId="2" borderId="16" xfId="0" applyFont="1" applyFill="1" applyBorder="1" applyAlignment="1">
      <alignment horizontal="center" vertical="center" wrapText="1"/>
    </xf>
    <xf numFmtId="0" fontId="4" fillId="2" borderId="17" xfId="0" applyFont="1" applyFill="1" applyBorder="1" applyAlignment="1">
      <alignment horizontal="center" vertical="center" wrapText="1"/>
    </xf>
    <xf numFmtId="0" fontId="3" fillId="2" borderId="12" xfId="0" applyFont="1" applyFill="1" applyBorder="1" applyAlignment="1">
      <alignment horizontal="center" vertical="center" wrapText="1"/>
    </xf>
    <xf numFmtId="0" fontId="3" fillId="2" borderId="15" xfId="0" applyFont="1" applyFill="1" applyBorder="1" applyAlignment="1">
      <alignment horizontal="center" vertical="center" wrapText="1"/>
    </xf>
    <xf numFmtId="0" fontId="3" fillId="2" borderId="17" xfId="0" applyFont="1" applyFill="1" applyBorder="1" applyAlignment="1">
      <alignment horizontal="center" vertical="center" wrapText="1"/>
    </xf>
    <xf numFmtId="0" fontId="4" fillId="2" borderId="18" xfId="0" applyFont="1" applyFill="1" applyBorder="1" applyAlignment="1">
      <alignment horizontal="center" vertical="center"/>
    </xf>
    <xf numFmtId="0" fontId="4" fillId="2" borderId="20" xfId="0" applyFont="1" applyFill="1" applyBorder="1" applyAlignment="1">
      <alignment horizontal="center" vertical="center"/>
    </xf>
    <xf numFmtId="0" fontId="6" fillId="4" borderId="18" xfId="5" applyFont="1" applyFill="1" applyBorder="1" applyAlignment="1">
      <alignment horizontal="right" vertical="center"/>
    </xf>
    <xf numFmtId="0" fontId="6" fillId="4" borderId="19" xfId="5" applyFont="1" applyFill="1" applyBorder="1" applyAlignment="1">
      <alignment horizontal="right" vertical="center"/>
    </xf>
    <xf numFmtId="0" fontId="6" fillId="4" borderId="20" xfId="5" applyFont="1" applyFill="1" applyBorder="1" applyAlignment="1">
      <alignment horizontal="right" vertical="center"/>
    </xf>
    <xf numFmtId="44" fontId="7" fillId="2" borderId="9" xfId="5" applyNumberFormat="1" applyFont="1" applyFill="1" applyBorder="1" applyAlignment="1">
      <alignment horizontal="center" vertical="center"/>
    </xf>
    <xf numFmtId="0" fontId="7" fillId="0" borderId="0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6" fillId="3" borderId="0" xfId="7" applyFont="1" applyFill="1" applyBorder="1" applyAlignment="1">
      <alignment vertical="center"/>
    </xf>
    <xf numFmtId="0" fontId="6" fillId="0" borderId="0" xfId="7" applyFont="1" applyFill="1" applyBorder="1" applyAlignment="1">
      <alignment horizontal="center" vertical="center"/>
    </xf>
    <xf numFmtId="0" fontId="3" fillId="0" borderId="19" xfId="0" applyFont="1" applyBorder="1" applyAlignment="1">
      <alignment horizontal="center"/>
    </xf>
    <xf numFmtId="0" fontId="3" fillId="0" borderId="19" xfId="5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wrapText="1"/>
    </xf>
    <xf numFmtId="0" fontId="7" fillId="0" borderId="0" xfId="0" applyFont="1" applyAlignment="1">
      <alignment horizontal="center" wrapText="1"/>
    </xf>
    <xf numFmtId="2" fontId="21" fillId="2" borderId="22" xfId="7" applyNumberFormat="1" applyFont="1" applyFill="1" applyBorder="1" applyAlignment="1">
      <alignment horizontal="center" vertical="center"/>
    </xf>
    <xf numFmtId="2" fontId="3" fillId="2" borderId="23" xfId="7" applyNumberFormat="1" applyFont="1" applyFill="1" applyBorder="1" applyAlignment="1">
      <alignment horizontal="center" vertical="center" wrapText="1"/>
    </xf>
    <xf numFmtId="2" fontId="3" fillId="2" borderId="24" xfId="7" applyNumberFormat="1" applyFont="1" applyFill="1" applyBorder="1" applyAlignment="1">
      <alignment horizontal="center" vertical="center" wrapText="1"/>
    </xf>
    <xf numFmtId="2" fontId="3" fillId="2" borderId="25" xfId="7" applyNumberFormat="1" applyFont="1" applyFill="1" applyBorder="1" applyAlignment="1">
      <alignment horizontal="center" vertical="center" wrapText="1"/>
    </xf>
    <xf numFmtId="2" fontId="22" fillId="2" borderId="22" xfId="7" applyNumberFormat="1" applyFont="1" applyFill="1" applyBorder="1" applyAlignment="1">
      <alignment horizontal="right" vertical="center"/>
    </xf>
    <xf numFmtId="2" fontId="3" fillId="2" borderId="23" xfId="7" applyNumberFormat="1" applyFont="1" applyFill="1" applyBorder="1" applyAlignment="1">
      <alignment horizontal="left" vertical="center" wrapText="1"/>
    </xf>
    <xf numFmtId="2" fontId="3" fillId="2" borderId="24" xfId="7" applyNumberFormat="1" applyFont="1" applyFill="1" applyBorder="1" applyAlignment="1">
      <alignment horizontal="left" vertical="center" wrapText="1"/>
    </xf>
    <xf numFmtId="2" fontId="3" fillId="2" borderId="25" xfId="7" applyNumberFormat="1" applyFont="1" applyFill="1" applyBorder="1" applyAlignment="1">
      <alignment horizontal="left" vertical="center" wrapText="1"/>
    </xf>
    <xf numFmtId="2" fontId="21" fillId="2" borderId="23" xfId="7" applyNumberFormat="1" applyFont="1" applyFill="1" applyBorder="1" applyAlignment="1">
      <alignment horizontal="center" vertical="center"/>
    </xf>
    <xf numFmtId="2" fontId="21" fillId="2" borderId="24" xfId="7" applyNumberFormat="1" applyFont="1" applyFill="1" applyBorder="1" applyAlignment="1">
      <alignment horizontal="center" vertical="center"/>
    </xf>
    <xf numFmtId="2" fontId="21" fillId="2" borderId="25" xfId="7" applyNumberFormat="1" applyFont="1" applyFill="1" applyBorder="1" applyAlignment="1">
      <alignment horizontal="center" vertical="center"/>
    </xf>
    <xf numFmtId="2" fontId="22" fillId="2" borderId="23" xfId="7" applyNumberFormat="1" applyFont="1" applyFill="1" applyBorder="1" applyAlignment="1">
      <alignment horizontal="right" vertical="center"/>
    </xf>
    <xf numFmtId="2" fontId="22" fillId="2" borderId="24" xfId="7" applyNumberFormat="1" applyFont="1" applyFill="1" applyBorder="1" applyAlignment="1">
      <alignment horizontal="right" vertical="center"/>
    </xf>
    <xf numFmtId="2" fontId="22" fillId="2" borderId="25" xfId="7" applyNumberFormat="1" applyFont="1" applyFill="1" applyBorder="1" applyAlignment="1">
      <alignment horizontal="right" vertical="center"/>
    </xf>
    <xf numFmtId="0" fontId="4" fillId="0" borderId="0" xfId="7" applyFont="1" applyFill="1" applyBorder="1" applyAlignment="1">
      <alignment horizontal="center" vertical="center"/>
    </xf>
    <xf numFmtId="2" fontId="12" fillId="0" borderId="23" xfId="7" applyNumberFormat="1" applyFont="1" applyFill="1" applyBorder="1" applyAlignment="1">
      <alignment horizontal="center" vertical="center"/>
    </xf>
    <xf numFmtId="2" fontId="12" fillId="0" borderId="24" xfId="7" applyNumberFormat="1" applyFont="1" applyFill="1" applyBorder="1" applyAlignment="1">
      <alignment horizontal="center" vertical="center"/>
    </xf>
    <xf numFmtId="2" fontId="12" fillId="0" borderId="25" xfId="7" applyNumberFormat="1" applyFont="1" applyFill="1" applyBorder="1" applyAlignment="1">
      <alignment horizontal="center" vertical="center"/>
    </xf>
    <xf numFmtId="2" fontId="21" fillId="0" borderId="23" xfId="7" applyNumberFormat="1" applyFont="1" applyFill="1" applyBorder="1" applyAlignment="1">
      <alignment horizontal="center" vertical="center"/>
    </xf>
    <xf numFmtId="2" fontId="21" fillId="0" borderId="24" xfId="7" applyNumberFormat="1" applyFont="1" applyFill="1" applyBorder="1" applyAlignment="1">
      <alignment horizontal="center" vertical="center"/>
    </xf>
    <xf numFmtId="2" fontId="21" fillId="0" borderId="25" xfId="7" applyNumberFormat="1" applyFont="1" applyFill="1" applyBorder="1" applyAlignment="1">
      <alignment horizontal="center" vertical="center"/>
    </xf>
    <xf numFmtId="2" fontId="22" fillId="0" borderId="23" xfId="7" applyNumberFormat="1" applyFont="1" applyFill="1" applyBorder="1" applyAlignment="1">
      <alignment horizontal="right" vertical="center"/>
    </xf>
    <xf numFmtId="2" fontId="22" fillId="0" borderId="24" xfId="7" applyNumberFormat="1" applyFont="1" applyFill="1" applyBorder="1" applyAlignment="1">
      <alignment horizontal="right" vertical="center"/>
    </xf>
    <xf numFmtId="2" fontId="22" fillId="0" borderId="25" xfId="7" applyNumberFormat="1" applyFont="1" applyFill="1" applyBorder="1" applyAlignment="1">
      <alignment horizontal="right" vertical="center"/>
    </xf>
    <xf numFmtId="2" fontId="3" fillId="2" borderId="23" xfId="7" applyNumberFormat="1" applyFont="1" applyFill="1" applyBorder="1" applyAlignment="1">
      <alignment horizontal="left" vertical="center"/>
    </xf>
    <xf numFmtId="2" fontId="3" fillId="2" borderId="24" xfId="7" applyNumberFormat="1" applyFont="1" applyFill="1" applyBorder="1" applyAlignment="1">
      <alignment horizontal="left" vertical="center"/>
    </xf>
    <xf numFmtId="2" fontId="3" fillId="2" borderId="25" xfId="7" applyNumberFormat="1" applyFont="1" applyFill="1" applyBorder="1" applyAlignment="1">
      <alignment horizontal="left" vertical="center"/>
    </xf>
    <xf numFmtId="0" fontId="7" fillId="2" borderId="9" xfId="5" applyFont="1" applyFill="1" applyBorder="1" applyAlignment="1">
      <alignment horizontal="center" vertical="center"/>
    </xf>
    <xf numFmtId="0" fontId="6" fillId="2" borderId="9" xfId="5" applyFont="1" applyFill="1" applyBorder="1" applyAlignment="1">
      <alignment vertical="center"/>
    </xf>
    <xf numFmtId="2" fontId="12" fillId="2" borderId="23" xfId="7" applyNumberFormat="1" applyFont="1" applyFill="1" applyBorder="1" applyAlignment="1">
      <alignment horizontal="left" vertical="center"/>
    </xf>
    <xf numFmtId="2" fontId="12" fillId="2" borderId="24" xfId="7" applyNumberFormat="1" applyFont="1" applyFill="1" applyBorder="1" applyAlignment="1">
      <alignment horizontal="left" vertical="center"/>
    </xf>
    <xf numFmtId="2" fontId="12" fillId="2" borderId="25" xfId="7" applyNumberFormat="1" applyFont="1" applyFill="1" applyBorder="1" applyAlignment="1">
      <alignment horizontal="left" vertical="center"/>
    </xf>
    <xf numFmtId="0" fontId="7" fillId="2" borderId="9" xfId="5" applyFont="1" applyFill="1" applyBorder="1" applyAlignment="1">
      <alignment horizontal="right" vertical="center"/>
    </xf>
    <xf numFmtId="0" fontId="12" fillId="0" borderId="13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/>
    </xf>
    <xf numFmtId="0" fontId="6" fillId="4" borderId="18" xfId="5" applyFont="1" applyFill="1" applyBorder="1" applyAlignment="1">
      <alignment horizontal="center" vertical="center"/>
    </xf>
    <xf numFmtId="0" fontId="6" fillId="4" borderId="19" xfId="5" applyFont="1" applyFill="1" applyBorder="1" applyAlignment="1">
      <alignment horizontal="center" vertical="center"/>
    </xf>
    <xf numFmtId="0" fontId="6" fillId="4" borderId="20" xfId="5" applyFont="1" applyFill="1" applyBorder="1" applyAlignment="1">
      <alignment horizontal="center" vertical="center"/>
    </xf>
    <xf numFmtId="0" fontId="40" fillId="11" borderId="75" xfId="5" applyFont="1" applyFill="1" applyBorder="1" applyAlignment="1">
      <alignment horizontal="right" vertical="center"/>
    </xf>
    <xf numFmtId="0" fontId="40" fillId="11" borderId="76" xfId="5" applyFont="1" applyFill="1" applyBorder="1" applyAlignment="1">
      <alignment horizontal="right" vertical="center"/>
    </xf>
    <xf numFmtId="0" fontId="40" fillId="11" borderId="77" xfId="5" applyFont="1" applyFill="1" applyBorder="1" applyAlignment="1">
      <alignment horizontal="right" vertical="center"/>
    </xf>
    <xf numFmtId="0" fontId="40" fillId="8" borderId="75" xfId="5" applyFont="1" applyFill="1" applyBorder="1" applyAlignment="1">
      <alignment horizontal="center" vertical="center"/>
    </xf>
    <xf numFmtId="0" fontId="40" fillId="8" borderId="76" xfId="5" applyFont="1" applyFill="1" applyBorder="1" applyAlignment="1">
      <alignment horizontal="center" vertical="center"/>
    </xf>
    <xf numFmtId="0" fontId="40" fillId="8" borderId="77" xfId="5" applyFont="1" applyFill="1" applyBorder="1" applyAlignment="1">
      <alignment horizontal="center" vertical="center"/>
    </xf>
    <xf numFmtId="0" fontId="40" fillId="11" borderId="74" xfId="5" applyFont="1" applyFill="1" applyBorder="1" applyAlignment="1">
      <alignment horizontal="center" vertical="center"/>
    </xf>
    <xf numFmtId="0" fontId="11" fillId="11" borderId="74" xfId="0" applyFont="1" applyFill="1" applyBorder="1" applyAlignment="1">
      <alignment horizontal="center" vertical="center"/>
    </xf>
    <xf numFmtId="44" fontId="11" fillId="8" borderId="74" xfId="5" applyNumberFormat="1" applyFont="1" applyFill="1" applyBorder="1" applyAlignment="1">
      <alignment horizontal="center" vertical="center"/>
    </xf>
    <xf numFmtId="0" fontId="40" fillId="8" borderId="74" xfId="5" applyFont="1" applyFill="1" applyBorder="1" applyAlignment="1">
      <alignment horizontal="center" vertical="center"/>
    </xf>
    <xf numFmtId="0" fontId="64" fillId="8" borderId="74" xfId="0" applyFont="1" applyFill="1" applyBorder="1" applyAlignment="1">
      <alignment horizontal="center" vertical="center"/>
    </xf>
    <xf numFmtId="0" fontId="64" fillId="8" borderId="74" xfId="0" applyFont="1" applyFill="1" applyBorder="1" applyAlignment="1">
      <alignment horizontal="center" vertical="center" wrapText="1"/>
    </xf>
    <xf numFmtId="0" fontId="40" fillId="8" borderId="74" xfId="0" applyFont="1" applyFill="1" applyBorder="1" applyAlignment="1">
      <alignment horizontal="center" vertical="center" wrapText="1"/>
    </xf>
    <xf numFmtId="44" fontId="11" fillId="8" borderId="74" xfId="3" applyFont="1" applyFill="1" applyBorder="1" applyAlignment="1">
      <alignment horizontal="center" vertical="center" wrapText="1"/>
    </xf>
    <xf numFmtId="10" fontId="11" fillId="8" borderId="74" xfId="4" applyNumberFormat="1" applyFont="1" applyFill="1" applyBorder="1" applyAlignment="1">
      <alignment horizontal="center" vertical="center" wrapText="1"/>
    </xf>
    <xf numFmtId="0" fontId="36" fillId="8" borderId="74" xfId="5" applyFont="1" applyFill="1" applyBorder="1" applyAlignment="1">
      <alignment horizontal="center" vertical="center" wrapText="1"/>
    </xf>
    <xf numFmtId="0" fontId="36" fillId="8" borderId="74" xfId="0" applyFont="1" applyFill="1" applyBorder="1" applyAlignment="1">
      <alignment vertical="center" wrapText="1"/>
    </xf>
    <xf numFmtId="0" fontId="36" fillId="8" borderId="74" xfId="0" applyFont="1" applyFill="1" applyBorder="1" applyAlignment="1">
      <alignment horizontal="center" vertical="center" wrapText="1"/>
    </xf>
    <xf numFmtId="2" fontId="36" fillId="8" borderId="23" xfId="7" applyNumberFormat="1" applyFont="1" applyFill="1" applyBorder="1" applyAlignment="1">
      <alignment horizontal="left" vertical="center" wrapText="1"/>
    </xf>
    <xf numFmtId="2" fontId="36" fillId="8" borderId="24" xfId="7" applyNumberFormat="1" applyFont="1" applyFill="1" applyBorder="1" applyAlignment="1">
      <alignment horizontal="left" vertical="center" wrapText="1"/>
    </xf>
    <xf numFmtId="2" fontId="36" fillId="8" borderId="25" xfId="7" applyNumberFormat="1" applyFont="1" applyFill="1" applyBorder="1" applyAlignment="1">
      <alignment horizontal="left" vertical="center" wrapText="1"/>
    </xf>
    <xf numFmtId="2" fontId="64" fillId="8" borderId="22" xfId="7" applyNumberFormat="1" applyFont="1" applyFill="1" applyBorder="1" applyAlignment="1">
      <alignment horizontal="center" vertical="center"/>
    </xf>
    <xf numFmtId="2" fontId="36" fillId="8" borderId="31" xfId="7" applyNumberFormat="1" applyFont="1" applyFill="1" applyBorder="1" applyAlignment="1">
      <alignment horizontal="center" vertical="center"/>
    </xf>
    <xf numFmtId="2" fontId="36" fillId="8" borderId="57" xfId="7" applyNumberFormat="1" applyFont="1" applyFill="1" applyBorder="1" applyAlignment="1">
      <alignment horizontal="center" vertical="center"/>
    </xf>
    <xf numFmtId="2" fontId="36" fillId="8" borderId="52" xfId="7" applyNumberFormat="1" applyFont="1" applyFill="1" applyBorder="1" applyAlignment="1">
      <alignment horizontal="center" vertical="center"/>
    </xf>
    <xf numFmtId="2" fontId="36" fillId="8" borderId="23" xfId="7" applyNumberFormat="1" applyFont="1" applyFill="1" applyBorder="1" applyAlignment="1">
      <alignment horizontal="center" vertical="center" wrapText="1"/>
    </xf>
    <xf numFmtId="2" fontId="36" fillId="8" borderId="24" xfId="7" applyNumberFormat="1" applyFont="1" applyFill="1" applyBorder="1" applyAlignment="1">
      <alignment horizontal="center" vertical="center" wrapText="1"/>
    </xf>
    <xf numFmtId="2" fontId="36" fillId="8" borderId="25" xfId="7" applyNumberFormat="1" applyFont="1" applyFill="1" applyBorder="1" applyAlignment="1">
      <alignment horizontal="center" vertical="center" wrapText="1"/>
    </xf>
    <xf numFmtId="2" fontId="36" fillId="8" borderId="22" xfId="7" applyNumberFormat="1" applyFont="1" applyFill="1" applyBorder="1" applyAlignment="1">
      <alignment horizontal="right" vertical="center"/>
    </xf>
    <xf numFmtId="0" fontId="64" fillId="11" borderId="0" xfId="7" applyFont="1" applyFill="1" applyBorder="1" applyAlignment="1">
      <alignment vertical="center"/>
    </xf>
    <xf numFmtId="2" fontId="36" fillId="8" borderId="9" xfId="7" applyNumberFormat="1" applyFont="1" applyFill="1" applyBorder="1" applyAlignment="1">
      <alignment horizontal="center" vertical="center"/>
    </xf>
    <xf numFmtId="2" fontId="36" fillId="8" borderId="23" xfId="7" applyNumberFormat="1" applyFont="1" applyFill="1" applyBorder="1" applyAlignment="1">
      <alignment horizontal="right" vertical="center"/>
    </xf>
    <xf numFmtId="2" fontId="36" fillId="8" borderId="24" xfId="7" applyNumberFormat="1" applyFont="1" applyFill="1" applyBorder="1" applyAlignment="1">
      <alignment horizontal="right" vertical="center"/>
    </xf>
    <xf numFmtId="2" fontId="36" fillId="8" borderId="25" xfId="7" applyNumberFormat="1" applyFont="1" applyFill="1" applyBorder="1" applyAlignment="1">
      <alignment horizontal="right" vertical="center"/>
    </xf>
    <xf numFmtId="2" fontId="64" fillId="8" borderId="23" xfId="7" applyNumberFormat="1" applyFont="1" applyFill="1" applyBorder="1" applyAlignment="1">
      <alignment horizontal="center" vertical="center"/>
    </xf>
    <xf numFmtId="2" fontId="64" fillId="8" borderId="24" xfId="7" applyNumberFormat="1" applyFont="1" applyFill="1" applyBorder="1" applyAlignment="1">
      <alignment horizontal="center" vertical="center"/>
    </xf>
    <xf numFmtId="2" fontId="64" fillId="8" borderId="25" xfId="7" applyNumberFormat="1" applyFont="1" applyFill="1" applyBorder="1" applyAlignment="1">
      <alignment horizontal="center" vertical="center"/>
    </xf>
    <xf numFmtId="2" fontId="36" fillId="8" borderId="23" xfId="7" applyNumberFormat="1" applyFont="1" applyFill="1" applyBorder="1" applyAlignment="1">
      <alignment horizontal="left" vertical="center"/>
    </xf>
    <xf numFmtId="2" fontId="36" fillId="8" borderId="24" xfId="7" applyNumberFormat="1" applyFont="1" applyFill="1" applyBorder="1" applyAlignment="1">
      <alignment horizontal="left" vertical="center"/>
    </xf>
    <xf numFmtId="2" fontId="36" fillId="8" borderId="25" xfId="7" applyNumberFormat="1" applyFont="1" applyFill="1" applyBorder="1" applyAlignment="1">
      <alignment horizontal="left" vertical="center"/>
    </xf>
    <xf numFmtId="0" fontId="64" fillId="8" borderId="0" xfId="7" applyFont="1" applyFill="1" applyBorder="1" applyAlignment="1">
      <alignment horizontal="center" vertical="center"/>
    </xf>
    <xf numFmtId="2" fontId="68" fillId="8" borderId="23" xfId="7" applyNumberFormat="1" applyFont="1" applyFill="1" applyBorder="1" applyAlignment="1">
      <alignment horizontal="center" vertical="center" wrapText="1"/>
    </xf>
    <xf numFmtId="2" fontId="68" fillId="8" borderId="24" xfId="7" applyNumberFormat="1" applyFont="1" applyFill="1" applyBorder="1" applyAlignment="1">
      <alignment horizontal="center" vertical="center" wrapText="1"/>
    </xf>
    <xf numFmtId="2" fontId="68" fillId="8" borderId="25" xfId="7" applyNumberFormat="1" applyFont="1" applyFill="1" applyBorder="1" applyAlignment="1">
      <alignment horizontal="center" vertical="center" wrapText="1"/>
    </xf>
    <xf numFmtId="2" fontId="68" fillId="8" borderId="23" xfId="7" applyNumberFormat="1" applyFont="1" applyFill="1" applyBorder="1" applyAlignment="1">
      <alignment horizontal="right" vertical="center"/>
    </xf>
    <xf numFmtId="2" fontId="68" fillId="8" borderId="24" xfId="7" applyNumberFormat="1" applyFont="1" applyFill="1" applyBorder="1" applyAlignment="1">
      <alignment horizontal="right" vertical="center"/>
    </xf>
    <xf numFmtId="2" fontId="68" fillId="8" borderId="25" xfId="7" applyNumberFormat="1" applyFont="1" applyFill="1" applyBorder="1" applyAlignment="1">
      <alignment horizontal="right" vertical="center"/>
    </xf>
    <xf numFmtId="2" fontId="68" fillId="8" borderId="21" xfId="7" applyNumberFormat="1" applyFont="1" applyFill="1" applyBorder="1" applyAlignment="1">
      <alignment horizontal="left" vertical="center" wrapText="1"/>
    </xf>
    <xf numFmtId="2" fontId="69" fillId="8" borderId="23" xfId="7" applyNumberFormat="1" applyFont="1" applyFill="1" applyBorder="1" applyAlignment="1">
      <alignment horizontal="center" vertical="center"/>
    </xf>
    <xf numFmtId="2" fontId="69" fillId="8" borderId="24" xfId="7" applyNumberFormat="1" applyFont="1" applyFill="1" applyBorder="1" applyAlignment="1">
      <alignment horizontal="center" vertical="center"/>
    </xf>
    <xf numFmtId="2" fontId="69" fillId="8" borderId="25" xfId="7" applyNumberFormat="1" applyFont="1" applyFill="1" applyBorder="1" applyAlignment="1">
      <alignment horizontal="center" vertical="center"/>
    </xf>
    <xf numFmtId="2" fontId="69" fillId="8" borderId="22" xfId="7" applyNumberFormat="1" applyFont="1" applyFill="1" applyBorder="1" applyAlignment="1">
      <alignment horizontal="center" vertical="center"/>
    </xf>
    <xf numFmtId="2" fontId="68" fillId="8" borderId="22" xfId="7" applyNumberFormat="1" applyFont="1" applyFill="1" applyBorder="1" applyAlignment="1">
      <alignment horizontal="center" vertical="center" wrapText="1"/>
    </xf>
    <xf numFmtId="2" fontId="68" fillId="8" borderId="22" xfId="7" applyNumberFormat="1" applyFont="1" applyFill="1" applyBorder="1" applyAlignment="1">
      <alignment horizontal="right" vertical="center"/>
    </xf>
    <xf numFmtId="0" fontId="69" fillId="8" borderId="0" xfId="7" applyFont="1" applyFill="1" applyBorder="1" applyAlignment="1">
      <alignment vertical="center"/>
    </xf>
    <xf numFmtId="0" fontId="66" fillId="8" borderId="1" xfId="7" applyFont="1" applyFill="1" applyBorder="1" applyAlignment="1">
      <alignment horizontal="center" vertical="center" wrapText="1"/>
    </xf>
    <xf numFmtId="0" fontId="66" fillId="8" borderId="3" xfId="7" applyFont="1" applyFill="1" applyBorder="1" applyAlignment="1">
      <alignment horizontal="center" vertical="center" wrapText="1"/>
    </xf>
    <xf numFmtId="0" fontId="66" fillId="8" borderId="4" xfId="7" applyFont="1" applyFill="1" applyBorder="1" applyAlignment="1">
      <alignment horizontal="center" vertical="center" wrapText="1"/>
    </xf>
    <xf numFmtId="0" fontId="66" fillId="8" borderId="5" xfId="7" applyFont="1" applyFill="1" applyBorder="1" applyAlignment="1">
      <alignment horizontal="center" vertical="center" wrapText="1"/>
    </xf>
    <xf numFmtId="0" fontId="66" fillId="8" borderId="7" xfId="7" applyFont="1" applyFill="1" applyBorder="1" applyAlignment="1">
      <alignment horizontal="center" vertical="center" wrapText="1"/>
    </xf>
    <xf numFmtId="0" fontId="66" fillId="8" borderId="8" xfId="7" applyFont="1" applyFill="1" applyBorder="1" applyAlignment="1">
      <alignment horizontal="center" vertical="center" wrapText="1"/>
    </xf>
    <xf numFmtId="2" fontId="67" fillId="8" borderId="1" xfId="7" applyNumberFormat="1" applyFont="1" applyFill="1" applyBorder="1" applyAlignment="1">
      <alignment horizontal="center" vertical="center" wrapText="1"/>
    </xf>
    <xf numFmtId="0" fontId="67" fillId="8" borderId="2" xfId="7" applyFont="1" applyFill="1" applyBorder="1" applyAlignment="1">
      <alignment horizontal="center" vertical="center" wrapText="1"/>
    </xf>
    <xf numFmtId="0" fontId="67" fillId="8" borderId="3" xfId="7" applyFont="1" applyFill="1" applyBorder="1" applyAlignment="1">
      <alignment horizontal="center" vertical="center" wrapText="1"/>
    </xf>
    <xf numFmtId="0" fontId="68" fillId="8" borderId="1" xfId="7" applyFont="1" applyFill="1" applyBorder="1" applyAlignment="1">
      <alignment horizontal="center"/>
    </xf>
    <xf numFmtId="0" fontId="68" fillId="8" borderId="2" xfId="7" applyFont="1" applyFill="1" applyBorder="1" applyAlignment="1">
      <alignment horizontal="center"/>
    </xf>
    <xf numFmtId="0" fontId="68" fillId="8" borderId="3" xfId="7" applyFont="1" applyFill="1" applyBorder="1" applyAlignment="1">
      <alignment horizontal="center"/>
    </xf>
    <xf numFmtId="0" fontId="68" fillId="8" borderId="4" xfId="7" applyFont="1" applyFill="1" applyBorder="1" applyAlignment="1">
      <alignment horizontal="center"/>
    </xf>
    <xf numFmtId="0" fontId="68" fillId="8" borderId="0" xfId="7" applyFont="1" applyFill="1" applyBorder="1" applyAlignment="1">
      <alignment horizontal="center"/>
    </xf>
    <xf numFmtId="0" fontId="68" fillId="8" borderId="5" xfId="7" applyFont="1" applyFill="1" applyBorder="1" applyAlignment="1">
      <alignment horizontal="center"/>
    </xf>
    <xf numFmtId="0" fontId="68" fillId="8" borderId="7" xfId="7" applyFont="1" applyFill="1" applyBorder="1" applyAlignment="1">
      <alignment horizontal="center"/>
    </xf>
    <xf numFmtId="0" fontId="68" fillId="8" borderId="6" xfId="7" applyFont="1" applyFill="1" applyBorder="1" applyAlignment="1">
      <alignment horizontal="center"/>
    </xf>
    <xf numFmtId="0" fontId="68" fillId="8" borderId="8" xfId="7" applyFont="1" applyFill="1" applyBorder="1" applyAlignment="1">
      <alignment horizontal="center"/>
    </xf>
    <xf numFmtId="2" fontId="67" fillId="8" borderId="4" xfId="7" applyNumberFormat="1" applyFont="1" applyFill="1" applyBorder="1" applyAlignment="1">
      <alignment horizontal="center" vertical="center"/>
    </xf>
    <xf numFmtId="0" fontId="67" fillId="8" borderId="0" xfId="7" applyFont="1" applyFill="1" applyBorder="1" applyAlignment="1">
      <alignment horizontal="center" vertical="center"/>
    </xf>
    <xf numFmtId="0" fontId="67" fillId="8" borderId="5" xfId="7" applyFont="1" applyFill="1" applyBorder="1" applyAlignment="1">
      <alignment horizontal="center" vertical="center"/>
    </xf>
    <xf numFmtId="0" fontId="67" fillId="8" borderId="4" xfId="7" applyFont="1" applyFill="1" applyBorder="1" applyAlignment="1">
      <alignment horizontal="center" vertical="center" wrapText="1"/>
    </xf>
    <xf numFmtId="0" fontId="67" fillId="8" borderId="0" xfId="7" applyFont="1" applyFill="1" applyBorder="1" applyAlignment="1">
      <alignment horizontal="center" vertical="center" wrapText="1"/>
    </xf>
    <xf numFmtId="0" fontId="67" fillId="8" borderId="5" xfId="7" applyFont="1" applyFill="1" applyBorder="1" applyAlignment="1">
      <alignment horizontal="center" vertical="center" wrapText="1"/>
    </xf>
    <xf numFmtId="0" fontId="67" fillId="8" borderId="7" xfId="7" applyFont="1" applyFill="1" applyBorder="1" applyAlignment="1">
      <alignment horizontal="center" vertical="center" wrapText="1"/>
    </xf>
    <xf numFmtId="0" fontId="67" fillId="8" borderId="6" xfId="7" applyFont="1" applyFill="1" applyBorder="1" applyAlignment="1">
      <alignment horizontal="center" vertical="center" wrapText="1"/>
    </xf>
    <xf numFmtId="0" fontId="67" fillId="8" borderId="8" xfId="7" applyFont="1" applyFill="1" applyBorder="1" applyAlignment="1">
      <alignment horizontal="center" vertical="center" wrapText="1"/>
    </xf>
    <xf numFmtId="0" fontId="69" fillId="8" borderId="0" xfId="7" applyFont="1" applyFill="1" applyBorder="1" applyAlignment="1">
      <alignment horizontal="left" vertical="center"/>
    </xf>
    <xf numFmtId="44" fontId="68" fillId="8" borderId="0" xfId="3" applyFont="1" applyFill="1" applyBorder="1" applyAlignment="1">
      <alignment horizontal="center" vertical="center"/>
    </xf>
    <xf numFmtId="0" fontId="0" fillId="0" borderId="13" xfId="0" applyBorder="1" applyAlignment="1">
      <alignment horizontal="center"/>
    </xf>
    <xf numFmtId="0" fontId="0" fillId="0" borderId="0" xfId="0" applyBorder="1" applyAlignment="1">
      <alignment horizontal="center"/>
    </xf>
    <xf numFmtId="2" fontId="7" fillId="0" borderId="23" xfId="7" applyNumberFormat="1" applyFont="1" applyFill="1" applyBorder="1" applyAlignment="1">
      <alignment horizontal="center" vertical="center"/>
    </xf>
    <xf numFmtId="2" fontId="7" fillId="0" borderId="24" xfId="7" applyNumberFormat="1" applyFont="1" applyFill="1" applyBorder="1" applyAlignment="1">
      <alignment horizontal="center" vertical="center"/>
    </xf>
    <xf numFmtId="2" fontId="7" fillId="0" borderId="25" xfId="7" applyNumberFormat="1" applyFont="1" applyFill="1" applyBorder="1" applyAlignment="1">
      <alignment horizontal="center" vertical="center"/>
    </xf>
    <xf numFmtId="0" fontId="7" fillId="0" borderId="79" xfId="0" applyFont="1" applyBorder="1" applyAlignment="1">
      <alignment horizontal="center" vertical="center"/>
    </xf>
    <xf numFmtId="0" fontId="40" fillId="8" borderId="75" xfId="5" applyFont="1" applyFill="1" applyBorder="1" applyAlignment="1">
      <alignment horizontal="right" vertical="center"/>
    </xf>
    <xf numFmtId="0" fontId="40" fillId="8" borderId="76" xfId="5" applyFont="1" applyFill="1" applyBorder="1" applyAlignment="1">
      <alignment horizontal="right" vertical="center"/>
    </xf>
    <xf numFmtId="0" fontId="40" fillId="8" borderId="77" xfId="5" applyFont="1" applyFill="1" applyBorder="1" applyAlignment="1">
      <alignment horizontal="right" vertical="center"/>
    </xf>
    <xf numFmtId="0" fontId="11" fillId="8" borderId="74" xfId="0" applyFont="1" applyFill="1" applyBorder="1" applyAlignment="1">
      <alignment horizontal="center" vertical="center"/>
    </xf>
    <xf numFmtId="2" fontId="36" fillId="2" borderId="23" xfId="7" applyNumberFormat="1" applyFont="1" applyFill="1" applyBorder="1" applyAlignment="1">
      <alignment horizontal="left" vertical="center" wrapText="1"/>
    </xf>
    <xf numFmtId="2" fontId="36" fillId="2" borderId="24" xfId="7" applyNumberFormat="1" applyFont="1" applyFill="1" applyBorder="1" applyAlignment="1">
      <alignment horizontal="left" vertical="center" wrapText="1"/>
    </xf>
    <xf numFmtId="2" fontId="36" fillId="2" borderId="25" xfId="7" applyNumberFormat="1" applyFont="1" applyFill="1" applyBorder="1" applyAlignment="1">
      <alignment horizontal="left" vertical="center" wrapText="1"/>
    </xf>
    <xf numFmtId="2" fontId="64" fillId="2" borderId="22" xfId="7" applyNumberFormat="1" applyFont="1" applyFill="1" applyBorder="1" applyAlignment="1">
      <alignment horizontal="center" vertical="center"/>
    </xf>
    <xf numFmtId="2" fontId="36" fillId="2" borderId="9" xfId="7" applyNumberFormat="1" applyFont="1" applyFill="1" applyBorder="1" applyAlignment="1">
      <alignment horizontal="center" vertical="center"/>
    </xf>
    <xf numFmtId="2" fontId="36" fillId="2" borderId="23" xfId="7" applyNumberFormat="1" applyFont="1" applyFill="1" applyBorder="1" applyAlignment="1">
      <alignment horizontal="center" vertical="center" wrapText="1"/>
    </xf>
    <xf numFmtId="2" fontId="36" fillId="2" borderId="24" xfId="7" applyNumberFormat="1" applyFont="1" applyFill="1" applyBorder="1" applyAlignment="1">
      <alignment horizontal="center" vertical="center" wrapText="1"/>
    </xf>
    <xf numFmtId="2" fontId="36" fillId="2" borderId="25" xfId="7" applyNumberFormat="1" applyFont="1" applyFill="1" applyBorder="1" applyAlignment="1">
      <alignment horizontal="center" vertical="center" wrapText="1"/>
    </xf>
    <xf numFmtId="2" fontId="36" fillId="2" borderId="22" xfId="7" applyNumberFormat="1" applyFont="1" applyFill="1" applyBorder="1" applyAlignment="1">
      <alignment horizontal="right" vertical="center"/>
    </xf>
    <xf numFmtId="0" fontId="64" fillId="8" borderId="0" xfId="7" applyFont="1" applyFill="1" applyBorder="1" applyAlignment="1">
      <alignment vertical="center"/>
    </xf>
    <xf numFmtId="2" fontId="36" fillId="8" borderId="11" xfId="7" applyNumberFormat="1" applyFont="1" applyFill="1" applyBorder="1" applyAlignment="1">
      <alignment horizontal="center" vertical="center"/>
    </xf>
    <xf numFmtId="2" fontId="36" fillId="8" borderId="0" xfId="7" applyNumberFormat="1" applyFont="1" applyFill="1" applyBorder="1" applyAlignment="1">
      <alignment horizontal="center" vertical="center"/>
    </xf>
    <xf numFmtId="0" fontId="7" fillId="0" borderId="0" xfId="12" applyNumberFormat="1" applyFont="1" applyFill="1" applyBorder="1" applyAlignment="1" applyProtection="1">
      <alignment horizontal="left" vertical="center"/>
      <protection locked="0"/>
    </xf>
    <xf numFmtId="0" fontId="7" fillId="0" borderId="0" xfId="14" applyNumberFormat="1" applyFont="1" applyFill="1" applyBorder="1" applyAlignment="1" applyProtection="1">
      <alignment horizontal="left" vertical="center"/>
      <protection locked="0"/>
    </xf>
    <xf numFmtId="0" fontId="12" fillId="0" borderId="37" xfId="0" applyFont="1" applyBorder="1" applyAlignment="1">
      <alignment horizontal="center"/>
    </xf>
    <xf numFmtId="0" fontId="12" fillId="0" borderId="1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0" borderId="14" xfId="0" applyFont="1" applyBorder="1" applyAlignment="1">
      <alignment horizontal="center"/>
    </xf>
    <xf numFmtId="0" fontId="12" fillId="0" borderId="7" xfId="0" applyFont="1" applyBorder="1" applyAlignment="1">
      <alignment horizontal="center"/>
    </xf>
    <xf numFmtId="0" fontId="12" fillId="0" borderId="54" xfId="0" applyFont="1" applyBorder="1" applyAlignment="1">
      <alignment horizontal="center"/>
    </xf>
    <xf numFmtId="2" fontId="7" fillId="0" borderId="9" xfId="12" applyNumberFormat="1" applyFont="1" applyFill="1" applyBorder="1" applyAlignment="1" applyProtection="1">
      <alignment horizontal="center" vertical="center"/>
      <protection locked="0"/>
    </xf>
    <xf numFmtId="2" fontId="7" fillId="0" borderId="47" xfId="12" applyNumberFormat="1" applyFont="1" applyFill="1" applyBorder="1" applyAlignment="1" applyProtection="1">
      <alignment horizontal="center" vertical="center"/>
      <protection locked="0"/>
    </xf>
    <xf numFmtId="0" fontId="23" fillId="0" borderId="9" xfId="0" applyFont="1" applyBorder="1" applyAlignment="1">
      <alignment horizontal="center" vertical="center" wrapText="1"/>
    </xf>
    <xf numFmtId="0" fontId="7" fillId="0" borderId="11" xfId="12" applyNumberFormat="1" applyFont="1" applyFill="1" applyBorder="1" applyAlignment="1" applyProtection="1">
      <alignment horizontal="left" vertical="center"/>
      <protection locked="0"/>
    </xf>
    <xf numFmtId="0" fontId="11" fillId="2" borderId="10" xfId="12" applyNumberFormat="1" applyFont="1" applyFill="1" applyBorder="1" applyAlignment="1" applyProtection="1">
      <alignment horizontal="left" vertical="center"/>
      <protection locked="0"/>
    </xf>
    <xf numFmtId="0" fontId="11" fillId="2" borderId="11" xfId="12" applyNumberFormat="1" applyFont="1" applyFill="1" applyBorder="1" applyAlignment="1" applyProtection="1">
      <alignment horizontal="left" vertical="center"/>
      <protection locked="0"/>
    </xf>
    <xf numFmtId="0" fontId="11" fillId="2" borderId="13" xfId="14" applyNumberFormat="1" applyFont="1" applyFill="1" applyBorder="1" applyAlignment="1" applyProtection="1">
      <alignment horizontal="left" vertical="center"/>
      <protection locked="0"/>
    </xf>
    <xf numFmtId="0" fontId="11" fillId="2" borderId="0" xfId="14" applyNumberFormat="1" applyFont="1" applyFill="1" applyBorder="1" applyAlignment="1" applyProtection="1">
      <alignment horizontal="left" vertical="center"/>
      <protection locked="0"/>
    </xf>
    <xf numFmtId="0" fontId="11" fillId="8" borderId="10" xfId="12" applyNumberFormat="1" applyFont="1" applyFill="1" applyBorder="1" applyAlignment="1" applyProtection="1">
      <alignment horizontal="left" vertical="center"/>
      <protection locked="0"/>
    </xf>
    <xf numFmtId="0" fontId="11" fillId="8" borderId="11" xfId="12" applyNumberFormat="1" applyFont="1" applyFill="1" applyBorder="1" applyAlignment="1" applyProtection="1">
      <alignment horizontal="left" vertical="center"/>
      <protection locked="0"/>
    </xf>
    <xf numFmtId="0" fontId="11" fillId="8" borderId="13" xfId="14" applyNumberFormat="1" applyFont="1" applyFill="1" applyBorder="1" applyAlignment="1" applyProtection="1">
      <alignment horizontal="left" vertical="center"/>
      <protection locked="0"/>
    </xf>
    <xf numFmtId="0" fontId="11" fillId="8" borderId="0" xfId="14" applyNumberFormat="1" applyFont="1" applyFill="1" applyBorder="1" applyAlignment="1" applyProtection="1">
      <alignment horizontal="left" vertical="center"/>
      <protection locked="0"/>
    </xf>
    <xf numFmtId="0" fontId="7" fillId="0" borderId="13" xfId="12" applyNumberFormat="1" applyFont="1" applyFill="1" applyBorder="1" applyAlignment="1" applyProtection="1">
      <alignment horizontal="left" vertical="center"/>
      <protection locked="0"/>
    </xf>
    <xf numFmtId="0" fontId="7" fillId="0" borderId="13" xfId="14" applyNumberFormat="1" applyFont="1" applyFill="1" applyBorder="1" applyAlignment="1" applyProtection="1">
      <alignment horizontal="left" vertical="center"/>
      <protection locked="0"/>
    </xf>
    <xf numFmtId="0" fontId="7" fillId="0" borderId="10" xfId="12" applyNumberFormat="1" applyFont="1" applyFill="1" applyBorder="1" applyAlignment="1" applyProtection="1">
      <alignment horizontal="left" vertical="center"/>
      <protection locked="0"/>
    </xf>
    <xf numFmtId="0" fontId="7" fillId="0" borderId="0" xfId="16" applyFont="1" applyBorder="1" applyAlignment="1" applyProtection="1">
      <alignment horizontal="left" vertical="center"/>
      <protection locked="0"/>
    </xf>
    <xf numFmtId="0" fontId="7" fillId="0" borderId="0" xfId="16" applyFont="1" applyAlignment="1" applyProtection="1">
      <alignment horizontal="left" vertical="center"/>
      <protection locked="0"/>
    </xf>
    <xf numFmtId="0" fontId="7" fillId="0" borderId="0" xfId="19" applyNumberFormat="1" applyFont="1" applyFill="1" applyBorder="1" applyAlignment="1" applyProtection="1">
      <alignment horizontal="left" vertical="center"/>
      <protection locked="0"/>
    </xf>
    <xf numFmtId="0" fontId="12" fillId="0" borderId="49" xfId="0" applyFont="1" applyBorder="1" applyAlignment="1">
      <alignment horizontal="left"/>
    </xf>
    <xf numFmtId="0" fontId="12" fillId="0" borderId="50" xfId="0" applyFont="1" applyBorder="1" applyAlignment="1">
      <alignment horizontal="left"/>
    </xf>
    <xf numFmtId="0" fontId="12" fillId="0" borderId="55" xfId="0" applyFont="1" applyBorder="1" applyAlignment="1">
      <alignment horizontal="left"/>
    </xf>
    <xf numFmtId="0" fontId="41" fillId="0" borderId="9" xfId="0" applyFont="1" applyBorder="1" applyAlignment="1">
      <alignment horizontal="center" vertical="center" wrapText="1"/>
    </xf>
    <xf numFmtId="44" fontId="41" fillId="0" borderId="9" xfId="3" applyFont="1" applyBorder="1" applyAlignment="1">
      <alignment horizontal="center" vertical="center"/>
    </xf>
    <xf numFmtId="0" fontId="71" fillId="0" borderId="9" xfId="0" applyFont="1" applyBorder="1" applyAlignment="1">
      <alignment horizontal="center" vertical="center"/>
    </xf>
    <xf numFmtId="0" fontId="41" fillId="0" borderId="9" xfId="0" applyFont="1" applyBorder="1" applyAlignment="1">
      <alignment horizontal="center" vertical="center"/>
    </xf>
    <xf numFmtId="44" fontId="42" fillId="9" borderId="9" xfId="0" applyNumberFormat="1" applyFont="1" applyFill="1" applyBorder="1" applyAlignment="1">
      <alignment horizontal="center" vertical="center"/>
    </xf>
    <xf numFmtId="0" fontId="42" fillId="9" borderId="9" xfId="0" applyFont="1" applyFill="1" applyBorder="1" applyAlignment="1">
      <alignment horizontal="center" vertical="center"/>
    </xf>
    <xf numFmtId="0" fontId="71" fillId="0" borderId="18" xfId="0" applyFont="1" applyBorder="1" applyAlignment="1">
      <alignment horizontal="right"/>
    </xf>
    <xf numFmtId="0" fontId="71" fillId="0" borderId="19" xfId="0" applyFont="1" applyBorder="1" applyAlignment="1">
      <alignment horizontal="right"/>
    </xf>
    <xf numFmtId="0" fontId="71" fillId="0" borderId="20" xfId="0" applyFont="1" applyBorder="1" applyAlignment="1">
      <alignment horizontal="right"/>
    </xf>
    <xf numFmtId="2" fontId="51" fillId="0" borderId="1" xfId="34" applyFont="1" applyBorder="1" applyAlignment="1">
      <alignment horizontal="center" vertical="center"/>
    </xf>
    <xf numFmtId="2" fontId="51" fillId="0" borderId="2" xfId="34" applyFont="1" applyBorder="1" applyAlignment="1">
      <alignment horizontal="center" vertical="center"/>
    </xf>
    <xf numFmtId="2" fontId="51" fillId="0" borderId="3" xfId="34" applyFont="1" applyBorder="1" applyAlignment="1">
      <alignment horizontal="center" vertical="center"/>
    </xf>
    <xf numFmtId="2" fontId="51" fillId="0" borderId="4" xfId="34" applyFont="1" applyBorder="1" applyAlignment="1">
      <alignment horizontal="center" vertical="center"/>
    </xf>
    <xf numFmtId="2" fontId="51" fillId="0" borderId="0" xfId="34" applyFont="1" applyBorder="1" applyAlignment="1">
      <alignment horizontal="center" vertical="center"/>
    </xf>
    <xf numFmtId="2" fontId="51" fillId="0" borderId="5" xfId="34" applyFont="1" applyBorder="1" applyAlignment="1">
      <alignment horizontal="center" vertical="center"/>
    </xf>
    <xf numFmtId="0" fontId="53" fillId="0" borderId="4" xfId="35" applyFont="1" applyFill="1" applyBorder="1" applyAlignment="1">
      <alignment horizontal="center" vertical="center" wrapText="1"/>
    </xf>
    <xf numFmtId="0" fontId="53" fillId="0" borderId="0" xfId="35" applyFont="1" applyFill="1" applyBorder="1" applyAlignment="1">
      <alignment horizontal="center" vertical="center" wrapText="1"/>
    </xf>
    <xf numFmtId="0" fontId="53" fillId="0" borderId="5" xfId="35" applyFont="1" applyFill="1" applyBorder="1" applyAlignment="1">
      <alignment horizontal="center" vertical="center" wrapText="1"/>
    </xf>
    <xf numFmtId="4" fontId="55" fillId="0" borderId="44" xfId="37" applyNumberFormat="1" applyFont="1" applyFill="1" applyBorder="1" applyAlignment="1">
      <alignment horizontal="center" vertical="center"/>
    </xf>
    <xf numFmtId="4" fontId="55" fillId="0" borderId="57" xfId="37" applyNumberFormat="1" applyFont="1" applyFill="1" applyBorder="1" applyAlignment="1">
      <alignment horizontal="center" vertical="center"/>
    </xf>
    <xf numFmtId="4" fontId="55" fillId="0" borderId="65" xfId="37" applyNumberFormat="1" applyFont="1" applyFill="1" applyBorder="1" applyAlignment="1">
      <alignment horizontal="center" vertical="center"/>
    </xf>
    <xf numFmtId="1" fontId="55" fillId="0" borderId="27" xfId="34" quotePrefix="1" applyNumberFormat="1" applyFont="1" applyFill="1" applyBorder="1" applyAlignment="1">
      <alignment horizontal="center" vertical="center"/>
    </xf>
    <xf numFmtId="1" fontId="55" fillId="0" borderId="35" xfId="34" applyNumberFormat="1" applyFont="1" applyFill="1" applyBorder="1" applyAlignment="1">
      <alignment horizontal="center" vertical="center"/>
    </xf>
    <xf numFmtId="1" fontId="55" fillId="0" borderId="46" xfId="34" applyNumberFormat="1" applyFont="1" applyFill="1" applyBorder="1" applyAlignment="1">
      <alignment horizontal="center" vertical="center"/>
    </xf>
    <xf numFmtId="2" fontId="55" fillId="0" borderId="28" xfId="34" applyFont="1" applyFill="1" applyBorder="1" applyAlignment="1">
      <alignment horizontal="left" vertical="center" wrapText="1"/>
    </xf>
    <xf numFmtId="2" fontId="55" fillId="0" borderId="9" xfId="34" applyFont="1" applyFill="1" applyBorder="1" applyAlignment="1">
      <alignment horizontal="left" vertical="center" wrapText="1"/>
    </xf>
    <xf numFmtId="2" fontId="55" fillId="0" borderId="47" xfId="34" applyFont="1" applyFill="1" applyBorder="1" applyAlignment="1">
      <alignment horizontal="left" vertical="center" wrapText="1"/>
    </xf>
    <xf numFmtId="2" fontId="50" fillId="3" borderId="1" xfId="34" applyFont="1" applyFill="1" applyBorder="1" applyAlignment="1">
      <alignment horizontal="center" vertical="center" wrapText="1"/>
    </xf>
    <xf numFmtId="2" fontId="50" fillId="3" borderId="2" xfId="34" applyFont="1" applyFill="1" applyBorder="1" applyAlignment="1">
      <alignment horizontal="center" vertical="center" wrapText="1"/>
    </xf>
    <xf numFmtId="2" fontId="50" fillId="3" borderId="3" xfId="34" applyFont="1" applyFill="1" applyBorder="1" applyAlignment="1">
      <alignment horizontal="center" vertical="center" wrapText="1"/>
    </xf>
    <xf numFmtId="2" fontId="50" fillId="3" borderId="4" xfId="34" applyFont="1" applyFill="1" applyBorder="1" applyAlignment="1">
      <alignment horizontal="center" vertical="center" wrapText="1"/>
    </xf>
    <xf numFmtId="2" fontId="50" fillId="3" borderId="0" xfId="34" applyFont="1" applyFill="1" applyBorder="1" applyAlignment="1">
      <alignment horizontal="center" vertical="center" wrapText="1"/>
    </xf>
    <xf numFmtId="2" fontId="50" fillId="3" borderId="5" xfId="34" applyFont="1" applyFill="1" applyBorder="1" applyAlignment="1">
      <alignment horizontal="center" vertical="center" wrapText="1"/>
    </xf>
    <xf numFmtId="2" fontId="50" fillId="3" borderId="7" xfId="34" applyFont="1" applyFill="1" applyBorder="1" applyAlignment="1">
      <alignment horizontal="center" vertical="center" wrapText="1"/>
    </xf>
    <xf numFmtId="2" fontId="50" fillId="3" borderId="6" xfId="34" applyFont="1" applyFill="1" applyBorder="1" applyAlignment="1">
      <alignment horizontal="center" vertical="center" wrapText="1"/>
    </xf>
    <xf numFmtId="2" fontId="50" fillId="3" borderId="8" xfId="34" applyFont="1" applyFill="1" applyBorder="1" applyAlignment="1">
      <alignment horizontal="center" vertical="center" wrapText="1"/>
    </xf>
    <xf numFmtId="0" fontId="54" fillId="0" borderId="4" xfId="35" applyFont="1" applyFill="1" applyBorder="1" applyAlignment="1">
      <alignment horizontal="center" vertical="center"/>
    </xf>
    <xf numFmtId="0" fontId="54" fillId="0" borderId="7" xfId="35" applyFont="1" applyFill="1" applyBorder="1" applyAlignment="1">
      <alignment horizontal="center" vertical="center"/>
    </xf>
    <xf numFmtId="4" fontId="57" fillId="0" borderId="9" xfId="34" applyNumberFormat="1" applyFont="1" applyFill="1" applyBorder="1" applyAlignment="1">
      <alignment horizontal="center" vertical="center" wrapText="1"/>
    </xf>
    <xf numFmtId="2" fontId="59" fillId="0" borderId="9" xfId="34" applyFont="1" applyFill="1" applyBorder="1" applyAlignment="1">
      <alignment horizontal="left" vertical="center" wrapText="1"/>
    </xf>
    <xf numFmtId="4" fontId="57" fillId="9" borderId="9" xfId="37" applyNumberFormat="1" applyFont="1" applyFill="1" applyBorder="1" applyAlignment="1">
      <alignment horizontal="center" vertical="center"/>
    </xf>
    <xf numFmtId="2" fontId="59" fillId="0" borderId="9" xfId="34" applyFont="1" applyBorder="1" applyAlignment="1">
      <alignment horizontal="center" vertical="center"/>
    </xf>
    <xf numFmtId="2" fontId="59" fillId="0" borderId="9" xfId="34" quotePrefix="1" applyFont="1" applyBorder="1" applyAlignment="1">
      <alignment horizontal="center" vertical="center"/>
    </xf>
    <xf numFmtId="2" fontId="57" fillId="0" borderId="43" xfId="34" applyFont="1" applyBorder="1" applyAlignment="1">
      <alignment horizontal="center" vertical="center"/>
    </xf>
    <xf numFmtId="2" fontId="57" fillId="0" borderId="60" xfId="34" applyFont="1" applyBorder="1" applyAlignment="1">
      <alignment horizontal="center" vertical="center"/>
    </xf>
    <xf numFmtId="2" fontId="57" fillId="0" borderId="44" xfId="34" applyFont="1" applyBorder="1" applyAlignment="1">
      <alignment horizontal="center" vertical="center"/>
    </xf>
    <xf numFmtId="2" fontId="57" fillId="0" borderId="57" xfId="34" applyFont="1" applyBorder="1" applyAlignment="1">
      <alignment horizontal="center" vertical="center"/>
    </xf>
    <xf numFmtId="2" fontId="54" fillId="0" borderId="58" xfId="34" applyFont="1" applyBorder="1" applyAlignment="1">
      <alignment horizontal="center" vertical="center"/>
    </xf>
    <xf numFmtId="2" fontId="54" fillId="0" borderId="59" xfId="34" applyFont="1" applyBorder="1" applyAlignment="1">
      <alignment horizontal="center" vertical="center"/>
    </xf>
    <xf numFmtId="0" fontId="38" fillId="0" borderId="0" xfId="15" applyFont="1" applyAlignment="1">
      <alignment horizontal="center" vertical="center"/>
    </xf>
    <xf numFmtId="0" fontId="4" fillId="0" borderId="18" xfId="15" applyFont="1" applyBorder="1" applyAlignment="1">
      <alignment horizontal="center"/>
    </xf>
    <xf numFmtId="0" fontId="4" fillId="0" borderId="20" xfId="15" applyFont="1" applyBorder="1" applyAlignment="1">
      <alignment horizontal="center"/>
    </xf>
    <xf numFmtId="0" fontId="4" fillId="0" borderId="18" xfId="15" applyFont="1" applyBorder="1" applyAlignment="1">
      <alignment horizontal="right"/>
    </xf>
    <xf numFmtId="0" fontId="4" fillId="0" borderId="20" xfId="15" applyFont="1" applyBorder="1" applyAlignment="1">
      <alignment horizontal="right"/>
    </xf>
    <xf numFmtId="0" fontId="26" fillId="0" borderId="18" xfId="15" applyFont="1" applyBorder="1" applyAlignment="1">
      <alignment horizontal="right"/>
    </xf>
    <xf numFmtId="0" fontId="26" fillId="0" borderId="20" xfId="15" applyFont="1" applyBorder="1" applyAlignment="1">
      <alignment horizontal="right"/>
    </xf>
    <xf numFmtId="0" fontId="3" fillId="0" borderId="35" xfId="5" applyFont="1" applyFill="1" applyBorder="1" applyAlignment="1">
      <alignment horizontal="left" vertical="center"/>
    </xf>
    <xf numFmtId="0" fontId="3" fillId="0" borderId="9" xfId="5" applyFont="1" applyFill="1" applyBorder="1" applyAlignment="1">
      <alignment horizontal="left" vertical="center"/>
    </xf>
    <xf numFmtId="0" fontId="3" fillId="0" borderId="9" xfId="5" applyFont="1" applyFill="1" applyBorder="1" applyAlignment="1">
      <alignment horizontal="center" vertical="center"/>
    </xf>
    <xf numFmtId="0" fontId="3" fillId="0" borderId="36" xfId="5" applyFont="1" applyFill="1" applyBorder="1" applyAlignment="1">
      <alignment horizontal="center" vertical="center"/>
    </xf>
    <xf numFmtId="0" fontId="25" fillId="6" borderId="27" xfId="5" applyFont="1" applyFill="1" applyBorder="1" applyAlignment="1">
      <alignment horizontal="center" vertical="center"/>
    </xf>
    <xf numFmtId="0" fontId="25" fillId="6" borderId="28" xfId="5" applyFont="1" applyFill="1" applyBorder="1" applyAlignment="1">
      <alignment horizontal="center" vertical="center"/>
    </xf>
    <xf numFmtId="0" fontId="25" fillId="6" borderId="29" xfId="5" applyFont="1" applyFill="1" applyBorder="1" applyAlignment="1">
      <alignment horizontal="center" vertical="center"/>
    </xf>
    <xf numFmtId="0" fontId="25" fillId="6" borderId="30" xfId="5" applyFont="1" applyFill="1" applyBorder="1" applyAlignment="1">
      <alignment horizontal="center" vertical="center"/>
    </xf>
    <xf numFmtId="0" fontId="25" fillId="6" borderId="31" xfId="5" applyFont="1" applyFill="1" applyBorder="1" applyAlignment="1">
      <alignment horizontal="center" vertical="center"/>
    </xf>
    <xf numFmtId="0" fontId="25" fillId="6" borderId="32" xfId="5" applyFont="1" applyFill="1" applyBorder="1" applyAlignment="1">
      <alignment horizontal="center" vertical="center"/>
    </xf>
    <xf numFmtId="0" fontId="26" fillId="0" borderId="27" xfId="5" applyFont="1" applyFill="1" applyBorder="1" applyAlignment="1">
      <alignment horizontal="center" vertical="center" wrapText="1"/>
    </xf>
    <xf numFmtId="0" fontId="26" fillId="0" borderId="28" xfId="5" applyFont="1" applyFill="1" applyBorder="1" applyAlignment="1">
      <alignment horizontal="center" vertical="center" wrapText="1"/>
    </xf>
    <xf numFmtId="0" fontId="26" fillId="0" borderId="29" xfId="5" applyFont="1" applyFill="1" applyBorder="1" applyAlignment="1">
      <alignment horizontal="center" vertical="center" wrapText="1"/>
    </xf>
    <xf numFmtId="0" fontId="4" fillId="0" borderId="33" xfId="5" applyFont="1" applyFill="1" applyBorder="1" applyAlignment="1">
      <alignment horizontal="left" vertical="center"/>
    </xf>
    <xf numFmtId="0" fontId="4" fillId="0" borderId="19" xfId="5" applyFont="1" applyFill="1" applyBorder="1" applyAlignment="1">
      <alignment horizontal="left" vertical="center"/>
    </xf>
    <xf numFmtId="166" fontId="4" fillId="0" borderId="19" xfId="5" applyNumberFormat="1" applyFont="1" applyFill="1" applyBorder="1" applyAlignment="1">
      <alignment horizontal="center" vertical="center"/>
    </xf>
    <xf numFmtId="166" fontId="4" fillId="0" borderId="34" xfId="5" applyNumberFormat="1" applyFont="1" applyFill="1" applyBorder="1" applyAlignment="1">
      <alignment horizontal="center" vertical="center"/>
    </xf>
    <xf numFmtId="0" fontId="4" fillId="0" borderId="35" xfId="5" applyFont="1" applyFill="1" applyBorder="1" applyAlignment="1">
      <alignment horizontal="left" vertical="center"/>
    </xf>
    <xf numFmtId="0" fontId="4" fillId="0" borderId="9" xfId="5" applyFont="1" applyFill="1" applyBorder="1" applyAlignment="1">
      <alignment horizontal="left" vertical="center"/>
    </xf>
    <xf numFmtId="0" fontId="4" fillId="0" borderId="36" xfId="5" applyFont="1" applyFill="1" applyBorder="1" applyAlignment="1">
      <alignment horizontal="left" vertical="center"/>
    </xf>
    <xf numFmtId="10" fontId="4" fillId="0" borderId="9" xfId="5" applyNumberFormat="1" applyFont="1" applyFill="1" applyBorder="1" applyAlignment="1">
      <alignment horizontal="center" vertical="center"/>
    </xf>
    <xf numFmtId="0" fontId="4" fillId="0" borderId="9" xfId="5" applyFont="1" applyFill="1" applyBorder="1" applyAlignment="1">
      <alignment horizontal="center" vertical="center"/>
    </xf>
    <xf numFmtId="0" fontId="4" fillId="0" borderId="36" xfId="5" applyFont="1" applyFill="1" applyBorder="1" applyAlignment="1">
      <alignment horizontal="center" vertical="center"/>
    </xf>
    <xf numFmtId="0" fontId="4" fillId="0" borderId="34" xfId="5" applyFont="1" applyFill="1" applyBorder="1" applyAlignment="1">
      <alignment horizontal="left" vertical="center"/>
    </xf>
    <xf numFmtId="10" fontId="3" fillId="0" borderId="9" xfId="5" applyNumberFormat="1" applyFont="1" applyFill="1" applyBorder="1" applyAlignment="1">
      <alignment horizontal="center" vertical="center"/>
    </xf>
    <xf numFmtId="0" fontId="3" fillId="0" borderId="35" xfId="5" applyFont="1" applyFill="1" applyBorder="1" applyAlignment="1">
      <alignment horizontal="left"/>
    </xf>
    <xf numFmtId="0" fontId="3" fillId="0" borderId="9" xfId="5" applyFont="1" applyFill="1" applyBorder="1" applyAlignment="1">
      <alignment horizontal="left"/>
    </xf>
    <xf numFmtId="10" fontId="3" fillId="0" borderId="9" xfId="5" applyNumberFormat="1" applyFont="1" applyFill="1" applyBorder="1" applyAlignment="1">
      <alignment horizontal="center"/>
    </xf>
    <xf numFmtId="0" fontId="3" fillId="0" borderId="9" xfId="5" applyFont="1" applyFill="1" applyBorder="1" applyAlignment="1">
      <alignment horizontal="center"/>
    </xf>
    <xf numFmtId="0" fontId="3" fillId="0" borderId="36" xfId="5" applyFont="1" applyFill="1" applyBorder="1" applyAlignment="1">
      <alignment horizontal="center"/>
    </xf>
    <xf numFmtId="167" fontId="4" fillId="0" borderId="19" xfId="6" applyNumberFormat="1" applyFont="1" applyFill="1" applyBorder="1" applyAlignment="1">
      <alignment horizontal="center"/>
    </xf>
    <xf numFmtId="167" fontId="4" fillId="0" borderId="34" xfId="6" applyNumberFormat="1" applyFont="1" applyFill="1" applyBorder="1" applyAlignment="1">
      <alignment horizontal="center"/>
    </xf>
    <xf numFmtId="0" fontId="27" fillId="0" borderId="37" xfId="5" applyFont="1" applyFill="1" applyBorder="1" applyAlignment="1">
      <alignment horizontal="center" vertical="center"/>
    </xf>
    <xf numFmtId="0" fontId="27" fillId="0" borderId="11" xfId="5" applyFont="1" applyFill="1" applyBorder="1" applyAlignment="1">
      <alignment horizontal="center" vertical="center"/>
    </xf>
    <xf numFmtId="0" fontId="4" fillId="0" borderId="11" xfId="5" applyFont="1" applyFill="1" applyBorder="1" applyAlignment="1">
      <alignment horizontal="right" vertical="center"/>
    </xf>
    <xf numFmtId="0" fontId="4" fillId="0" borderId="12" xfId="5" applyFont="1" applyFill="1" applyBorder="1" applyAlignment="1">
      <alignment horizontal="right" vertical="center"/>
    </xf>
    <xf numFmtId="0" fontId="3" fillId="0" borderId="18" xfId="5" applyFont="1" applyFill="1" applyBorder="1" applyAlignment="1">
      <alignment horizontal="left" vertical="center"/>
    </xf>
    <xf numFmtId="0" fontId="3" fillId="0" borderId="19" xfId="5" applyFont="1" applyFill="1" applyBorder="1" applyAlignment="1">
      <alignment horizontal="left" vertical="center"/>
    </xf>
    <xf numFmtId="0" fontId="3" fillId="0" borderId="34" xfId="5" applyFont="1" applyFill="1" applyBorder="1" applyAlignment="1">
      <alignment horizontal="left" vertical="center"/>
    </xf>
    <xf numFmtId="0" fontId="29" fillId="0" borderId="4" xfId="5" applyFont="1" applyFill="1" applyBorder="1" applyAlignment="1">
      <alignment horizontal="center"/>
    </xf>
    <xf numFmtId="0" fontId="29" fillId="0" borderId="0" xfId="5" applyFont="1" applyFill="1" applyBorder="1" applyAlignment="1">
      <alignment horizontal="center"/>
    </xf>
    <xf numFmtId="0" fontId="29" fillId="0" borderId="14" xfId="5" applyFont="1" applyFill="1" applyBorder="1" applyAlignment="1">
      <alignment horizontal="center"/>
    </xf>
    <xf numFmtId="0" fontId="3" fillId="0" borderId="18" xfId="5" applyFont="1" applyFill="1" applyBorder="1" applyAlignment="1">
      <alignment horizontal="left" vertical="center" wrapText="1"/>
    </xf>
    <xf numFmtId="0" fontId="3" fillId="0" borderId="18" xfId="5" applyNumberFormat="1" applyFont="1" applyFill="1" applyBorder="1" applyAlignment="1">
      <alignment horizontal="justify" vertical="center" wrapText="1"/>
    </xf>
    <xf numFmtId="0" fontId="3" fillId="0" borderId="19" xfId="5" applyNumberFormat="1" applyFont="1" applyFill="1" applyBorder="1" applyAlignment="1">
      <alignment horizontal="justify" vertical="center" wrapText="1"/>
    </xf>
    <xf numFmtId="0" fontId="3" fillId="0" borderId="34" xfId="5" applyNumberFormat="1" applyFont="1" applyFill="1" applyBorder="1" applyAlignment="1">
      <alignment horizontal="justify" vertical="center" wrapText="1"/>
    </xf>
    <xf numFmtId="0" fontId="3" fillId="0" borderId="19" xfId="5" applyFont="1" applyFill="1" applyBorder="1" applyAlignment="1">
      <alignment horizontal="left" vertical="center" wrapText="1"/>
    </xf>
    <xf numFmtId="0" fontId="3" fillId="0" borderId="34" xfId="5" applyFont="1" applyFill="1" applyBorder="1" applyAlignment="1">
      <alignment horizontal="left" vertical="center" wrapText="1"/>
    </xf>
    <xf numFmtId="0" fontId="30" fillId="0" borderId="4" xfId="5" applyFont="1" applyFill="1" applyBorder="1" applyAlignment="1">
      <alignment horizontal="center" vertical="top"/>
    </xf>
    <xf numFmtId="0" fontId="30" fillId="0" borderId="0" xfId="5" applyFont="1" applyFill="1" applyBorder="1" applyAlignment="1">
      <alignment horizontal="center" vertical="top"/>
    </xf>
    <xf numFmtId="0" fontId="30" fillId="0" borderId="14" xfId="5" applyFont="1" applyFill="1" applyBorder="1" applyAlignment="1">
      <alignment horizontal="center" vertical="top"/>
    </xf>
    <xf numFmtId="0" fontId="30" fillId="0" borderId="38" xfId="5" applyFont="1" applyFill="1" applyBorder="1" applyAlignment="1">
      <alignment horizontal="center" vertical="top"/>
    </xf>
    <xf numFmtId="0" fontId="30" fillId="0" borderId="16" xfId="5" applyFont="1" applyFill="1" applyBorder="1" applyAlignment="1">
      <alignment horizontal="center" vertical="top"/>
    </xf>
    <xf numFmtId="0" fontId="30" fillId="0" borderId="17" xfId="5" applyFont="1" applyFill="1" applyBorder="1" applyAlignment="1">
      <alignment horizontal="center" vertical="top"/>
    </xf>
    <xf numFmtId="49" fontId="3" fillId="0" borderId="18" xfId="5" applyNumberFormat="1" applyFont="1" applyFill="1" applyBorder="1" applyAlignment="1">
      <alignment horizontal="justify" vertical="center" shrinkToFit="1"/>
    </xf>
    <xf numFmtId="49" fontId="3" fillId="0" borderId="19" xfId="5" applyNumberFormat="1" applyFont="1" applyFill="1" applyBorder="1" applyAlignment="1">
      <alignment horizontal="justify" vertical="center" shrinkToFit="1"/>
    </xf>
    <xf numFmtId="49" fontId="3" fillId="0" borderId="34" xfId="5" applyNumberFormat="1" applyFont="1" applyFill="1" applyBorder="1" applyAlignment="1">
      <alignment horizontal="justify" vertical="center" shrinkToFit="1"/>
    </xf>
    <xf numFmtId="0" fontId="3" fillId="0" borderId="18" xfId="5" applyFont="1" applyFill="1" applyBorder="1" applyAlignment="1">
      <alignment horizontal="justify" vertical="center" shrinkToFit="1"/>
    </xf>
    <xf numFmtId="0" fontId="3" fillId="0" borderId="19" xfId="5" applyFont="1" applyFill="1" applyBorder="1" applyAlignment="1">
      <alignment horizontal="justify" vertical="center" shrinkToFit="1"/>
    </xf>
    <xf numFmtId="0" fontId="3" fillId="0" borderId="34" xfId="5" applyFont="1" applyFill="1" applyBorder="1" applyAlignment="1">
      <alignment horizontal="justify" vertical="center" shrinkToFit="1"/>
    </xf>
    <xf numFmtId="0" fontId="32" fillId="0" borderId="33" xfId="5" applyFont="1" applyFill="1" applyBorder="1" applyAlignment="1">
      <alignment horizontal="left" vertical="center"/>
    </xf>
    <xf numFmtId="0" fontId="32" fillId="0" borderId="19" xfId="5" applyFont="1" applyFill="1" applyBorder="1" applyAlignment="1">
      <alignment horizontal="left" vertical="center"/>
    </xf>
    <xf numFmtId="0" fontId="3" fillId="0" borderId="37" xfId="5" applyFont="1" applyFill="1" applyBorder="1" applyAlignment="1">
      <alignment horizontal="left" vertical="center"/>
    </xf>
    <xf numFmtId="0" fontId="3" fillId="0" borderId="11" xfId="5" applyFont="1" applyFill="1" applyBorder="1" applyAlignment="1">
      <alignment horizontal="left" vertical="center"/>
    </xf>
    <xf numFmtId="0" fontId="4" fillId="7" borderId="35" xfId="5" applyFont="1" applyFill="1" applyBorder="1" applyAlignment="1">
      <alignment horizontal="center"/>
    </xf>
    <xf numFmtId="0" fontId="4" fillId="7" borderId="9" xfId="5" applyFont="1" applyFill="1" applyBorder="1" applyAlignment="1">
      <alignment horizontal="center"/>
    </xf>
    <xf numFmtId="0" fontId="4" fillId="7" borderId="36" xfId="5" applyFont="1" applyFill="1" applyBorder="1" applyAlignment="1">
      <alignment horizontal="center"/>
    </xf>
    <xf numFmtId="0" fontId="4" fillId="0" borderId="35" xfId="5" applyFont="1" applyFill="1" applyBorder="1" applyAlignment="1">
      <alignment horizontal="center" vertical="center"/>
    </xf>
    <xf numFmtId="10" fontId="3" fillId="0" borderId="36" xfId="5" applyNumberFormat="1" applyFont="1" applyFill="1" applyBorder="1" applyAlignment="1">
      <alignment horizontal="center" vertical="center"/>
    </xf>
    <xf numFmtId="10" fontId="3" fillId="0" borderId="36" xfId="5" applyNumberFormat="1" applyFont="1" applyFill="1" applyBorder="1" applyAlignment="1">
      <alignment horizontal="center"/>
    </xf>
    <xf numFmtId="10" fontId="4" fillId="0" borderId="36" xfId="5" applyNumberFormat="1" applyFont="1" applyFill="1" applyBorder="1" applyAlignment="1">
      <alignment horizontal="center" vertical="center"/>
    </xf>
    <xf numFmtId="0" fontId="35" fillId="0" borderId="37" xfId="5" applyFont="1" applyFill="1" applyBorder="1" applyAlignment="1">
      <alignment horizontal="center" vertical="center" wrapText="1" shrinkToFit="1"/>
    </xf>
    <xf numFmtId="0" fontId="35" fillId="0" borderId="11" xfId="5" applyFont="1" applyFill="1" applyBorder="1" applyAlignment="1">
      <alignment horizontal="center" vertical="center" wrapText="1" shrinkToFit="1"/>
    </xf>
    <xf numFmtId="0" fontId="35" fillId="0" borderId="39" xfId="5" applyFont="1" applyFill="1" applyBorder="1" applyAlignment="1">
      <alignment horizontal="center" vertical="center" wrapText="1" shrinkToFit="1"/>
    </xf>
    <xf numFmtId="0" fontId="35" fillId="0" borderId="7" xfId="5" applyFont="1" applyFill="1" applyBorder="1" applyAlignment="1">
      <alignment horizontal="center" vertical="center" wrapText="1" shrinkToFit="1"/>
    </xf>
    <xf numFmtId="0" fontId="35" fillId="0" borderId="6" xfId="5" applyFont="1" applyFill="1" applyBorder="1" applyAlignment="1">
      <alignment horizontal="center" vertical="center" wrapText="1" shrinkToFit="1"/>
    </xf>
    <xf numFmtId="0" fontId="35" fillId="0" borderId="8" xfId="5" applyFont="1" applyFill="1" applyBorder="1" applyAlignment="1">
      <alignment horizontal="center" vertical="center" wrapText="1" shrinkToFit="1"/>
    </xf>
  </cellXfs>
  <cellStyles count="39">
    <cellStyle name="Excel Built-in Normal" xfId="27"/>
    <cellStyle name="Hiperlink" xfId="26" builtinId="8"/>
    <cellStyle name="Moeda" xfId="3" builtinId="4"/>
    <cellStyle name="Moeda 2" xfId="22"/>
    <cellStyle name="Moeda 8" xfId="18"/>
    <cellStyle name="Normal" xfId="0" builtinId="0"/>
    <cellStyle name="Normal 10 2 2" xfId="15"/>
    <cellStyle name="Normal 12" xfId="10"/>
    <cellStyle name="Normal 15" xfId="5"/>
    <cellStyle name="Normal 15 2" xfId="20"/>
    <cellStyle name="Normal 155" xfId="25"/>
    <cellStyle name="Normal 16" xfId="36"/>
    <cellStyle name="Normal 160" xfId="28"/>
    <cellStyle name="Normal 173" xfId="33"/>
    <cellStyle name="Normal 2" xfId="21"/>
    <cellStyle name="Normal 2 2" xfId="2"/>
    <cellStyle name="Normal 2 2 2 2 2" xfId="11"/>
    <cellStyle name="Normal 2 4" xfId="12"/>
    <cellStyle name="Normal 2 4 2" xfId="16"/>
    <cellStyle name="Normal 3 2 2" xfId="7"/>
    <cellStyle name="Normal 85" xfId="30"/>
    <cellStyle name="Normal 86" xfId="29"/>
    <cellStyle name="Normal 87" xfId="32"/>
    <cellStyle name="Normal_CRONOGRAMA FÍSICO-FINANCEIRO PRAÇAS ABR08" xfId="34"/>
    <cellStyle name="Normal_Plan1" xfId="35"/>
    <cellStyle name="Porcentagem" xfId="4" builtinId="5"/>
    <cellStyle name="Porcentagem 2" xfId="23"/>
    <cellStyle name="Porcentagem 8" xfId="38"/>
    <cellStyle name="Separador de milhares [0] 2" xfId="14"/>
    <cellStyle name="Separador de milhares [0] 2 2" xfId="19"/>
    <cellStyle name="Separador de milhares 2" xfId="9"/>
    <cellStyle name="Vírgula" xfId="1" builtinId="3"/>
    <cellStyle name="Vírgula 11" xfId="37"/>
    <cellStyle name="Vírgula 2 2" xfId="8"/>
    <cellStyle name="Vírgula 2 2 2" xfId="6"/>
    <cellStyle name="Vírgula 2 4" xfId="13"/>
    <cellStyle name="Vírgula 2 4 2" xfId="17"/>
    <cellStyle name="Vírgula 4" xfId="31"/>
    <cellStyle name="Vírgula 5" xfId="24"/>
  </cellStyles>
  <dxfs count="4">
    <dxf>
      <fill>
        <patternFill>
          <bgColor indexed="23"/>
        </patternFill>
      </fill>
    </dxf>
    <dxf>
      <fill>
        <patternFill>
          <bgColor indexed="23"/>
        </patternFill>
      </fill>
    </dxf>
    <dxf>
      <fill>
        <patternFill>
          <bgColor indexed="23"/>
        </patternFill>
      </fill>
    </dxf>
    <dxf>
      <fill>
        <patternFill>
          <bgColor indexed="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3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2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28" Type="http://schemas.openxmlformats.org/officeDocument/2006/relationships/externalLink" Target="externalLinks/externalLink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5.xml"/><Relationship Id="rId30" Type="http://schemas.openxmlformats.org/officeDocument/2006/relationships/externalLink" Target="externalLinks/externalLink8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295275</xdr:colOff>
      <xdr:row>1</xdr:row>
      <xdr:rowOff>14007</xdr:rowOff>
    </xdr:from>
    <xdr:to>
      <xdr:col>1</xdr:col>
      <xdr:colOff>689610</xdr:colOff>
      <xdr:row>4</xdr:row>
      <xdr:rowOff>56029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04507"/>
          <a:ext cx="1559747" cy="6135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57149</xdr:colOff>
      <xdr:row>2</xdr:row>
      <xdr:rowOff>151838</xdr:rowOff>
    </xdr:from>
    <xdr:to>
      <xdr:col>11</xdr:col>
      <xdr:colOff>530598</xdr:colOff>
      <xdr:row>3</xdr:row>
      <xdr:rowOff>675713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8120" y="544044"/>
          <a:ext cx="2053478" cy="7143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135590</xdr:colOff>
      <xdr:row>2</xdr:row>
      <xdr:rowOff>185456</xdr:rowOff>
    </xdr:from>
    <xdr:to>
      <xdr:col>11</xdr:col>
      <xdr:colOff>609039</xdr:colOff>
      <xdr:row>3</xdr:row>
      <xdr:rowOff>709331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6561" y="577662"/>
          <a:ext cx="2053478" cy="71437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306481</xdr:colOff>
      <xdr:row>1</xdr:row>
      <xdr:rowOff>36419</xdr:rowOff>
    </xdr:from>
    <xdr:to>
      <xdr:col>1</xdr:col>
      <xdr:colOff>700816</xdr:colOff>
      <xdr:row>4</xdr:row>
      <xdr:rowOff>7844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481" y="226919"/>
          <a:ext cx="155638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113178</xdr:colOff>
      <xdr:row>2</xdr:row>
      <xdr:rowOff>140633</xdr:rowOff>
    </xdr:from>
    <xdr:to>
      <xdr:col>11</xdr:col>
      <xdr:colOff>586627</xdr:colOff>
      <xdr:row>3</xdr:row>
      <xdr:rowOff>664508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4149" y="532839"/>
          <a:ext cx="2053478" cy="71437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306481</xdr:colOff>
      <xdr:row>1</xdr:row>
      <xdr:rowOff>36419</xdr:rowOff>
    </xdr:from>
    <xdr:to>
      <xdr:col>1</xdr:col>
      <xdr:colOff>700816</xdr:colOff>
      <xdr:row>4</xdr:row>
      <xdr:rowOff>7844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481" y="226919"/>
          <a:ext cx="155638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90767</xdr:colOff>
      <xdr:row>2</xdr:row>
      <xdr:rowOff>118222</xdr:rowOff>
    </xdr:from>
    <xdr:to>
      <xdr:col>11</xdr:col>
      <xdr:colOff>564216</xdr:colOff>
      <xdr:row>3</xdr:row>
      <xdr:rowOff>642097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01092" y="508747"/>
          <a:ext cx="2045074" cy="71437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306481</xdr:colOff>
      <xdr:row>1</xdr:row>
      <xdr:rowOff>36419</xdr:rowOff>
    </xdr:from>
    <xdr:to>
      <xdr:col>1</xdr:col>
      <xdr:colOff>700816</xdr:colOff>
      <xdr:row>4</xdr:row>
      <xdr:rowOff>7844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481" y="226919"/>
          <a:ext cx="155638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57149</xdr:colOff>
      <xdr:row>1</xdr:row>
      <xdr:rowOff>28574</xdr:rowOff>
    </xdr:from>
    <xdr:to>
      <xdr:col>11</xdr:col>
      <xdr:colOff>530597</xdr:colOff>
      <xdr:row>3</xdr:row>
      <xdr:rowOff>361949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6999" y="228599"/>
          <a:ext cx="2045073" cy="71437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567169</xdr:colOff>
      <xdr:row>1</xdr:row>
      <xdr:rowOff>259771</xdr:rowOff>
    </xdr:from>
    <xdr:to>
      <xdr:col>6</xdr:col>
      <xdr:colOff>2424544</xdr:colOff>
      <xdr:row>5</xdr:row>
      <xdr:rowOff>531091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1442" y="502226"/>
          <a:ext cx="4905375" cy="2020456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75011</xdr:colOff>
      <xdr:row>0</xdr:row>
      <xdr:rowOff>0</xdr:rowOff>
    </xdr:from>
    <xdr:to>
      <xdr:col>22</xdr:col>
      <xdr:colOff>422213</xdr:colOff>
      <xdr:row>10</xdr:row>
      <xdr:rowOff>173567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1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639" t="27869" r="27956" b="23428"/>
        <a:stretch/>
      </xdr:blipFill>
      <xdr:spPr>
        <a:xfrm>
          <a:off x="9901636" y="0"/>
          <a:ext cx="4903327" cy="2173817"/>
        </a:xfrm>
        <a:prstGeom prst="rect">
          <a:avLst/>
        </a:prstGeom>
      </xdr:spPr>
    </xdr:pic>
    <xdr:clientData/>
  </xdr:twoCellAnchor>
  <xdr:twoCellAnchor editAs="oneCell">
    <xdr:from>
      <xdr:col>16</xdr:col>
      <xdr:colOff>31751</xdr:colOff>
      <xdr:row>10</xdr:row>
      <xdr:rowOff>151343</xdr:rowOff>
    </xdr:from>
    <xdr:to>
      <xdr:col>23</xdr:col>
      <xdr:colOff>92622</xdr:colOff>
      <xdr:row>25</xdr:row>
      <xdr:rowOff>441514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00000000-0008-0000-14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1721" t="19244" r="21334" b="16511"/>
        <a:stretch/>
      </xdr:blipFill>
      <xdr:spPr>
        <a:xfrm>
          <a:off x="9394826" y="2142068"/>
          <a:ext cx="5251996" cy="3315759"/>
        </a:xfrm>
        <a:prstGeom prst="rect">
          <a:avLst/>
        </a:prstGeom>
      </xdr:spPr>
    </xdr:pic>
    <xdr:clientData/>
  </xdr:twoCellAnchor>
  <xdr:twoCellAnchor editAs="oneCell">
    <xdr:from>
      <xdr:col>16</xdr:col>
      <xdr:colOff>52918</xdr:colOff>
      <xdr:row>25</xdr:row>
      <xdr:rowOff>37654</xdr:rowOff>
    </xdr:from>
    <xdr:to>
      <xdr:col>22</xdr:col>
      <xdr:colOff>590550</xdr:colOff>
      <xdr:row>33</xdr:row>
      <xdr:rowOff>28512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14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1884" t="39067" r="21334" b="17525"/>
        <a:stretch/>
      </xdr:blipFill>
      <xdr:spPr>
        <a:xfrm>
          <a:off x="9415993" y="4885879"/>
          <a:ext cx="5119157" cy="2230354"/>
        </a:xfrm>
        <a:prstGeom prst="rect">
          <a:avLst/>
        </a:prstGeom>
      </xdr:spPr>
    </xdr:pic>
    <xdr:clientData/>
  </xdr:twoCellAnchor>
  <xdr:twoCellAnchor editAs="oneCell">
    <xdr:from>
      <xdr:col>16</xdr:col>
      <xdr:colOff>63501</xdr:colOff>
      <xdr:row>36</xdr:row>
      <xdr:rowOff>69696</xdr:rowOff>
    </xdr:from>
    <xdr:to>
      <xdr:col>20</xdr:col>
      <xdr:colOff>704851</xdr:colOff>
      <xdr:row>42</xdr:row>
      <xdr:rowOff>166158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xmlns="" id="{00000000-0008-0000-14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2941" t="25322" r="32316" b="47042"/>
        <a:stretch/>
      </xdr:blipFill>
      <xdr:spPr>
        <a:xfrm>
          <a:off x="9426576" y="7022946"/>
          <a:ext cx="3594100" cy="1239462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41</xdr:row>
      <xdr:rowOff>197908</xdr:rowOff>
    </xdr:from>
    <xdr:to>
      <xdr:col>21</xdr:col>
      <xdr:colOff>199658</xdr:colOff>
      <xdr:row>48</xdr:row>
      <xdr:rowOff>172509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xmlns="" id="{00000000-0008-0000-14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1883" t="40080" r="21822" b="27942"/>
        <a:stretch/>
      </xdr:blipFill>
      <xdr:spPr>
        <a:xfrm>
          <a:off x="9363075" y="8094133"/>
          <a:ext cx="4171583" cy="132715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57149</xdr:colOff>
      <xdr:row>1</xdr:row>
      <xdr:rowOff>28574</xdr:rowOff>
    </xdr:from>
    <xdr:to>
      <xdr:col>11</xdr:col>
      <xdr:colOff>530598</xdr:colOff>
      <xdr:row>3</xdr:row>
      <xdr:rowOff>361949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7474" y="228599"/>
          <a:ext cx="2047875" cy="7143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306481</xdr:colOff>
      <xdr:row>1</xdr:row>
      <xdr:rowOff>36419</xdr:rowOff>
    </xdr:from>
    <xdr:to>
      <xdr:col>1</xdr:col>
      <xdr:colOff>700816</xdr:colOff>
      <xdr:row>4</xdr:row>
      <xdr:rowOff>7844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481" y="226919"/>
          <a:ext cx="155638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90767</xdr:colOff>
      <xdr:row>2</xdr:row>
      <xdr:rowOff>118222</xdr:rowOff>
    </xdr:from>
    <xdr:to>
      <xdr:col>11</xdr:col>
      <xdr:colOff>564216</xdr:colOff>
      <xdr:row>3</xdr:row>
      <xdr:rowOff>642097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1738" y="510428"/>
          <a:ext cx="2053478" cy="7143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317687</xdr:colOff>
      <xdr:row>1</xdr:row>
      <xdr:rowOff>2801</xdr:rowOff>
    </xdr:from>
    <xdr:to>
      <xdr:col>1</xdr:col>
      <xdr:colOff>712022</xdr:colOff>
      <xdr:row>3</xdr:row>
      <xdr:rowOff>164726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687" y="193301"/>
          <a:ext cx="1559747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90767</xdr:colOff>
      <xdr:row>2</xdr:row>
      <xdr:rowOff>50985</xdr:rowOff>
    </xdr:from>
    <xdr:to>
      <xdr:col>11</xdr:col>
      <xdr:colOff>564216</xdr:colOff>
      <xdr:row>3</xdr:row>
      <xdr:rowOff>683558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1738" y="443191"/>
          <a:ext cx="2053478" cy="82307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306481</xdr:colOff>
      <xdr:row>1</xdr:row>
      <xdr:rowOff>36419</xdr:rowOff>
    </xdr:from>
    <xdr:to>
      <xdr:col>1</xdr:col>
      <xdr:colOff>700816</xdr:colOff>
      <xdr:row>4</xdr:row>
      <xdr:rowOff>7844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481" y="226919"/>
          <a:ext cx="155638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124384</xdr:colOff>
      <xdr:row>2</xdr:row>
      <xdr:rowOff>185456</xdr:rowOff>
    </xdr:from>
    <xdr:to>
      <xdr:col>11</xdr:col>
      <xdr:colOff>597833</xdr:colOff>
      <xdr:row>3</xdr:row>
      <xdr:rowOff>709331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5355" y="577662"/>
          <a:ext cx="2053478" cy="7143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306481</xdr:colOff>
      <xdr:row>1</xdr:row>
      <xdr:rowOff>36419</xdr:rowOff>
    </xdr:from>
    <xdr:to>
      <xdr:col>1</xdr:col>
      <xdr:colOff>338866</xdr:colOff>
      <xdr:row>4</xdr:row>
      <xdr:rowOff>7844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481" y="226919"/>
          <a:ext cx="155638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Sheet1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ISSAMSERV\rede\Applications\Microsoft%20Excel.app\COTESE031\Usuarios\DOC\Micro_ASHFORD\PLANILHAS%202001%20(TUDO)\PROJETO%20ALVORADA%202\ALVORADA%20COMPLETO\E.E%20E.F.M.%20de%20Alcantil%20-%20Alcanti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ISSAMSERV\rede\Home\C\Users\J&#250;nior\Downloads\Or&#231;amentos%20para%20composi&#231;&#227;o%20-%20SINAPI%20%20-%20JULHO2013\Biotecnologia\Biotecnologia%20-%20Pronto%20para%20Licitar\PLANILHA%20SINAPI%20-%20JULHO%202013%20(modificado%20por%20Romero)%20-%20TESTE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ISSAMSERV\rede\Applications\Microsoft%20Excel.app\COTESE031\Usuarios\DOC\Micro_ASHFORD\PLANILHAS%202001%20(TUDO)\PROJETO%20ALVORADA%202\ALVORADA%20COMPLETO\E.E%20E.F.M.%20Napole&#227;o%20A.%20N&#243;brega%20-%20S.%20Mamed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OSITIVO/Downloads/MANUTENC&#807;A&#771;O%20DAS%20ESCOLAS%20202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PMI/ACADEMIA%20SAUDE/Academia%20da%20Sa&#250;de/Lote%20III%20-%20Academia%20da%20Sa&#250;de%20-%20QUEBEC/MEDI&#199;&#213;ES/ADITIVO/MEMORIA%20DE%20CALCULO%20ADITIVO%20QUEBEC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OSITIVO/Downloads/MOCINHA%20BARBALHO%20OK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OSITIVO/Downloads/PLANILHA%20OR&#199;AMENT&#193;RIA%20PINTURA%20E%20AMPLIA&#199;&#195;O%20ESCOLA%20JULIO%20MARIA%20(1)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SOCIETY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or Out. 2001 - BDI=20% Ajust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HA GERAL - JULHO 2013"/>
      <sheetName val="COMPOSIÇÃO"/>
      <sheetName val="INSUMOS SINAPI - CONSULTA"/>
      <sheetName val="ENCARGOS SOCIAIS"/>
      <sheetName val="Composições"/>
    </sheet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orma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C. MUN. MONS. JULIO MARIA"/>
      <sheetName val="ESC. MUN. JANDUIR J. DE OLIVEIR"/>
      <sheetName val="CRECHE MUN. VOVÔ GENARO"/>
      <sheetName val="ESC. MUN. ANDRE VIDAL"/>
      <sheetName val="ESC. MUN. PROF. NIVALDO XAVIER"/>
      <sheetName val="ESC. MUN. PROF.  M. MADALENA"/>
      <sheetName val="RESUMO"/>
      <sheetName val="BDI"/>
      <sheetName val="COMPOSIÇÕ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9">
          <cell r="O29">
            <v>0.25215503759149449</v>
          </cell>
        </row>
      </sheetData>
      <sheetData sheetId="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HA ORÇAMENTÁRIA"/>
      <sheetName val="MEMÓRIA DE CÁLCULO"/>
      <sheetName val="COMPOSIÇÕES ANALÍTICAS"/>
      <sheetName val="TAB SINAPI JAN18 NÃO DESON."/>
      <sheetName val="TAB SINAPI JAN18 DESON."/>
    </sheetNames>
    <sheetDataSet>
      <sheetData sheetId="0">
        <row r="2">
          <cell r="E2" t="str">
            <v>PREFEITURA MUNICIPAL DE ITAMBÉ</v>
          </cell>
        </row>
        <row r="5">
          <cell r="J5">
            <v>43641</v>
          </cell>
        </row>
        <row r="6">
          <cell r="J6" t="e">
            <v>#REF!</v>
          </cell>
        </row>
        <row r="7">
          <cell r="J7" t="e">
            <v>#REF!</v>
          </cell>
        </row>
        <row r="8">
          <cell r="B8" t="str">
            <v>SINAPI - FEV/2019 DESONERADO</v>
          </cell>
          <cell r="J8" t="e">
            <v>#REF!</v>
          </cell>
        </row>
        <row r="11">
          <cell r="D11" t="str">
            <v>1.0</v>
          </cell>
          <cell r="E11" t="str">
            <v>SERVIÇOS PRELIMINARES</v>
          </cell>
        </row>
        <row r="12">
          <cell r="D12" t="str">
            <v>1.1</v>
          </cell>
          <cell r="E12" t="str">
            <v>PLACA DE OBRA EM CHAPA DE ACO GALVANIZADO</v>
          </cell>
          <cell r="F12" t="str">
            <v>M2</v>
          </cell>
        </row>
        <row r="13">
          <cell r="D13" t="str">
            <v>1.2</v>
          </cell>
          <cell r="E13" t="str">
            <v>LIMPEZA MECANIZADA DE TERRENO COM REMOCAO DE CAMADA VEGETAL, UTILIZANDO MOTONIVELADORA</v>
          </cell>
          <cell r="F13" t="str">
            <v>M2</v>
          </cell>
        </row>
        <row r="14">
          <cell r="D14" t="str">
            <v>1.3</v>
          </cell>
          <cell r="E14" t="str">
            <v>LOCAÇÃO DA OBRA - EXECUÇÃO DE GABARITO</v>
          </cell>
          <cell r="F14" t="str">
            <v>M2</v>
          </cell>
        </row>
        <row r="15">
          <cell r="D15" t="str">
            <v>2.0</v>
          </cell>
          <cell r="E15" t="str">
            <v>DEMOLIÇÕES</v>
          </cell>
        </row>
        <row r="16">
          <cell r="D16" t="str">
            <v>2.1</v>
          </cell>
          <cell r="E16" t="str">
            <v>DEMOLIÇÃO DE ALVENARIA DE BLOCO FURADO, SEM REAPROVEITAMENTO, INCLUSIVE REVESTIMENTO.</v>
          </cell>
          <cell r="F16" t="str">
            <v>M3</v>
          </cell>
        </row>
        <row r="17">
          <cell r="D17" t="str">
            <v>3.0</v>
          </cell>
          <cell r="E17" t="str">
            <v>TRABALHOS EM TERRA</v>
          </cell>
        </row>
        <row r="18">
          <cell r="D18" t="str">
            <v>3.1</v>
          </cell>
          <cell r="E18" t="str">
            <v>CORTE E ATERRO COMPENSADO</v>
          </cell>
          <cell r="F18" t="str">
            <v>M3</v>
          </cell>
        </row>
        <row r="19">
          <cell r="D19" t="str">
            <v>3.2</v>
          </cell>
          <cell r="E19" t="str">
            <v>ESCAVAÇÃO MANUAL DE VALA COM PROFUNDIDADE MENOR OU IGUAL A 1,30 M. AF_ 03/2016</v>
          </cell>
          <cell r="F19" t="str">
            <v>M3</v>
          </cell>
        </row>
        <row r="20">
          <cell r="D20" t="str">
            <v>3.3</v>
          </cell>
          <cell r="E20" t="str">
            <v>REATERRO MANUAL APILOADO COM SOQUETE</v>
          </cell>
          <cell r="F20" t="str">
            <v>M3</v>
          </cell>
        </row>
        <row r="21">
          <cell r="D21" t="str">
            <v>4.0</v>
          </cell>
          <cell r="E21" t="str">
            <v>FUNDAÇÃO</v>
          </cell>
        </row>
        <row r="22">
          <cell r="D22" t="str">
            <v>4.1</v>
          </cell>
          <cell r="E22" t="str">
            <v>LASTRO DE CONCRETO MAGRO, APLICADO EM BLOCOS DE COROAMENTO OU SAPATAS, ESPESSURA DE 5 CM. AF_08/2017</v>
          </cell>
          <cell r="F22" t="str">
            <v>M2</v>
          </cell>
        </row>
        <row r="23">
          <cell r="D23" t="str">
            <v>4.2</v>
          </cell>
          <cell r="E23" t="str">
            <v>EMBASAMENTO C/PEDRA ARGAMASSADA UTILIZANDO ARG.CIM/AREIA 1:4</v>
          </cell>
          <cell r="F23" t="str">
            <v>M3</v>
          </cell>
        </row>
        <row r="24">
          <cell r="D24" t="str">
            <v>4.3</v>
          </cell>
          <cell r="E24" t="str">
            <v>ALVENARIA DE EMBASAMENTO EM BLOCO CERAMICO, 8 FUROS, DE 9 X 19 X 19 CM, ASSENTADO COM ARGAMASSA TRACO 1:2:8 (CIMENTO, CAL E AREIA)</v>
          </cell>
          <cell r="F24" t="str">
            <v>M3</v>
          </cell>
        </row>
        <row r="25">
          <cell r="D25" t="str">
            <v>4.4</v>
          </cell>
          <cell r="E25" t="str">
            <v>ARMAÇÃO DE BLOCO, VIGA BALDRAME OU SAPATA UTILIZANDO AÇO CA-50 DE 10 MM - MONTAGEM. AF_06/2017</v>
          </cell>
          <cell r="F25" t="str">
            <v>KG</v>
          </cell>
        </row>
        <row r="26">
          <cell r="D26" t="str">
            <v>4.5</v>
          </cell>
          <cell r="E26" t="str">
            <v>CONCRETAGEM DE BLOCOS DE COROAMENTO E VIGAS BALDRAMES, FCK 30 MPA, COM USO DE BOMBA LANÇAMENTO, ADENSAMENTO E ACABAMENTO. AF_06/2017</v>
          </cell>
          <cell r="F26" t="str">
            <v>M3</v>
          </cell>
        </row>
        <row r="27">
          <cell r="D27" t="str">
            <v>4.6</v>
          </cell>
          <cell r="E27" t="str">
            <v>IMPERMEABILIZAÇÃO DE ESTRUTURAS ENTERRADAS, COM TINTA ASFALTICA, DUAS DEMAOS.</v>
          </cell>
          <cell r="F27" t="str">
            <v>M2</v>
          </cell>
        </row>
        <row r="28">
          <cell r="D28" t="str">
            <v>5.0</v>
          </cell>
          <cell r="E28" t="str">
            <v>ESTRUTURA EM CONCRETO ARMADO</v>
          </cell>
        </row>
        <row r="29">
          <cell r="D29" t="str">
            <v>5.1</v>
          </cell>
          <cell r="E29" t="str">
            <v>FORMA PLANA PARA PILARES, EM COMPENSADO RESINADO DE 14MM, 12 USOS, INCLUSIVE ESCORAMENTO</v>
          </cell>
          <cell r="F29" t="str">
            <v>M2</v>
          </cell>
        </row>
        <row r="30">
          <cell r="D30" t="str">
            <v>5.2</v>
          </cell>
          <cell r="E30" t="str">
            <v>ARMAÇÃO DE PILAR OU VIGA DE UMA ESTRUTURA CONVENCIONAL DE CONCRETO ARMADO EM UMA EDIFICAÇÃO TÉRREA OU SOBRADO UTILIZANDO AÇO CA-50 DE 10,0 MM - MONTAGEM. AF_12/2015</v>
          </cell>
          <cell r="F30" t="str">
            <v>KG</v>
          </cell>
        </row>
        <row r="31">
          <cell r="D31" t="str">
            <v>5.3</v>
          </cell>
          <cell r="E31" t="str">
            <v>ARMAÇÃO DE PILAR OU VIGA DE UMA ESTRUTURA CONVENCIONAL DE CONCRETO ARMADO EM UMA EDIFICAÇÃO TÉRREA OU SOBRADO UTILIZANDO AÇO CA-60 DE 5,0 MM - MONTAGEM. AF_12/2015</v>
          </cell>
          <cell r="F31" t="str">
            <v>KG</v>
          </cell>
        </row>
        <row r="32">
          <cell r="D32" t="str">
            <v>5.4</v>
          </cell>
          <cell r="E32" t="str">
            <v>CONCRETAGEM DE PILARES, FCK = 25 MPA, COM USO DE GRUA EM EDIFICAÇÃO COM SEÇÃO MÉDIA DE PILARES MAIOR QUE 0,25 M² - LANÇAMENTO, ADENSAMENTO E ACABAMENTO. AF_12/2015</v>
          </cell>
          <cell r="F32" t="str">
            <v>M3</v>
          </cell>
        </row>
        <row r="33">
          <cell r="D33" t="str">
            <v>5.5</v>
          </cell>
          <cell r="E33" t="str">
            <v>FORMA PLANA PARA VIGAS, EM COMPENSADO RESINADO DE 14MM, 12 USOS, INCLUSIVE ESCORAMENTO</v>
          </cell>
          <cell r="F33" t="str">
            <v>M2</v>
          </cell>
        </row>
        <row r="34">
          <cell r="D34" t="str">
            <v>5.6</v>
          </cell>
          <cell r="E34" t="str">
            <v>CONCRETAGEM DE VIGAS E LAJES, FCK=20 MPA, PARA LAJES MACIÇAS OU NERVURADAS COM GRUA DE CAÇAMBA DE 500 L EM EDIFICAÇÃO DE MULTIPAVIMENTOS ATÉ 16 ANDARES, COM ÁREA MÉDIA DE LAJES MAIOR QUE 20 M² - LANÇAMENTO, ADENSAMENTO E ACABAMENTO. AF_12/2015</v>
          </cell>
          <cell r="F34" t="str">
            <v>M3</v>
          </cell>
        </row>
        <row r="35">
          <cell r="D35" t="str">
            <v>5.7</v>
          </cell>
          <cell r="E35" t="str">
            <v>LAJE PRE-MOLDADA P/FORRO, SOBRECARGA 100KG/M2, VAOS ATE 3,50M/E=8CM, C/LAJOTAS E CAP.C/CONC FCK=20MPA, 3CM, INTER-EIXO 38CM, C/ESCORAMENTO (REAPR.3X) E FERRAGEM NEGATIVA</v>
          </cell>
          <cell r="F35" t="str">
            <v>M2</v>
          </cell>
        </row>
        <row r="36">
          <cell r="D36" t="str">
            <v>5.8</v>
          </cell>
          <cell r="E36" t="str">
            <v>IMPERMEABILIZAÇÃO DE PISO COM ARGAMASSA DE CIMENTO E AREIA, COM ADITIVO IMPERMEABILIZANTE, E = 2CM. AF_06/2018</v>
          </cell>
          <cell r="F36" t="str">
            <v>M2</v>
          </cell>
        </row>
        <row r="37">
          <cell r="D37" t="str">
            <v>5.9</v>
          </cell>
          <cell r="E37" t="str">
            <v>TAMPA DE CONCRETO ARMADO 60X60X5CM PARA CAIXA</v>
          </cell>
          <cell r="F37" t="str">
            <v>UND</v>
          </cell>
        </row>
        <row r="38">
          <cell r="D38" t="str">
            <v>5.10</v>
          </cell>
          <cell r="E38" t="str">
            <v>VERGA PRÉ-MOLDADA PARA JANELAS COM ATÉ 1,5 M DE VÃO. AF_03/2016</v>
          </cell>
          <cell r="F38" t="str">
            <v>M</v>
          </cell>
        </row>
        <row r="39">
          <cell r="D39" t="str">
            <v>5.11</v>
          </cell>
          <cell r="E39" t="str">
            <v>VERGA PRÉ-MOLDADA PARA PORTAS COM ATÉ 1,5 M DE VÃO. AF_03/2016</v>
          </cell>
          <cell r="F39" t="str">
            <v>M</v>
          </cell>
        </row>
        <row r="40">
          <cell r="D40" t="str">
            <v>5.12</v>
          </cell>
          <cell r="E40" t="str">
            <v>CONTRAVERGA PRÉ-MOLDADA PARA VÃOS DE ATÉ 1,5 M DE COMPRIMENTO. AF_03/2016</v>
          </cell>
          <cell r="F40" t="str">
            <v>M</v>
          </cell>
        </row>
        <row r="41">
          <cell r="D41" t="str">
            <v>6.0</v>
          </cell>
          <cell r="E41" t="str">
            <v>ALVENARIA DE VEDAÇÃO</v>
          </cell>
        </row>
        <row r="42">
          <cell r="D42" t="str">
            <v>6.1</v>
          </cell>
          <cell r="E42" t="str">
            <v>ALVENARIA DE BLOCO CERÂMICO FURADO (9x19x19)cm C/ARGAMASSA MISTA DE CAL HIDRATADA, ESP=9 cm</v>
          </cell>
          <cell r="F42" t="str">
            <v>M2</v>
          </cell>
        </row>
        <row r="44">
          <cell r="F44" t="str">
            <v>M2</v>
          </cell>
        </row>
        <row r="45">
          <cell r="F45" t="str">
            <v>M2</v>
          </cell>
        </row>
        <row r="49">
          <cell r="D49" t="str">
            <v>8.2</v>
          </cell>
          <cell r="E49" t="str">
            <v>EMBOÇO, PARA RECEBIMENTO DE CERÂMICA, EM ARGAMASSA TRAÇO 1:2:8, PREPARO MECÂNICO COM BETONEIRA 400L, APLICADO MANUALMENTE EM FACES INTERNAS DE PAREDES, PARA AMBIENTE COM ÁREA MAIOR QUE 10M2, ESPESSURA DE 10MM, COM EXECUÇÃO DE TALISCAS. AF_06/2014</v>
          </cell>
          <cell r="F49" t="str">
            <v>M2</v>
          </cell>
        </row>
        <row r="51">
          <cell r="F51" t="str">
            <v>M2</v>
          </cell>
        </row>
        <row r="68">
          <cell r="D68" t="str">
            <v>10.2</v>
          </cell>
          <cell r="E68" t="str">
            <v>FECHADURA DE EMBUTIR COM CILINDRO, EXTERNA, COMPLETA, ACABAMENTO PADRÃO POPULAR, INCLUSO EXECUÇÃO DE FURO - FORNECIMENTO E INSTALAÇÃO. AF_08/2015</v>
          </cell>
          <cell r="F68" t="str">
            <v>UND</v>
          </cell>
        </row>
        <row r="72">
          <cell r="D72" t="str">
            <v>11.2</v>
          </cell>
          <cell r="E72" t="str">
            <v>CAIXA D'ÁGUA EM POLIETILENO, 500 LITROS, COM ACESSÓRIOS.</v>
          </cell>
          <cell r="F72" t="str">
            <v>UND</v>
          </cell>
        </row>
        <row r="76">
          <cell r="D76" t="str">
            <v>11.6</v>
          </cell>
          <cell r="E76" t="str">
            <v>SIFÃO DO TIPO GARRAFA/COPO EM PVC 1.1/4 X 1.1/2" - FORNECIMENTO E INSTALAÇÃO. AF_12/2013</v>
          </cell>
          <cell r="F76" t="str">
            <v>UND</v>
          </cell>
        </row>
        <row r="78">
          <cell r="F78" t="str">
            <v>UND</v>
          </cell>
        </row>
        <row r="80">
          <cell r="D80" t="str">
            <v>11.10</v>
          </cell>
          <cell r="E80" t="str">
            <v>TORNEIRA CROMADA DE MESA, 1/2" OU 3/4", PARA LAVATÓRIO, PADRÃO POPULAR - FORNECIMENTO E INSTALAÇÃO. AF_12/2013</v>
          </cell>
          <cell r="F80" t="str">
            <v>UND</v>
          </cell>
        </row>
        <row r="83">
          <cell r="D83" t="str">
            <v>11.13</v>
          </cell>
          <cell r="E83" t="str">
            <v>JOELHO 45 GRAUS, PVC, SERIE NORMAL, ESGOTO PREDIAL, DN 40 MM, JUNTA SOLDÁVEL, FORNECIDO E INSTALADO EM RAMAL DE DESCARGA OU RAMAL DE ESGOTO SANITÁRIO. AF_12/2014.</v>
          </cell>
          <cell r="F83" t="str">
            <v>UND</v>
          </cell>
        </row>
        <row r="84">
          <cell r="D84" t="str">
            <v>11.14</v>
          </cell>
          <cell r="E84" t="str">
            <v>JOELHO 90 GRAUS, PVC, SERIE NORMAL, ESGOTO PREDIAL, DN 40 MM, JUNTA SOLDÁVEL, FORNECIDO E INSTALADO EM RAMAL DE DESCARGA OU RAMAL DE ESGOTO SANITÁRIO. AF_12/2014.</v>
          </cell>
          <cell r="F84" t="str">
            <v>UND</v>
          </cell>
        </row>
        <row r="85">
          <cell r="D85" t="str">
            <v>11.15</v>
          </cell>
          <cell r="E85" t="str">
            <v>TUBO PVC, SERIE NORMAL, ESGOTO PREDIAL, DN 40 MM, FORNECIDO E INSTALADO EM RAMAL DE DESCARGA OU RAMAL DE ESGOTO SANITÁRIO. AF_12/2014.</v>
          </cell>
          <cell r="F85" t="str">
            <v>M</v>
          </cell>
        </row>
        <row r="86">
          <cell r="D86" t="str">
            <v>11.16</v>
          </cell>
          <cell r="E86" t="str">
            <v>LUVA SIMPLES, PVC, SERIE NORMAL, ESGOTO PREDIAL, DN 40 MM, JUNTA SOLDÁVEL, FORNECIDO E INSTALADO EM RAMAL DE DESCARGA OU RAMAL DE ESGOTO SANITÁRIO. AF_12/2014</v>
          </cell>
          <cell r="F86" t="str">
            <v>UND</v>
          </cell>
        </row>
        <row r="87">
          <cell r="D87" t="str">
            <v>11.17</v>
          </cell>
          <cell r="E87" t="str">
            <v>TUBO PVC, SERIE NORMAL, ESGOTO PREDIAL, DN 50 MM, FORNECIDO E INSTALADO EM RAMAL DE DESCARGA OU RAMAL DE ESGOTO SANITÁRIO. AF_12/2014.</v>
          </cell>
          <cell r="F87" t="str">
            <v>M</v>
          </cell>
        </row>
        <row r="88">
          <cell r="D88" t="str">
            <v>11.18</v>
          </cell>
          <cell r="E88" t="str">
            <v>JOELHO 45 GRAUS, PVC, SERIE NORMAL, ESGOTO PREDIAL, DN 100 MM, JUNTA ELÁSTICA, FORNECIDO E INSTALADO EM RAMAL DE DESCARGA OU RAMAL DE ESGOTO SANITÁRIO. AF_12/2014.</v>
          </cell>
          <cell r="F88" t="str">
            <v>UND</v>
          </cell>
        </row>
        <row r="89">
          <cell r="D89" t="str">
            <v>11.19</v>
          </cell>
          <cell r="E89" t="str">
            <v>JOELHO 90 GRAUS, PVC, SERIE NORMAL, ESGOTO PREDIAL, DN 100 MM, JUNTA ELÁSTICA, FORNECIDO E INSTALADO EM RAMAL DE DESCARGA OU RAMAL DE ESGOTO SANITÁRIO. AF_12/2014.</v>
          </cell>
          <cell r="F89" t="str">
            <v>UND</v>
          </cell>
        </row>
        <row r="90">
          <cell r="D90" t="str">
            <v>11.20</v>
          </cell>
          <cell r="E90" t="str">
            <v>TUBO PVC, SERIE NORMAL, ESGOTO PREDIAL, DN 100 MM, FORNECIDO E INSTALADO EM RAMAL DE DESCARGA OU RAMAL DE ESGOTO SANITÁRIO. AF_12/2014</v>
          </cell>
          <cell r="F90" t="str">
            <v>M</v>
          </cell>
        </row>
        <row r="91">
          <cell r="D91" t="str">
            <v>11.21</v>
          </cell>
          <cell r="E91" t="str">
            <v>LUVA SIMPLES, PVC, SERIE NORMAL, ESGOTO PREDIAL, DN 100 MM, JUNTA ELÁSTICA, FORNECIDO E INSTALADO EM RAMAL DE DESCARGA OU RAMAL DE ESGOTO SANITÁRIO. AF_12/2014</v>
          </cell>
          <cell r="F91" t="str">
            <v>UND</v>
          </cell>
        </row>
        <row r="92">
          <cell r="D92" t="str">
            <v>11.22</v>
          </cell>
          <cell r="E92" t="str">
            <v>COLETOR PREDIAL DE ESGOTO, DA CAIXA ATÉ A REDE (DISTÂNCIA = 8 M, LARGURA DA VALA = 0,65 M), INCLUINDO ESCAVAÇÃO MECANIZADA, PREPARO DE FUNDO DE VALA E REATERRO COM COMPACTAÇÃO MECANIZADA, TUBO PVC P/ REDE COLETORA ESGOTO JEI DN 100 MM E CONEXÕES - FORNECIMENTO E INSTALAÇÃO. AF_03/2016</v>
          </cell>
          <cell r="F92" t="str">
            <v>UND</v>
          </cell>
        </row>
        <row r="93">
          <cell r="D93" t="str">
            <v>12.0</v>
          </cell>
          <cell r="E93" t="str">
            <v>INSTALAÇÕES ELÉTRICAS</v>
          </cell>
        </row>
        <row r="94">
          <cell r="D94" t="str">
            <v>12.1</v>
          </cell>
          <cell r="E94" t="str">
            <v>PONTO DE ILUMINAÇÃO RESIDENCIAL INCLUINDO INTERRUPTOR SIMPLES, CAIXA ELÉTRICA, ELETRODUTO, CABO, RASGO, QUEBRA E CHUMBAMENTO (EXCLUINDO LUMINÁRIA E LÂMPADA). AF_01/2016</v>
          </cell>
          <cell r="F94" t="str">
            <v>UND</v>
          </cell>
          <cell r="G94">
            <v>7</v>
          </cell>
        </row>
        <row r="95">
          <cell r="D95" t="str">
            <v>12.2</v>
          </cell>
          <cell r="E95" t="str">
            <v>PONTO DE TOMADA RESIDENCIAL INCLUINDO TOMADA (2 MÓDULOS) 10A/250V, CAIXA ELÉTRICA, ELETRODUTO, CABO, RASGO, QUEBRA E CHUMBAMENTO. AF_01/2016</v>
          </cell>
          <cell r="F95" t="str">
            <v>UND</v>
          </cell>
          <cell r="G95">
            <v>3</v>
          </cell>
        </row>
        <row r="96">
          <cell r="D96" t="str">
            <v>12.3</v>
          </cell>
          <cell r="E96" t="str">
            <v>POSTE DE ACO CONICO CONTINUO CURVO DUPLO, FLANGEADO, COM JANELA DE INSPECAO H=9M - FORNECIMENTO E INSTALACAO</v>
          </cell>
          <cell r="F96" t="str">
            <v>UND</v>
          </cell>
          <cell r="G96">
            <v>4</v>
          </cell>
        </row>
        <row r="97">
          <cell r="D97" t="str">
            <v>12.4</v>
          </cell>
          <cell r="E97" t="str">
            <v>QUADRO DE DISTRIBUICAO DE ENERGIA DE EMBUTIR, EM CHAPA METALICA, PARA 18 DISJUNTORES TERMOMAGNETICOS MONOPOLARES, COM BARRAMENTO TRIFASICO E NEUTRO, FORNECIMENTO E INSTALACAO</v>
          </cell>
          <cell r="F97" t="str">
            <v>UND</v>
          </cell>
          <cell r="G97">
            <v>1</v>
          </cell>
        </row>
        <row r="98">
          <cell r="D98" t="str">
            <v>12.5</v>
          </cell>
          <cell r="E98" t="str">
            <v>DISJUNTOR TERMOMAGNETICO MONOPOLAR PADRAO NEMA (AMERICANO) 10 A 30A 240V, FORNECIMENTO E INSTALACAO</v>
          </cell>
          <cell r="F98" t="str">
            <v>UND</v>
          </cell>
          <cell r="G98">
            <v>3</v>
          </cell>
        </row>
        <row r="99">
          <cell r="D99" t="str">
            <v>12.6</v>
          </cell>
          <cell r="E99" t="str">
            <v>DISJUNTOR TERMOMAGNETICO BIPOLAR PADRAO NEMA (AMERICANO) 10 A 50A 240V, FORNECIMENTO E INSTALACAO</v>
          </cell>
          <cell r="F99" t="str">
            <v>UND</v>
          </cell>
          <cell r="G99">
            <v>1</v>
          </cell>
        </row>
        <row r="100">
          <cell r="D100" t="str">
            <v>12.7</v>
          </cell>
          <cell r="E100" t="str">
            <v>DISJUNTOR TERMOMAGNETICO TRIPOLAR PADRAO NEMA (AMERICANO) 10 A 50A 240V, FORNECIMENTO E INSTALACAO</v>
          </cell>
          <cell r="F100" t="str">
            <v>UND</v>
          </cell>
          <cell r="G100">
            <v>1</v>
          </cell>
        </row>
        <row r="101">
          <cell r="D101" t="str">
            <v>12.8</v>
          </cell>
          <cell r="E101" t="str">
            <v>LUMINÁRIA TIPO PLAFON, DE SOBREPOR, COM 1 LÂMPADA LED - FORNECIMENTO E INSTALAÇÃO. AF_11/2017</v>
          </cell>
          <cell r="F101" t="str">
            <v>UND</v>
          </cell>
          <cell r="G101">
            <v>3</v>
          </cell>
        </row>
        <row r="102">
          <cell r="D102" t="str">
            <v>12.9</v>
          </cell>
          <cell r="E102" t="str">
            <v>LUMINÁRIAS TIPO CALHA, DE SOBREPOR E LÂMPADAS EM LED 2X2X18W, COMPLETAS, FORNECIMENTO E INSTALAÇÃO</v>
          </cell>
          <cell r="F102" t="str">
            <v>UND</v>
          </cell>
          <cell r="G102">
            <v>4</v>
          </cell>
        </row>
        <row r="103">
          <cell r="D103" t="str">
            <v>12.10</v>
          </cell>
          <cell r="E103" t="str">
            <v>RELE FOTOELETRICO P/ COMANDO DE ILUMINACAO EXTERNA 220V/1000W - FORNECIMENTO E INSTALACAO</v>
          </cell>
          <cell r="F103" t="str">
            <v>UND</v>
          </cell>
          <cell r="G103">
            <v>1</v>
          </cell>
        </row>
        <row r="104">
          <cell r="D104" t="str">
            <v>12.11</v>
          </cell>
          <cell r="E104" t="str">
            <v>ELETRODUTO RÍGIDO ROSCÁVEL, PVC, DN 32 MM (1"), PARA CIRCUITOS TERMINAIS, INSTALADO EM FORRO - FORNECIMENTO E INSTALAÇÃO. AF_12/2015</v>
          </cell>
          <cell r="F104" t="str">
            <v>M</v>
          </cell>
          <cell r="G104">
            <v>70</v>
          </cell>
        </row>
        <row r="105">
          <cell r="D105" t="str">
            <v>12.12</v>
          </cell>
          <cell r="E105" t="str">
            <v>REFLETOR SIMPLES LED 150W DE POTÊNCIA, BRANCO FRIO, 6500K, AUTOVOLT, MARCA G-LIGHT OU SIMILAR</v>
          </cell>
          <cell r="F105" t="str">
            <v>UND</v>
          </cell>
          <cell r="G105">
            <v>8</v>
          </cell>
        </row>
        <row r="106">
          <cell r="D106" t="str">
            <v>12.13</v>
          </cell>
          <cell r="E106" t="str">
            <v>CAIXA ENTERRADA ELÉTRICA RETANGULAR, EM ALVENARIA COM TIJOLOS CERÂMICOS MACIÇOS, FUNDO COM BRITA, DIMENSÕES INTERNAS: 0,3X0,3X0,3 M. AF_05/2018</v>
          </cell>
          <cell r="F106" t="str">
            <v>UND</v>
          </cell>
          <cell r="G106">
            <v>4</v>
          </cell>
        </row>
        <row r="107">
          <cell r="D107" t="str">
            <v>12.14</v>
          </cell>
          <cell r="E107" t="str">
            <v>CABO DE COBRE FLEXÍVEL ISOLADO, 4 MM², ANTI-CHAMA 450/750 V, PARA CIRCUITOS TERMINAIS - FORNECIMENTO E INSTALAÇÃO. AF_12/2015</v>
          </cell>
          <cell r="F107" t="str">
            <v>M</v>
          </cell>
          <cell r="G107">
            <v>160</v>
          </cell>
        </row>
        <row r="108">
          <cell r="D108" t="str">
            <v>12.15</v>
          </cell>
          <cell r="E108" t="str">
            <v>CABO DE COBRE FLEXÍVEL ISOLADO, 2,5 MM², ANTI-CHAMA 450/750 V, PARA CIRCUITOS TERMINAIS - FORNECIMENTO E INSTALAÇÃO. AF_12/2015</v>
          </cell>
          <cell r="F108" t="str">
            <v>M</v>
          </cell>
          <cell r="G108">
            <v>160</v>
          </cell>
        </row>
        <row r="109">
          <cell r="D109" t="str">
            <v>13.0</v>
          </cell>
          <cell r="E109" t="str">
            <v>PINTURA</v>
          </cell>
        </row>
        <row r="110">
          <cell r="D110" t="str">
            <v>13.1</v>
          </cell>
          <cell r="E110" t="str">
            <v>APLICAÇÃO DE FUNDO SELADOR LÁTEX PVA EM TETO, UMA DEMÃO. AF_06/2014</v>
          </cell>
          <cell r="F110" t="str">
            <v>M2</v>
          </cell>
        </row>
        <row r="111">
          <cell r="D111" t="str">
            <v>13.2</v>
          </cell>
          <cell r="E111" t="str">
            <v>APLICAÇÃO E LIXAMENTO DE MASSA LÁTEX EM TETO, DUAS DEMÃOS. AF_06/2014</v>
          </cell>
          <cell r="F111" t="str">
            <v>M2</v>
          </cell>
        </row>
        <row r="112">
          <cell r="D112" t="str">
            <v>13.3</v>
          </cell>
          <cell r="E112" t="str">
            <v>APLICAÇÃO MANUAL DE PINTURA COM TINTA LÁTEX PVA EM TETO, DUAS DEMÃOS. AF_06/2014</v>
          </cell>
          <cell r="F112" t="str">
            <v>M2</v>
          </cell>
        </row>
        <row r="113">
          <cell r="D113" t="str">
            <v>13.4</v>
          </cell>
          <cell r="E113" t="str">
            <v>APLICAÇÃO DE FUNDO SELADOR ACRÍLICO EM PAREDES, UMA DEMÃO. AF_06/2014</v>
          </cell>
          <cell r="F113" t="str">
            <v>M2</v>
          </cell>
        </row>
        <row r="114">
          <cell r="D114" t="str">
            <v>13.5</v>
          </cell>
          <cell r="E114" t="str">
            <v>APLICAÇÃO E LIXAMENTO DE MASSA LÁTEX EM PAREDES, UMA DEMÃO. AF_06/2014</v>
          </cell>
          <cell r="F114" t="str">
            <v>M2</v>
          </cell>
        </row>
        <row r="115">
          <cell r="D115" t="str">
            <v>13.6</v>
          </cell>
          <cell r="E115" t="str">
            <v>APLICAÇÃO MANUAL DE PINTURA COM TINTA LÁTEX ACRÍLICA EM PAREDES, DUAS DEMÃOS. AF_06/2014</v>
          </cell>
          <cell r="F115" t="str">
            <v>M2</v>
          </cell>
        </row>
        <row r="116">
          <cell r="D116" t="str">
            <v>14.0</v>
          </cell>
          <cell r="E116" t="str">
            <v>APARELHOS DA ACADEMIA</v>
          </cell>
        </row>
        <row r="117">
          <cell r="D117" t="str">
            <v>14.1</v>
          </cell>
          <cell r="E117" t="str">
            <v>BARRA PARALELA</v>
          </cell>
        </row>
        <row r="118">
          <cell r="D118" t="str">
            <v>14.1.1</v>
          </cell>
          <cell r="E118" t="str">
            <v>ESCAVAÇÃO MANUAL DE VALA COM PROFUNDIDADE MENOR OU IGUAL A 1,30 M</v>
          </cell>
          <cell r="F118" t="str">
            <v>M3</v>
          </cell>
        </row>
        <row r="119">
          <cell r="D119" t="str">
            <v>14.1.2</v>
          </cell>
          <cell r="E119" t="str">
            <v>LASTRO DE CONCRETO MAGRO, APLICADO EM PISOS OU RADIERS, ESPESSURA DE 5CM. AF_07_2016</v>
          </cell>
          <cell r="F119" t="str">
            <v>M2</v>
          </cell>
        </row>
        <row r="120">
          <cell r="D120" t="str">
            <v>14.1.3</v>
          </cell>
          <cell r="E120" t="str">
            <v>CONCRETAGEM DE BLOCOS DE COROAMENTO E VIGAS BALDRAMES, FCK 30 MPA, COM USO DE BOMBA LANÇAMENTO, ADENSAMENTO E ACABAMENTO. AF_06/2017</v>
          </cell>
          <cell r="F120" t="str">
            <v>M3</v>
          </cell>
        </row>
        <row r="121">
          <cell r="D121" t="str">
            <v>14.1.4</v>
          </cell>
          <cell r="E121" t="str">
            <v>TUBO DE AÇO GALVANIZADO COM COSTURA 2" - FORNECIMENTO E INSTALACAO.</v>
          </cell>
          <cell r="F121" t="str">
            <v>M</v>
          </cell>
        </row>
        <row r="122">
          <cell r="D122" t="str">
            <v>14.1.5</v>
          </cell>
          <cell r="E122" t="str">
            <v>PINTURA ESMALTE ALTO BRILHO, DUAS DEMAOS, SOBRE SUPERFICIE METALICA</v>
          </cell>
          <cell r="F122" t="str">
            <v>M2</v>
          </cell>
        </row>
        <row r="123">
          <cell r="D123" t="str">
            <v>14.2</v>
          </cell>
          <cell r="E123" t="str">
            <v>BARRAS MARINHEIRO</v>
          </cell>
        </row>
        <row r="124">
          <cell r="D124" t="str">
            <v>14.2.1</v>
          </cell>
          <cell r="E124" t="str">
            <v>ESCAVAÇÃO MANUAL DE VALA COM PROFUNDIDADE MENOR OU IGUAL A 1,30 M</v>
          </cell>
          <cell r="F124" t="str">
            <v>M3</v>
          </cell>
        </row>
        <row r="125">
          <cell r="D125" t="str">
            <v>14.2.2</v>
          </cell>
          <cell r="E125" t="str">
            <v>LASTRO DE CONCRETO MAGRO, APLICADO EM PISOS OU RADIERS, ESPESSURA DE 5CM. AF_07_2016</v>
          </cell>
          <cell r="F125" t="str">
            <v>M2</v>
          </cell>
        </row>
        <row r="126">
          <cell r="D126" t="str">
            <v>14.2.3</v>
          </cell>
          <cell r="E126" t="str">
            <v>CONCRETAGEM DE BLOCOS DE COROAMENTO E VIGAS BALDRAMES, FCK 30 MPA, COM USO DE BOMBA LANÇAMENTO, ADENSAMENTO E ACABAMENTO. AF_06/2017</v>
          </cell>
          <cell r="F126" t="str">
            <v>M3</v>
          </cell>
        </row>
        <row r="127">
          <cell r="D127" t="str">
            <v>14.2.4</v>
          </cell>
          <cell r="E127" t="str">
            <v>TUBO DE AÇO GALVANIZADO COM COSTURA 2" - FORNECIMENTO E INSTALACAO. - M</v>
          </cell>
          <cell r="F127" t="str">
            <v>M</v>
          </cell>
        </row>
        <row r="128">
          <cell r="D128" t="str">
            <v>14.2.5</v>
          </cell>
          <cell r="E128" t="str">
            <v>PINTURA ESMALTE ALTO BRILHO, DUAS DEMAOS, SOBRE SUPERFICIE METALICA</v>
          </cell>
          <cell r="F128" t="str">
            <v>M2</v>
          </cell>
        </row>
        <row r="129">
          <cell r="D129" t="str">
            <v>14.3</v>
          </cell>
          <cell r="E129" t="str">
            <v>BARRA HORIZONTAL TRIPLA</v>
          </cell>
        </row>
        <row r="130">
          <cell r="D130" t="str">
            <v>14.3.1</v>
          </cell>
          <cell r="E130" t="str">
            <v>ESCAVAÇÃO MANUAL DE VALA COM PROFUNDIDADE MENOR OU IGUAL A 1,30 M</v>
          </cell>
          <cell r="F130" t="str">
            <v>M3</v>
          </cell>
        </row>
        <row r="131">
          <cell r="D131" t="str">
            <v>14.3.2</v>
          </cell>
          <cell r="E131" t="str">
            <v>LASTRO DE CONCRETO MAGRO, APLICADO EM PISOS OU RADIERS, ESPESSURA DE 5CM. AF_07_2016</v>
          </cell>
          <cell r="F131" t="str">
            <v>M2</v>
          </cell>
        </row>
        <row r="132">
          <cell r="D132" t="str">
            <v>14.3.3</v>
          </cell>
          <cell r="E132" t="str">
            <v>CONCRETAGEM DE BLOCOS DE COROAMENTO E VIGAS BALDRAMES, FCK 30 MPA, COM USO DE BOMBA LANÇAMENTO, ADENSAMENTO E ACABAMENTO. AF_06/2017</v>
          </cell>
          <cell r="F132" t="str">
            <v>M3</v>
          </cell>
        </row>
        <row r="133">
          <cell r="D133" t="str">
            <v>14.3.4</v>
          </cell>
          <cell r="E133" t="str">
            <v>TUBO DE AÇO GALVANIZADO COM COSTURA 2" - FORNECIMENTO E INSTALACAO. - M</v>
          </cell>
          <cell r="F133" t="str">
            <v>M</v>
          </cell>
        </row>
        <row r="134">
          <cell r="D134" t="str">
            <v>14.3.5</v>
          </cell>
          <cell r="E134" t="str">
            <v>PINTURA ESMALTE ALTO BRILHO, DUAS DEMAOS, SOBRE SUPERFICIE METALICA</v>
          </cell>
          <cell r="F134" t="str">
            <v>M2</v>
          </cell>
        </row>
        <row r="135">
          <cell r="D135" t="str">
            <v>14.4</v>
          </cell>
          <cell r="E135" t="str">
            <v>ESPALDAR SIMPLES</v>
          </cell>
        </row>
        <row r="136">
          <cell r="D136" t="str">
            <v>14.4.1</v>
          </cell>
          <cell r="E136" t="str">
            <v>ESCAVAÇÃO MANUAL DE VALA COM PROFUNDIDADE MENOR OU IGUAL A 1,30 M</v>
          </cell>
          <cell r="F136" t="str">
            <v>M3</v>
          </cell>
        </row>
        <row r="137">
          <cell r="D137" t="str">
            <v>14.4.2</v>
          </cell>
          <cell r="E137" t="str">
            <v>LASTRO DE CONCRETO MAGRO, APLICADO EM PISOS OU RADIERS, ESPESSURA DE 5CM. AF_07_2016</v>
          </cell>
          <cell r="F137" t="str">
            <v>M2</v>
          </cell>
        </row>
        <row r="138">
          <cell r="D138" t="str">
            <v>14.4.3</v>
          </cell>
          <cell r="E138" t="str">
            <v>CONCRETAGEM DE BLOCOS DE COROAMENTO E VIGAS BALDRAMES, FCK 30 MPA, COM USO DE BOMBA LANÇAMENTO, ADENSAMENTO E ACABAMENTO. AF_06/2017</v>
          </cell>
          <cell r="F138" t="str">
            <v>M3</v>
          </cell>
        </row>
        <row r="139">
          <cell r="D139" t="str">
            <v>14.4.4</v>
          </cell>
          <cell r="E139" t="str">
            <v>TUBO DE AÇO GALVANIZADO COM COSTURA 2" - FORNECIMENTO E INSTALACAO. - M</v>
          </cell>
          <cell r="F139" t="str">
            <v>M</v>
          </cell>
        </row>
        <row r="140">
          <cell r="D140" t="str">
            <v>14.4.5</v>
          </cell>
          <cell r="E140" t="str">
            <v>PINTURA ESMALTE ALTO BRILHO, DUAS DEMAOS, SOBRE SUPERFICIE METALICA</v>
          </cell>
          <cell r="F140" t="str">
            <v>M2</v>
          </cell>
        </row>
        <row r="141">
          <cell r="D141" t="str">
            <v>14.5</v>
          </cell>
          <cell r="E141" t="str">
            <v>BARRA DE APOIO</v>
          </cell>
        </row>
        <row r="142">
          <cell r="D142" t="str">
            <v>14.5.1</v>
          </cell>
          <cell r="E142" t="str">
            <v>ESCAVAÇÃO MANUAL DE VALA COM PROFUNDIDADE MENOR OU IGUAL A 1,30 M</v>
          </cell>
          <cell r="F142" t="str">
            <v>M3</v>
          </cell>
        </row>
        <row r="143">
          <cell r="D143" t="str">
            <v>14.5.2</v>
          </cell>
          <cell r="E143" t="str">
            <v>LASTRO DE CONCRETO MAGRO, APLICADO EM PISOS OU RADIERS, ESPESSURA DE 5CM. AF_07_2016</v>
          </cell>
          <cell r="F143" t="str">
            <v>M2</v>
          </cell>
        </row>
        <row r="144">
          <cell r="D144" t="str">
            <v>14.5.3</v>
          </cell>
          <cell r="E144" t="str">
            <v>CONCRETAGEM DE BLOCOS DE COROAMENTO E VIGAS BALDRAMES, FCK 30 MPA, COM USO DE BOMBA LANÇAMENTO, ADENSAMENTO E ACABAMENTO. AF_06/2017</v>
          </cell>
          <cell r="F144" t="str">
            <v>M3</v>
          </cell>
        </row>
        <row r="145">
          <cell r="D145" t="str">
            <v>14.5.4</v>
          </cell>
          <cell r="E145" t="str">
            <v>TUBO DE AÇO GALVANIZADO COM COSTURA 2" - FORNECIMENTO E INSTALACAO. - M</v>
          </cell>
          <cell r="F145" t="str">
            <v>M</v>
          </cell>
        </row>
        <row r="146">
          <cell r="D146" t="str">
            <v>14.5.5</v>
          </cell>
          <cell r="E146" t="str">
            <v>PINTURA ESMALTE ALTO BRILHO, DUAS DEMAOS, SOBRE SUPERFICIE METALICA</v>
          </cell>
          <cell r="F146" t="str">
            <v>M2</v>
          </cell>
        </row>
        <row r="147">
          <cell r="D147" t="str">
            <v>14.6</v>
          </cell>
          <cell r="E147" t="str">
            <v>BANCOS DE APOIO</v>
          </cell>
        </row>
        <row r="148">
          <cell r="D148" t="str">
            <v>14.6.1</v>
          </cell>
          <cell r="E148" t="str">
            <v>CONJUNTO DE BANCOS, TAMPO EM CONCRETO SIMPLES, DESEMPOLADA H=5OCM, 40CM E 30CM</v>
          </cell>
          <cell r="F148" t="str">
            <v>CJ</v>
          </cell>
        </row>
        <row r="149">
          <cell r="D149" t="str">
            <v>14.7</v>
          </cell>
          <cell r="E149" t="str">
            <v>PRANCHAS PARA EXERCICIOS ABDOMINAIS</v>
          </cell>
        </row>
        <row r="150">
          <cell r="D150" t="str">
            <v>14.7.1</v>
          </cell>
          <cell r="E150" t="str">
            <v>CONJUNTO DE PRANCHAS P/ EXERCICIOS ABDOMINAIS, TAMPO EM CONCRETO SIMPLES, DESEMPOLADA H=80CM, H=5OCM E 40CM</v>
          </cell>
          <cell r="F150" t="str">
            <v>CJ</v>
          </cell>
        </row>
        <row r="153">
          <cell r="D153" t="str">
            <v>15.2</v>
          </cell>
          <cell r="E153" t="str">
            <v>BARRA DE APOIO RETA, EM ACO INOX POLIDO, COMPRIMENTO 60CM, DIAMETRO MINIMO 3CM</v>
          </cell>
          <cell r="F153" t="str">
            <v>UND</v>
          </cell>
        </row>
        <row r="154">
          <cell r="D154" t="str">
            <v>15.3</v>
          </cell>
          <cell r="E154" t="str">
            <v>PRATELEIRA EM CONCRETO ARMADO, LARGURA = 40CM, ESP= 5CM, REVESTIDA COM CERAMICA.</v>
          </cell>
          <cell r="F154" t="str">
            <v>M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C. MOCINHA BARBALHO"/>
      <sheetName val="MEMORIA MOCINHA"/>
      <sheetName val="ENCARGOS SOCIAIS"/>
      <sheetName val="BDI"/>
      <sheetName val="COMPOSIÇÕES"/>
    </sheetNames>
    <sheetDataSet>
      <sheetData sheetId="0"/>
      <sheetData sheetId="1">
        <row r="194">
          <cell r="K194">
            <v>20</v>
          </cell>
        </row>
        <row r="612">
          <cell r="K612">
            <v>278.74400000000003</v>
          </cell>
        </row>
        <row r="635">
          <cell r="K635">
            <v>615.05999999999995</v>
          </cell>
        </row>
        <row r="666">
          <cell r="K666">
            <v>736.57999999999993</v>
          </cell>
        </row>
        <row r="676">
          <cell r="K676">
            <v>28.349999999999998</v>
          </cell>
        </row>
        <row r="687">
          <cell r="K687">
            <v>5</v>
          </cell>
        </row>
        <row r="693">
          <cell r="K693">
            <v>2</v>
          </cell>
        </row>
        <row r="699">
          <cell r="K699">
            <v>2</v>
          </cell>
        </row>
        <row r="711">
          <cell r="K711">
            <v>15</v>
          </cell>
        </row>
        <row r="728">
          <cell r="K728">
            <v>4</v>
          </cell>
        </row>
        <row r="733">
          <cell r="K733">
            <v>5</v>
          </cell>
        </row>
        <row r="738">
          <cell r="K738">
            <v>5</v>
          </cell>
        </row>
        <row r="743">
          <cell r="K743">
            <v>5</v>
          </cell>
        </row>
        <row r="748">
          <cell r="K748">
            <v>1</v>
          </cell>
        </row>
      </sheetData>
      <sheetData sheetId="2"/>
      <sheetData sheetId="3"/>
      <sheetData sheetId="4">
        <row r="46">
          <cell r="G46">
            <v>52.963999999999999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C. JULIO MARIA"/>
      <sheetName val="MEMORIA JULIO MARIA"/>
      <sheetName val="ENCARGOS SOCIAIS"/>
      <sheetName val="BDI"/>
      <sheetName val="COMPOSIÇÕES"/>
    </sheetNames>
    <sheetDataSet>
      <sheetData sheetId="0">
        <row r="16">
          <cell r="C16" t="str">
            <v>PLACA DE OBRA (PARA CONSTRUCAO CIVIL) EM CHAPA GALVANIZADA *N. 22*, ADESIVADA, DE *2,0 X 1,125* M</v>
          </cell>
        </row>
        <row r="17">
          <cell r="C17" t="str">
            <v>DEMOLIÇÃO DE ALVENARIA DE BLOCO FURADO, DE FORMA MANUAL, SEM REAPROVEITAMENTO. AF_12/2017</v>
          </cell>
        </row>
        <row r="19">
          <cell r="C19" t="str">
            <v>RETIRADA E RECOLOCAÇÃO DE TELHA CERÂMICA CAPA-CANAL, COM ATÉ DUAS ÁGUAS, INCLUSO IÇAMENTO. AF_07/2019</v>
          </cell>
          <cell r="E19">
            <v>724.91</v>
          </cell>
        </row>
        <row r="25">
          <cell r="C25" t="str">
            <v>PREPARO DE SUPERFICIE COM LIXAMENTO DE PAREDES E TETOS</v>
          </cell>
        </row>
        <row r="26">
          <cell r="C26" t="str">
            <v>LIXAMENTO MANUAL EM SUPERFÍCIES METÁLICAS EM OBRA. AF_01/2020</v>
          </cell>
        </row>
        <row r="27">
          <cell r="C27" t="str">
            <v>PINTURA COM TINTA ALQUÍDICA DE ACABAMENTO (ESMALTE SINTÉTICO BRILHANTE) APLICADA A ROLO OU PINCEL SOBRE PERFIL METÁLICO EXECUTADO EM FÁBRICA (POR DEMÃO). AF_01/2020</v>
          </cell>
        </row>
        <row r="33">
          <cell r="C33" t="str">
            <v>FORRO EM PLACAS DE GESSO, PARA AMBIENTES RESIDENCIAIS. AF_05/2017_P</v>
          </cell>
        </row>
        <row r="36">
          <cell r="C36" t="str">
            <v>MOVIMENTO DE TERRA</v>
          </cell>
        </row>
        <row r="37">
          <cell r="C37" t="str">
            <v>ATERRO MECANIZADO DE VALA COM ESCAVADEIRA HIDRÁULICA (CAPACIDADE DA CAÇAMBA: 0,8 M³ / POTÊNCIA: 111 HP), LARGURA DE 1,5 A 2,5 M, PROFUNDIDADE DE 1,5 A 3,0 M, COM SOLO ARGILO-ARENOSO. AF_05/2016</v>
          </cell>
        </row>
        <row r="39">
          <cell r="C39" t="str">
            <v>FUNDAÇÕES</v>
          </cell>
        </row>
        <row r="40">
          <cell r="C40" t="str">
            <v>LASTRO DE CONCRETO MAGRO, APLICADO EM PISOS, LAJES SOBRE SOLO OU RADIERS, ESPESSURA DE 5 CM. AF_07/2016</v>
          </cell>
        </row>
        <row r="42">
          <cell r="C42" t="str">
            <v>ALVENARIA DE VEDAÇÃO DE BLOCOS CERÂMICOS FURADOS NA HORIZONTAL DE 9X19X19CM (ESPESSURA 9CM) DE PAREDES COM ÁREA LÍQUIDA MENOR QUE 6M² SEM VÃOS E ARGAMASSA DE ASSENTAMENTO COM PREPARO MANUAL. AF_06/2014</v>
          </cell>
        </row>
        <row r="43">
          <cell r="C43" t="str">
            <v>ESTRUTURA</v>
          </cell>
        </row>
        <row r="44">
          <cell r="C44" t="str">
            <v>CONCRETAGEM DE PILARES, FCK = 25 MPA, COM USO DE GRUA EM EDIFICAÇÃO COM SEÇÃO MÉDIA DE PILARES MAIOR QUE 0,25 M² - LANÇAMENTO, ADENSAMENTO E ACABAMENTO. AF_12/2015</v>
          </cell>
        </row>
        <row r="45">
          <cell r="C45" t="str">
            <v>CONCRETAGEM DE VIGAS E LAJES, FCK=20 MPA, PARA LAJES MACIÇAS OU NERVURADAS COM GRUA DE CAÇAMBA DE 500 L EM EDIFICAÇÃO DE MULTIPAVIMENTOS ATÉ 16 ANDARES, COM ÁREA MÉDIA DE LAJES MAIOR QUE 20 M² - LANÇAMENTO, ADENSAMENTO E ACABAMENTO. AF_12/2015</v>
          </cell>
        </row>
        <row r="46">
          <cell r="C46" t="str">
            <v>ARMAÇÃO DE PILAR OU VIGA DE UMA ESTRUTURA CONVENCIONAL DE CONCRETO ARMADO EM UM EDIFÍCIO DE MÚLTIPLOS PAVIMENTOS UTILIZANDO AÇO CA-50 DE 10,0 MM - MONTAGEM. AF_12/2015</v>
          </cell>
          <cell r="E46">
            <v>98.52</v>
          </cell>
        </row>
        <row r="47">
          <cell r="C47" t="str">
            <v>ELEVAÇÃO</v>
          </cell>
        </row>
        <row r="48">
          <cell r="C48" t="str">
            <v>ALVENARIA DE VEDAÇÃO DE BLOCOS CERÂMICOS FURADOS NA HORIZONTAL DE 9X19X19CM (ESPESSURA 9CM) DE PAREDES COM ÁREA LÍQUIDA MAIOR OU IGUAL A 6M² SEM VÃOS E ARGAMASSA DE ASSENTAMENTO COM PREPARO EM BETONEIRA. AF_06/2014</v>
          </cell>
        </row>
        <row r="49">
          <cell r="C49" t="str">
            <v>VERGA PRÉ-MOLDADA PARA PORTAS COM ATÉ 1,5 M DE VÃO. AF_03/2016</v>
          </cell>
        </row>
        <row r="50">
          <cell r="C50" t="str">
            <v>REVESTIMENTO</v>
          </cell>
        </row>
        <row r="51">
          <cell r="C51" t="str">
            <v>CHAPISCO APLICADO EM ALVENARIAS E ESTRUTURAS DE CONCRETO INTERNAS, COM COLHER DE PEDREIRO.  ARGAMASSA TRAÇO 1:3 COM PREPARO EM BETONEIRA 400L. AF_06/2014</v>
          </cell>
        </row>
        <row r="52">
          <cell r="C52" t="str">
            <v>MASSA ÚNICA, PARA RECEBIMENTO DE PINTURA, EM ARGAMASSA TRAÇO 1:2:8, PREPARO MECÂNICO COM BETONEIRA 400L, APLICADA MANUALMENTE EM FACES INTERNAS DE PAREDES, ESPESSURA DE 20MM, COM EXECUÇÃO DE TALISCAS. AF_06/2014</v>
          </cell>
        </row>
        <row r="53">
          <cell r="C53" t="str">
            <v>COBERTA</v>
          </cell>
        </row>
        <row r="54">
          <cell r="C54" t="str">
            <v>TRAMA DE MADEIRA COMPOSTA POR RIPAS, CAIBROS E TERÇAS PARA TELHADOS DE ATÉ 2 ÁGUAS PARA TELHA CERÂMICA CAPA-CANAL, INCLUSO TRANSPORTE VERTICAL. AF_07/2019</v>
          </cell>
        </row>
        <row r="55">
          <cell r="C55" t="str">
            <v>TELHAMENTO COM TELHA CERÂMICA CAPA-CANAL, TIPO PLAN, COM ATÉ 2 ÁGUAS, INCLUSO TRANSPORTE VERTICAL. AF_07/2019</v>
          </cell>
        </row>
        <row r="58">
          <cell r="C58" t="str">
            <v>ESQUADRIAS</v>
          </cell>
        </row>
        <row r="59">
          <cell r="C59" t="str">
            <v>KIT DE PORTA-PRONTA DE MADEIRA EM ACABAMENTO MELAMÍNICO BRANCO, FOLHA LEVE OU MÉDIA, E BATENTE METÁLICO, 90X210CM, FIXAÇÃO COM ARGAMASSA - FORNECIMENTO E INSTALAÇÃO. AF_12/2019</v>
          </cell>
        </row>
        <row r="60">
          <cell r="C60" t="str">
            <v>KIT DE PORTA-PRONTA DE MADEIRA EM ACABAMENTO MELAMÍNICO BRANCO, FOLHA LEVE OU MÉDIA, E BATENTE METÁLICO, 60X210CM, FIXAÇÃO COM ARGAMASSA - FORNECIMENTO E INSTALAÇÃO. AF_12/2019</v>
          </cell>
        </row>
        <row r="61">
          <cell r="C61" t="str">
            <v>JANELA DE MADEIRA (PINUS/EUCALIPTO OU EQUIV.) DE ABRIR COM 4 FOLHAS (2 VENEZIANAS E 2 GUILHOTINAS PARA VIDRO), COM BATENTE, ALIZAR E FERRAGENS. EXCLUSIVE VIDROS, ACABAMENTO E CONTRAMARCO. FORNECIMENTO E INSTALAÇÃO. AF_12/2019</v>
          </cell>
        </row>
        <row r="62">
          <cell r="C62" t="str">
            <v>INSTALAÇÕES ELÉTRICAS</v>
          </cell>
        </row>
        <row r="63">
          <cell r="C63" t="str">
            <v>CABO DE COBRE FLEXÍVEL ISOLADO, 2,5 MM², ANTI-CHAMA 450/750 V, PARA CIRCUITOS TERMINAIS - FORNECIMENTO E INSTALAÇÃO. AF_12/2015</v>
          </cell>
        </row>
        <row r="64">
          <cell r="C64" t="str">
            <v>LUMINÁRIA TIPO CALHA, DE SOBREPOR, COM 1 LÂMPADA TUBULAR FLUORESCENTE DE 36 W, COM REATOR DE PARTIDA RÁPIDA - FORNECIMENTO E INSTALAÇÃO. AF_02/2020</v>
          </cell>
        </row>
        <row r="65">
          <cell r="C65" t="str">
            <v>PONTO DE ILUMINAÇÃO RESIDENCIAL INCLUINDO INTERRUPTOR SIMPLES, CAIXA ELÉTRICA, ELETRODUTO, CABO, RASGO, QUEBRA E CHUMBAMENTO (EXCLUINDO LUMINÁRIA E LÂMPADA). AF_01/2016</v>
          </cell>
        </row>
        <row r="66">
          <cell r="C66" t="str">
            <v>PONTO DE TOMADA RESIDENCIAL INCLUINDO TOMADA (2 MÓDULOS) 10A/250V, CAIXA ELÉTRICA, ELETRODUTO, CABO, RASGO, QUEBRA E CHUMBAMENTO. AF_01/2016</v>
          </cell>
        </row>
        <row r="67">
          <cell r="C67" t="str">
            <v>INSTALAÇÕES HIDROSSANITÁRIAS</v>
          </cell>
        </row>
        <row r="68">
          <cell r="C68" t="str">
            <v>PONTO DE CONSUMO TERMINAL DE ÁGUA FRIA (SUBRAMAL) COM TUBULAÇÃO DE PVC, DN 25 MM, INSTALADO EM RAMAL DE ÁGUA, INCLUSOS RASGO E CHUMBAMENTO EM ALVENARIA. AF_12/2014</v>
          </cell>
        </row>
        <row r="69">
          <cell r="C69" t="str">
            <v>COLETOR PREDIAL DE ESGOTO, DA CAIXA ATÉ A REDE (DISTÂNCIA = 4 M, LARGURA DA VALA = 0,65 M), INCLUINDO ESCAVAÇÃO MECANIZADA, PREPARO DE FUNDO DE VALA E REATERRO COM COMPACTAÇÃO MECANIZADA, TUBO PVC P/ REDE COLETORA ESGOTO JEI DN 100 MM E CONEXÕES - FORNECIMENTO E INSTALAÇÃO. AF_03/2016</v>
          </cell>
        </row>
        <row r="71">
          <cell r="C71" t="str">
            <v>ENGATE FLEXÍVEL EM PLÁSTICO BRANCO, 1/2 X 40CM - FORNECIMENTO E INSTALAÇÃO. AF_01/2020</v>
          </cell>
        </row>
        <row r="72">
          <cell r="C72" t="str">
            <v>SIFÃO DO TIPO FLEXÍVEL EM PVC 1  X 1.1/2  - FORNECIMENTO E INSTALAÇÃO. AF_01/2020</v>
          </cell>
        </row>
        <row r="73">
          <cell r="C73" t="str">
            <v>BANCADA DE MÁRMORE BRANCO POLIDO, DE 0,50 X 0,60 M, PARA LAVATÓRIO - FORNECIMENTO E INSTALAÇÃO. AF_01/2020</v>
          </cell>
        </row>
        <row r="74">
          <cell r="C74" t="str">
            <v>TORNEIRA CROMADA DE MESA, 1/2 OU 3/4, PARA LAVATÓRIO, PADRÃO POPULAR - FORNECIMENTO E INSTALAÇÃO. AF_01/2020</v>
          </cell>
        </row>
        <row r="75">
          <cell r="C75" t="str">
            <v>CAIXA DE GORDURA SIMPLES (CAPACIDADE: 36 L), RETANGULAR, EM ALVENARIA COM BLOCOS DE CONCRETO, DIMENSÕES INTERNAS = 0,2X0,4 M, ALTURA INTERNA = 0,8 M. AF_12/2020</v>
          </cell>
        </row>
        <row r="76">
          <cell r="C76" t="str">
            <v>DIVERSOS</v>
          </cell>
        </row>
        <row r="77">
          <cell r="C77" t="str">
            <v>GRADIL EM FERRO FIXADO EM VÃOS DE JANELAS, FORMADO POR BARRAS CHATAS DE 25X4,8 MM. AF_04/2019</v>
          </cell>
        </row>
        <row r="78">
          <cell r="C78" t="str">
            <v>PORTÃO EM TUBO DE AÇO GALVANIZADO D=1", MEDINDO 4,00X3,00 M, PADRÃO ESCOLAS</v>
          </cell>
        </row>
        <row r="79">
          <cell r="C79" t="str">
            <v>LIMPEZA FINAL DA OBRA</v>
          </cell>
        </row>
        <row r="80">
          <cell r="C80" t="str">
            <v>LIMPEZA DE PISO CERÂMICO OU PORCELANATO COM VASSOURA A SECO. AF_04/2019</v>
          </cell>
        </row>
      </sheetData>
      <sheetData sheetId="1">
        <row r="630">
          <cell r="K630">
            <v>1041.3000000000002</v>
          </cell>
        </row>
        <row r="641">
          <cell r="K641">
            <v>1118.7249999999999</v>
          </cell>
        </row>
        <row r="679">
          <cell r="K679">
            <v>2082.6000000000004</v>
          </cell>
        </row>
        <row r="681">
          <cell r="L681">
            <v>1633.4499999999998</v>
          </cell>
        </row>
        <row r="692">
          <cell r="L692">
            <v>2160.0250000000001</v>
          </cell>
        </row>
        <row r="697">
          <cell r="L697">
            <v>473.55</v>
          </cell>
        </row>
        <row r="706">
          <cell r="L706">
            <v>1561.5149999999996</v>
          </cell>
        </row>
        <row r="760">
          <cell r="K760">
            <v>26</v>
          </cell>
        </row>
        <row r="835">
          <cell r="L835">
            <v>261.40999999999997</v>
          </cell>
        </row>
      </sheetData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ÇAMENTO"/>
      <sheetName val="PLANILHA ORÇAMENTARIA"/>
      <sheetName val="COMPOSIÇÃO"/>
      <sheetName val="COMPOSIÇÃO DO BDI"/>
    </sheetNames>
    <sheetDataSet>
      <sheetData sheetId="0"/>
      <sheetData sheetId="1"/>
      <sheetData sheetId="2">
        <row r="1">
          <cell r="A1" t="str">
            <v>INFRA SP 001</v>
          </cell>
          <cell r="B1" t="str">
            <v>LOCACAO CONVENCIONAL DE OBRA, ATRAVÉS DE GABARITO DE TABUAS CORRIDAS PONTALETADAS, COM REAPROVEITAMENTO DE 2 VEZES.</v>
          </cell>
          <cell r="C1" t="str">
            <v>M²</v>
          </cell>
        </row>
        <row r="16">
          <cell r="A16" t="str">
            <v>INFRA DIV 001</v>
          </cell>
          <cell r="B16" t="str">
            <v>ALAMBRADO COM TELA DE NYLON, MALHA 3.6MM COM ARAME PARA FIXAÇÃO</v>
          </cell>
        </row>
        <row r="28">
          <cell r="A28" t="str">
            <v>INFRA DIV 002</v>
          </cell>
          <cell r="B28" t="str">
            <v>Tubo de aço galvanizado leve c/ costura c/ rosca BSP Ø = 60,30mm ( 2" ), e = 2,65mm, l = 6000mm NBR 5580</v>
          </cell>
          <cell r="C28" t="str">
            <v>M</v>
          </cell>
        </row>
        <row r="39">
          <cell r="B39" t="str">
            <v>TRAVES PARA FUTEBOL SOCIETY 4M, TUBO 4", DESMONTÁVEL, MEDIDAS 4X2,2M, INCLUSIVE REDES.</v>
          </cell>
        </row>
        <row r="49">
          <cell r="B49" t="str">
            <v>FORNECIMENTO E INSTALAÇÃO DE GRAMA SINTÉTICA 42MM, ALTA DURABILIDADE, COR VERDE, PROTEÇÃO RAIOS UV E LUZ SOLAR, INCLUSO COLA, TYPE, AREIA TRATADA, BORRACHA E MÃO DE OBRA ESPECIALIZADA</v>
          </cell>
        </row>
        <row r="70">
          <cell r="B70" t="str">
            <v xml:space="preserve">CAPA SELANTE C/ PÓ DE PEDRA </v>
          </cell>
        </row>
      </sheetData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s://sites.seinfra.ce.gov.br/siproce/desonerada/html/C2850.html?a=162006878219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2"/>
  <sheetViews>
    <sheetView view="pageBreakPreview" zoomScale="85" zoomScaleNormal="100" zoomScaleSheetLayoutView="85" workbookViewId="0">
      <selection activeCell="D10" sqref="D10:H10"/>
    </sheetView>
  </sheetViews>
  <sheetFormatPr defaultRowHeight="15"/>
  <cols>
    <col min="1" max="1" width="17.42578125" style="26" bestFit="1" customWidth="1"/>
    <col min="2" max="2" width="17.140625" style="27" customWidth="1"/>
    <col min="3" max="3" width="35.85546875" style="27" customWidth="1"/>
    <col min="4" max="4" width="6.85546875" style="27" customWidth="1"/>
    <col min="5" max="5" width="8.85546875" style="28" bestFit="1" customWidth="1"/>
    <col min="6" max="7" width="13.5703125" style="29" bestFit="1" customWidth="1"/>
    <col min="8" max="8" width="23.5703125" style="29" customWidth="1"/>
    <col min="257" max="257" width="17.42578125" bestFit="1" customWidth="1"/>
    <col min="258" max="258" width="8.7109375" customWidth="1"/>
    <col min="259" max="259" width="58.85546875" customWidth="1"/>
    <col min="260" max="260" width="6.85546875" customWidth="1"/>
    <col min="261" max="261" width="8.42578125" bestFit="1" customWidth="1"/>
    <col min="262" max="262" width="11.28515625" bestFit="1" customWidth="1"/>
    <col min="263" max="264" width="13.5703125" bestFit="1" customWidth="1"/>
    <col min="513" max="513" width="17.42578125" bestFit="1" customWidth="1"/>
    <col min="514" max="514" width="8.7109375" customWidth="1"/>
    <col min="515" max="515" width="58.85546875" customWidth="1"/>
    <col min="516" max="516" width="6.85546875" customWidth="1"/>
    <col min="517" max="517" width="8.42578125" bestFit="1" customWidth="1"/>
    <col min="518" max="518" width="11.28515625" bestFit="1" customWidth="1"/>
    <col min="519" max="520" width="13.5703125" bestFit="1" customWidth="1"/>
    <col min="769" max="769" width="17.42578125" bestFit="1" customWidth="1"/>
    <col min="770" max="770" width="8.7109375" customWidth="1"/>
    <col min="771" max="771" width="58.85546875" customWidth="1"/>
    <col min="772" max="772" width="6.85546875" customWidth="1"/>
    <col min="773" max="773" width="8.42578125" bestFit="1" customWidth="1"/>
    <col min="774" max="774" width="11.28515625" bestFit="1" customWidth="1"/>
    <col min="775" max="776" width="13.5703125" bestFit="1" customWidth="1"/>
    <col min="1025" max="1025" width="17.42578125" bestFit="1" customWidth="1"/>
    <col min="1026" max="1026" width="8.7109375" customWidth="1"/>
    <col min="1027" max="1027" width="58.85546875" customWidth="1"/>
    <col min="1028" max="1028" width="6.85546875" customWidth="1"/>
    <col min="1029" max="1029" width="8.42578125" bestFit="1" customWidth="1"/>
    <col min="1030" max="1030" width="11.28515625" bestFit="1" customWidth="1"/>
    <col min="1031" max="1032" width="13.5703125" bestFit="1" customWidth="1"/>
    <col min="1281" max="1281" width="17.42578125" bestFit="1" customWidth="1"/>
    <col min="1282" max="1282" width="8.7109375" customWidth="1"/>
    <col min="1283" max="1283" width="58.85546875" customWidth="1"/>
    <col min="1284" max="1284" width="6.85546875" customWidth="1"/>
    <col min="1285" max="1285" width="8.42578125" bestFit="1" customWidth="1"/>
    <col min="1286" max="1286" width="11.28515625" bestFit="1" customWidth="1"/>
    <col min="1287" max="1288" width="13.5703125" bestFit="1" customWidth="1"/>
    <col min="1537" max="1537" width="17.42578125" bestFit="1" customWidth="1"/>
    <col min="1538" max="1538" width="8.7109375" customWidth="1"/>
    <col min="1539" max="1539" width="58.85546875" customWidth="1"/>
    <col min="1540" max="1540" width="6.85546875" customWidth="1"/>
    <col min="1541" max="1541" width="8.42578125" bestFit="1" customWidth="1"/>
    <col min="1542" max="1542" width="11.28515625" bestFit="1" customWidth="1"/>
    <col min="1543" max="1544" width="13.5703125" bestFit="1" customWidth="1"/>
    <col min="1793" max="1793" width="17.42578125" bestFit="1" customWidth="1"/>
    <col min="1794" max="1794" width="8.7109375" customWidth="1"/>
    <col min="1795" max="1795" width="58.85546875" customWidth="1"/>
    <col min="1796" max="1796" width="6.85546875" customWidth="1"/>
    <col min="1797" max="1797" width="8.42578125" bestFit="1" customWidth="1"/>
    <col min="1798" max="1798" width="11.28515625" bestFit="1" customWidth="1"/>
    <col min="1799" max="1800" width="13.5703125" bestFit="1" customWidth="1"/>
    <col min="2049" max="2049" width="17.42578125" bestFit="1" customWidth="1"/>
    <col min="2050" max="2050" width="8.7109375" customWidth="1"/>
    <col min="2051" max="2051" width="58.85546875" customWidth="1"/>
    <col min="2052" max="2052" width="6.85546875" customWidth="1"/>
    <col min="2053" max="2053" width="8.42578125" bestFit="1" customWidth="1"/>
    <col min="2054" max="2054" width="11.28515625" bestFit="1" customWidth="1"/>
    <col min="2055" max="2056" width="13.5703125" bestFit="1" customWidth="1"/>
    <col min="2305" max="2305" width="17.42578125" bestFit="1" customWidth="1"/>
    <col min="2306" max="2306" width="8.7109375" customWidth="1"/>
    <col min="2307" max="2307" width="58.85546875" customWidth="1"/>
    <col min="2308" max="2308" width="6.85546875" customWidth="1"/>
    <col min="2309" max="2309" width="8.42578125" bestFit="1" customWidth="1"/>
    <col min="2310" max="2310" width="11.28515625" bestFit="1" customWidth="1"/>
    <col min="2311" max="2312" width="13.5703125" bestFit="1" customWidth="1"/>
    <col min="2561" max="2561" width="17.42578125" bestFit="1" customWidth="1"/>
    <col min="2562" max="2562" width="8.7109375" customWidth="1"/>
    <col min="2563" max="2563" width="58.85546875" customWidth="1"/>
    <col min="2564" max="2564" width="6.85546875" customWidth="1"/>
    <col min="2565" max="2565" width="8.42578125" bestFit="1" customWidth="1"/>
    <col min="2566" max="2566" width="11.28515625" bestFit="1" customWidth="1"/>
    <col min="2567" max="2568" width="13.5703125" bestFit="1" customWidth="1"/>
    <col min="2817" max="2817" width="17.42578125" bestFit="1" customWidth="1"/>
    <col min="2818" max="2818" width="8.7109375" customWidth="1"/>
    <col min="2819" max="2819" width="58.85546875" customWidth="1"/>
    <col min="2820" max="2820" width="6.85546875" customWidth="1"/>
    <col min="2821" max="2821" width="8.42578125" bestFit="1" customWidth="1"/>
    <col min="2822" max="2822" width="11.28515625" bestFit="1" customWidth="1"/>
    <col min="2823" max="2824" width="13.5703125" bestFit="1" customWidth="1"/>
    <col min="3073" max="3073" width="17.42578125" bestFit="1" customWidth="1"/>
    <col min="3074" max="3074" width="8.7109375" customWidth="1"/>
    <col min="3075" max="3075" width="58.85546875" customWidth="1"/>
    <col min="3076" max="3076" width="6.85546875" customWidth="1"/>
    <col min="3077" max="3077" width="8.42578125" bestFit="1" customWidth="1"/>
    <col min="3078" max="3078" width="11.28515625" bestFit="1" customWidth="1"/>
    <col min="3079" max="3080" width="13.5703125" bestFit="1" customWidth="1"/>
    <col min="3329" max="3329" width="17.42578125" bestFit="1" customWidth="1"/>
    <col min="3330" max="3330" width="8.7109375" customWidth="1"/>
    <col min="3331" max="3331" width="58.85546875" customWidth="1"/>
    <col min="3332" max="3332" width="6.85546875" customWidth="1"/>
    <col min="3333" max="3333" width="8.42578125" bestFit="1" customWidth="1"/>
    <col min="3334" max="3334" width="11.28515625" bestFit="1" customWidth="1"/>
    <col min="3335" max="3336" width="13.5703125" bestFit="1" customWidth="1"/>
    <col min="3585" max="3585" width="17.42578125" bestFit="1" customWidth="1"/>
    <col min="3586" max="3586" width="8.7109375" customWidth="1"/>
    <col min="3587" max="3587" width="58.85546875" customWidth="1"/>
    <col min="3588" max="3588" width="6.85546875" customWidth="1"/>
    <col min="3589" max="3589" width="8.42578125" bestFit="1" customWidth="1"/>
    <col min="3590" max="3590" width="11.28515625" bestFit="1" customWidth="1"/>
    <col min="3591" max="3592" width="13.5703125" bestFit="1" customWidth="1"/>
    <col min="3841" max="3841" width="17.42578125" bestFit="1" customWidth="1"/>
    <col min="3842" max="3842" width="8.7109375" customWidth="1"/>
    <col min="3843" max="3843" width="58.85546875" customWidth="1"/>
    <col min="3844" max="3844" width="6.85546875" customWidth="1"/>
    <col min="3845" max="3845" width="8.42578125" bestFit="1" customWidth="1"/>
    <col min="3846" max="3846" width="11.28515625" bestFit="1" customWidth="1"/>
    <col min="3847" max="3848" width="13.5703125" bestFit="1" customWidth="1"/>
    <col min="4097" max="4097" width="17.42578125" bestFit="1" customWidth="1"/>
    <col min="4098" max="4098" width="8.7109375" customWidth="1"/>
    <col min="4099" max="4099" width="58.85546875" customWidth="1"/>
    <col min="4100" max="4100" width="6.85546875" customWidth="1"/>
    <col min="4101" max="4101" width="8.42578125" bestFit="1" customWidth="1"/>
    <col min="4102" max="4102" width="11.28515625" bestFit="1" customWidth="1"/>
    <col min="4103" max="4104" width="13.5703125" bestFit="1" customWidth="1"/>
    <col min="4353" max="4353" width="17.42578125" bestFit="1" customWidth="1"/>
    <col min="4354" max="4354" width="8.7109375" customWidth="1"/>
    <col min="4355" max="4355" width="58.85546875" customWidth="1"/>
    <col min="4356" max="4356" width="6.85546875" customWidth="1"/>
    <col min="4357" max="4357" width="8.42578125" bestFit="1" customWidth="1"/>
    <col min="4358" max="4358" width="11.28515625" bestFit="1" customWidth="1"/>
    <col min="4359" max="4360" width="13.5703125" bestFit="1" customWidth="1"/>
    <col min="4609" max="4609" width="17.42578125" bestFit="1" customWidth="1"/>
    <col min="4610" max="4610" width="8.7109375" customWidth="1"/>
    <col min="4611" max="4611" width="58.85546875" customWidth="1"/>
    <col min="4612" max="4612" width="6.85546875" customWidth="1"/>
    <col min="4613" max="4613" width="8.42578125" bestFit="1" customWidth="1"/>
    <col min="4614" max="4614" width="11.28515625" bestFit="1" customWidth="1"/>
    <col min="4615" max="4616" width="13.5703125" bestFit="1" customWidth="1"/>
    <col min="4865" max="4865" width="17.42578125" bestFit="1" customWidth="1"/>
    <col min="4866" max="4866" width="8.7109375" customWidth="1"/>
    <col min="4867" max="4867" width="58.85546875" customWidth="1"/>
    <col min="4868" max="4868" width="6.85546875" customWidth="1"/>
    <col min="4869" max="4869" width="8.42578125" bestFit="1" customWidth="1"/>
    <col min="4870" max="4870" width="11.28515625" bestFit="1" customWidth="1"/>
    <col min="4871" max="4872" width="13.5703125" bestFit="1" customWidth="1"/>
    <col min="5121" max="5121" width="17.42578125" bestFit="1" customWidth="1"/>
    <col min="5122" max="5122" width="8.7109375" customWidth="1"/>
    <col min="5123" max="5123" width="58.85546875" customWidth="1"/>
    <col min="5124" max="5124" width="6.85546875" customWidth="1"/>
    <col min="5125" max="5125" width="8.42578125" bestFit="1" customWidth="1"/>
    <col min="5126" max="5126" width="11.28515625" bestFit="1" customWidth="1"/>
    <col min="5127" max="5128" width="13.5703125" bestFit="1" customWidth="1"/>
    <col min="5377" max="5377" width="17.42578125" bestFit="1" customWidth="1"/>
    <col min="5378" max="5378" width="8.7109375" customWidth="1"/>
    <col min="5379" max="5379" width="58.85546875" customWidth="1"/>
    <col min="5380" max="5380" width="6.85546875" customWidth="1"/>
    <col min="5381" max="5381" width="8.42578125" bestFit="1" customWidth="1"/>
    <col min="5382" max="5382" width="11.28515625" bestFit="1" customWidth="1"/>
    <col min="5383" max="5384" width="13.5703125" bestFit="1" customWidth="1"/>
    <col min="5633" max="5633" width="17.42578125" bestFit="1" customWidth="1"/>
    <col min="5634" max="5634" width="8.7109375" customWidth="1"/>
    <col min="5635" max="5635" width="58.85546875" customWidth="1"/>
    <col min="5636" max="5636" width="6.85546875" customWidth="1"/>
    <col min="5637" max="5637" width="8.42578125" bestFit="1" customWidth="1"/>
    <col min="5638" max="5638" width="11.28515625" bestFit="1" customWidth="1"/>
    <col min="5639" max="5640" width="13.5703125" bestFit="1" customWidth="1"/>
    <col min="5889" max="5889" width="17.42578125" bestFit="1" customWidth="1"/>
    <col min="5890" max="5890" width="8.7109375" customWidth="1"/>
    <col min="5891" max="5891" width="58.85546875" customWidth="1"/>
    <col min="5892" max="5892" width="6.85546875" customWidth="1"/>
    <col min="5893" max="5893" width="8.42578125" bestFit="1" customWidth="1"/>
    <col min="5894" max="5894" width="11.28515625" bestFit="1" customWidth="1"/>
    <col min="5895" max="5896" width="13.5703125" bestFit="1" customWidth="1"/>
    <col min="6145" max="6145" width="17.42578125" bestFit="1" customWidth="1"/>
    <col min="6146" max="6146" width="8.7109375" customWidth="1"/>
    <col min="6147" max="6147" width="58.85546875" customWidth="1"/>
    <col min="6148" max="6148" width="6.85546875" customWidth="1"/>
    <col min="6149" max="6149" width="8.42578125" bestFit="1" customWidth="1"/>
    <col min="6150" max="6150" width="11.28515625" bestFit="1" customWidth="1"/>
    <col min="6151" max="6152" width="13.5703125" bestFit="1" customWidth="1"/>
    <col min="6401" max="6401" width="17.42578125" bestFit="1" customWidth="1"/>
    <col min="6402" max="6402" width="8.7109375" customWidth="1"/>
    <col min="6403" max="6403" width="58.85546875" customWidth="1"/>
    <col min="6404" max="6404" width="6.85546875" customWidth="1"/>
    <col min="6405" max="6405" width="8.42578125" bestFit="1" customWidth="1"/>
    <col min="6406" max="6406" width="11.28515625" bestFit="1" customWidth="1"/>
    <col min="6407" max="6408" width="13.5703125" bestFit="1" customWidth="1"/>
    <col min="6657" max="6657" width="17.42578125" bestFit="1" customWidth="1"/>
    <col min="6658" max="6658" width="8.7109375" customWidth="1"/>
    <col min="6659" max="6659" width="58.85546875" customWidth="1"/>
    <col min="6660" max="6660" width="6.85546875" customWidth="1"/>
    <col min="6661" max="6661" width="8.42578125" bestFit="1" customWidth="1"/>
    <col min="6662" max="6662" width="11.28515625" bestFit="1" customWidth="1"/>
    <col min="6663" max="6664" width="13.5703125" bestFit="1" customWidth="1"/>
    <col min="6913" max="6913" width="17.42578125" bestFit="1" customWidth="1"/>
    <col min="6914" max="6914" width="8.7109375" customWidth="1"/>
    <col min="6915" max="6915" width="58.85546875" customWidth="1"/>
    <col min="6916" max="6916" width="6.85546875" customWidth="1"/>
    <col min="6917" max="6917" width="8.42578125" bestFit="1" customWidth="1"/>
    <col min="6918" max="6918" width="11.28515625" bestFit="1" customWidth="1"/>
    <col min="6919" max="6920" width="13.5703125" bestFit="1" customWidth="1"/>
    <col min="7169" max="7169" width="17.42578125" bestFit="1" customWidth="1"/>
    <col min="7170" max="7170" width="8.7109375" customWidth="1"/>
    <col min="7171" max="7171" width="58.85546875" customWidth="1"/>
    <col min="7172" max="7172" width="6.85546875" customWidth="1"/>
    <col min="7173" max="7173" width="8.42578125" bestFit="1" customWidth="1"/>
    <col min="7174" max="7174" width="11.28515625" bestFit="1" customWidth="1"/>
    <col min="7175" max="7176" width="13.5703125" bestFit="1" customWidth="1"/>
    <col min="7425" max="7425" width="17.42578125" bestFit="1" customWidth="1"/>
    <col min="7426" max="7426" width="8.7109375" customWidth="1"/>
    <col min="7427" max="7427" width="58.85546875" customWidth="1"/>
    <col min="7428" max="7428" width="6.85546875" customWidth="1"/>
    <col min="7429" max="7429" width="8.42578125" bestFit="1" customWidth="1"/>
    <col min="7430" max="7430" width="11.28515625" bestFit="1" customWidth="1"/>
    <col min="7431" max="7432" width="13.5703125" bestFit="1" customWidth="1"/>
    <col min="7681" max="7681" width="17.42578125" bestFit="1" customWidth="1"/>
    <col min="7682" max="7682" width="8.7109375" customWidth="1"/>
    <col min="7683" max="7683" width="58.85546875" customWidth="1"/>
    <col min="7684" max="7684" width="6.85546875" customWidth="1"/>
    <col min="7685" max="7685" width="8.42578125" bestFit="1" customWidth="1"/>
    <col min="7686" max="7686" width="11.28515625" bestFit="1" customWidth="1"/>
    <col min="7687" max="7688" width="13.5703125" bestFit="1" customWidth="1"/>
    <col min="7937" max="7937" width="17.42578125" bestFit="1" customWidth="1"/>
    <col min="7938" max="7938" width="8.7109375" customWidth="1"/>
    <col min="7939" max="7939" width="58.85546875" customWidth="1"/>
    <col min="7940" max="7940" width="6.85546875" customWidth="1"/>
    <col min="7941" max="7941" width="8.42578125" bestFit="1" customWidth="1"/>
    <col min="7942" max="7942" width="11.28515625" bestFit="1" customWidth="1"/>
    <col min="7943" max="7944" width="13.5703125" bestFit="1" customWidth="1"/>
    <col min="8193" max="8193" width="17.42578125" bestFit="1" customWidth="1"/>
    <col min="8194" max="8194" width="8.7109375" customWidth="1"/>
    <col min="8195" max="8195" width="58.85546875" customWidth="1"/>
    <col min="8196" max="8196" width="6.85546875" customWidth="1"/>
    <col min="8197" max="8197" width="8.42578125" bestFit="1" customWidth="1"/>
    <col min="8198" max="8198" width="11.28515625" bestFit="1" customWidth="1"/>
    <col min="8199" max="8200" width="13.5703125" bestFit="1" customWidth="1"/>
    <col min="8449" max="8449" width="17.42578125" bestFit="1" customWidth="1"/>
    <col min="8450" max="8450" width="8.7109375" customWidth="1"/>
    <col min="8451" max="8451" width="58.85546875" customWidth="1"/>
    <col min="8452" max="8452" width="6.85546875" customWidth="1"/>
    <col min="8453" max="8453" width="8.42578125" bestFit="1" customWidth="1"/>
    <col min="8454" max="8454" width="11.28515625" bestFit="1" customWidth="1"/>
    <col min="8455" max="8456" width="13.5703125" bestFit="1" customWidth="1"/>
    <col min="8705" max="8705" width="17.42578125" bestFit="1" customWidth="1"/>
    <col min="8706" max="8706" width="8.7109375" customWidth="1"/>
    <col min="8707" max="8707" width="58.85546875" customWidth="1"/>
    <col min="8708" max="8708" width="6.85546875" customWidth="1"/>
    <col min="8709" max="8709" width="8.42578125" bestFit="1" customWidth="1"/>
    <col min="8710" max="8710" width="11.28515625" bestFit="1" customWidth="1"/>
    <col min="8711" max="8712" width="13.5703125" bestFit="1" customWidth="1"/>
    <col min="8961" max="8961" width="17.42578125" bestFit="1" customWidth="1"/>
    <col min="8962" max="8962" width="8.7109375" customWidth="1"/>
    <col min="8963" max="8963" width="58.85546875" customWidth="1"/>
    <col min="8964" max="8964" width="6.85546875" customWidth="1"/>
    <col min="8965" max="8965" width="8.42578125" bestFit="1" customWidth="1"/>
    <col min="8966" max="8966" width="11.28515625" bestFit="1" customWidth="1"/>
    <col min="8967" max="8968" width="13.5703125" bestFit="1" customWidth="1"/>
    <col min="9217" max="9217" width="17.42578125" bestFit="1" customWidth="1"/>
    <col min="9218" max="9218" width="8.7109375" customWidth="1"/>
    <col min="9219" max="9219" width="58.85546875" customWidth="1"/>
    <col min="9220" max="9220" width="6.85546875" customWidth="1"/>
    <col min="9221" max="9221" width="8.42578125" bestFit="1" customWidth="1"/>
    <col min="9222" max="9222" width="11.28515625" bestFit="1" customWidth="1"/>
    <col min="9223" max="9224" width="13.5703125" bestFit="1" customWidth="1"/>
    <col min="9473" max="9473" width="17.42578125" bestFit="1" customWidth="1"/>
    <col min="9474" max="9474" width="8.7109375" customWidth="1"/>
    <col min="9475" max="9475" width="58.85546875" customWidth="1"/>
    <col min="9476" max="9476" width="6.85546875" customWidth="1"/>
    <col min="9477" max="9477" width="8.42578125" bestFit="1" customWidth="1"/>
    <col min="9478" max="9478" width="11.28515625" bestFit="1" customWidth="1"/>
    <col min="9479" max="9480" width="13.5703125" bestFit="1" customWidth="1"/>
    <col min="9729" max="9729" width="17.42578125" bestFit="1" customWidth="1"/>
    <col min="9730" max="9730" width="8.7109375" customWidth="1"/>
    <col min="9731" max="9731" width="58.85546875" customWidth="1"/>
    <col min="9732" max="9732" width="6.85546875" customWidth="1"/>
    <col min="9733" max="9733" width="8.42578125" bestFit="1" customWidth="1"/>
    <col min="9734" max="9734" width="11.28515625" bestFit="1" customWidth="1"/>
    <col min="9735" max="9736" width="13.5703125" bestFit="1" customWidth="1"/>
    <col min="9985" max="9985" width="17.42578125" bestFit="1" customWidth="1"/>
    <col min="9986" max="9986" width="8.7109375" customWidth="1"/>
    <col min="9987" max="9987" width="58.85546875" customWidth="1"/>
    <col min="9988" max="9988" width="6.85546875" customWidth="1"/>
    <col min="9989" max="9989" width="8.42578125" bestFit="1" customWidth="1"/>
    <col min="9990" max="9990" width="11.28515625" bestFit="1" customWidth="1"/>
    <col min="9991" max="9992" width="13.5703125" bestFit="1" customWidth="1"/>
    <col min="10241" max="10241" width="17.42578125" bestFit="1" customWidth="1"/>
    <col min="10242" max="10242" width="8.7109375" customWidth="1"/>
    <col min="10243" max="10243" width="58.85546875" customWidth="1"/>
    <col min="10244" max="10244" width="6.85546875" customWidth="1"/>
    <col min="10245" max="10245" width="8.42578125" bestFit="1" customWidth="1"/>
    <col min="10246" max="10246" width="11.28515625" bestFit="1" customWidth="1"/>
    <col min="10247" max="10248" width="13.5703125" bestFit="1" customWidth="1"/>
    <col min="10497" max="10497" width="17.42578125" bestFit="1" customWidth="1"/>
    <col min="10498" max="10498" width="8.7109375" customWidth="1"/>
    <col min="10499" max="10499" width="58.85546875" customWidth="1"/>
    <col min="10500" max="10500" width="6.85546875" customWidth="1"/>
    <col min="10501" max="10501" width="8.42578125" bestFit="1" customWidth="1"/>
    <col min="10502" max="10502" width="11.28515625" bestFit="1" customWidth="1"/>
    <col min="10503" max="10504" width="13.5703125" bestFit="1" customWidth="1"/>
    <col min="10753" max="10753" width="17.42578125" bestFit="1" customWidth="1"/>
    <col min="10754" max="10754" width="8.7109375" customWidth="1"/>
    <col min="10755" max="10755" width="58.85546875" customWidth="1"/>
    <col min="10756" max="10756" width="6.85546875" customWidth="1"/>
    <col min="10757" max="10757" width="8.42578125" bestFit="1" customWidth="1"/>
    <col min="10758" max="10758" width="11.28515625" bestFit="1" customWidth="1"/>
    <col min="10759" max="10760" width="13.5703125" bestFit="1" customWidth="1"/>
    <col min="11009" max="11009" width="17.42578125" bestFit="1" customWidth="1"/>
    <col min="11010" max="11010" width="8.7109375" customWidth="1"/>
    <col min="11011" max="11011" width="58.85546875" customWidth="1"/>
    <col min="11012" max="11012" width="6.85546875" customWidth="1"/>
    <col min="11013" max="11013" width="8.42578125" bestFit="1" customWidth="1"/>
    <col min="11014" max="11014" width="11.28515625" bestFit="1" customWidth="1"/>
    <col min="11015" max="11016" width="13.5703125" bestFit="1" customWidth="1"/>
    <col min="11265" max="11265" width="17.42578125" bestFit="1" customWidth="1"/>
    <col min="11266" max="11266" width="8.7109375" customWidth="1"/>
    <col min="11267" max="11267" width="58.85546875" customWidth="1"/>
    <col min="11268" max="11268" width="6.85546875" customWidth="1"/>
    <col min="11269" max="11269" width="8.42578125" bestFit="1" customWidth="1"/>
    <col min="11270" max="11270" width="11.28515625" bestFit="1" customWidth="1"/>
    <col min="11271" max="11272" width="13.5703125" bestFit="1" customWidth="1"/>
    <col min="11521" max="11521" width="17.42578125" bestFit="1" customWidth="1"/>
    <col min="11522" max="11522" width="8.7109375" customWidth="1"/>
    <col min="11523" max="11523" width="58.85546875" customWidth="1"/>
    <col min="11524" max="11524" width="6.85546875" customWidth="1"/>
    <col min="11525" max="11525" width="8.42578125" bestFit="1" customWidth="1"/>
    <col min="11526" max="11526" width="11.28515625" bestFit="1" customWidth="1"/>
    <col min="11527" max="11528" width="13.5703125" bestFit="1" customWidth="1"/>
    <col min="11777" max="11777" width="17.42578125" bestFit="1" customWidth="1"/>
    <col min="11778" max="11778" width="8.7109375" customWidth="1"/>
    <col min="11779" max="11779" width="58.85546875" customWidth="1"/>
    <col min="11780" max="11780" width="6.85546875" customWidth="1"/>
    <col min="11781" max="11781" width="8.42578125" bestFit="1" customWidth="1"/>
    <col min="11782" max="11782" width="11.28515625" bestFit="1" customWidth="1"/>
    <col min="11783" max="11784" width="13.5703125" bestFit="1" customWidth="1"/>
    <col min="12033" max="12033" width="17.42578125" bestFit="1" customWidth="1"/>
    <col min="12034" max="12034" width="8.7109375" customWidth="1"/>
    <col min="12035" max="12035" width="58.85546875" customWidth="1"/>
    <col min="12036" max="12036" width="6.85546875" customWidth="1"/>
    <col min="12037" max="12037" width="8.42578125" bestFit="1" customWidth="1"/>
    <col min="12038" max="12038" width="11.28515625" bestFit="1" customWidth="1"/>
    <col min="12039" max="12040" width="13.5703125" bestFit="1" customWidth="1"/>
    <col min="12289" max="12289" width="17.42578125" bestFit="1" customWidth="1"/>
    <col min="12290" max="12290" width="8.7109375" customWidth="1"/>
    <col min="12291" max="12291" width="58.85546875" customWidth="1"/>
    <col min="12292" max="12292" width="6.85546875" customWidth="1"/>
    <col min="12293" max="12293" width="8.42578125" bestFit="1" customWidth="1"/>
    <col min="12294" max="12294" width="11.28515625" bestFit="1" customWidth="1"/>
    <col min="12295" max="12296" width="13.5703125" bestFit="1" customWidth="1"/>
    <col min="12545" max="12545" width="17.42578125" bestFit="1" customWidth="1"/>
    <col min="12546" max="12546" width="8.7109375" customWidth="1"/>
    <col min="12547" max="12547" width="58.85546875" customWidth="1"/>
    <col min="12548" max="12548" width="6.85546875" customWidth="1"/>
    <col min="12549" max="12549" width="8.42578125" bestFit="1" customWidth="1"/>
    <col min="12550" max="12550" width="11.28515625" bestFit="1" customWidth="1"/>
    <col min="12551" max="12552" width="13.5703125" bestFit="1" customWidth="1"/>
    <col min="12801" max="12801" width="17.42578125" bestFit="1" customWidth="1"/>
    <col min="12802" max="12802" width="8.7109375" customWidth="1"/>
    <col min="12803" max="12803" width="58.85546875" customWidth="1"/>
    <col min="12804" max="12804" width="6.85546875" customWidth="1"/>
    <col min="12805" max="12805" width="8.42578125" bestFit="1" customWidth="1"/>
    <col min="12806" max="12806" width="11.28515625" bestFit="1" customWidth="1"/>
    <col min="12807" max="12808" width="13.5703125" bestFit="1" customWidth="1"/>
    <col min="13057" max="13057" width="17.42578125" bestFit="1" customWidth="1"/>
    <col min="13058" max="13058" width="8.7109375" customWidth="1"/>
    <col min="13059" max="13059" width="58.85546875" customWidth="1"/>
    <col min="13060" max="13060" width="6.85546875" customWidth="1"/>
    <col min="13061" max="13061" width="8.42578125" bestFit="1" customWidth="1"/>
    <col min="13062" max="13062" width="11.28515625" bestFit="1" customWidth="1"/>
    <col min="13063" max="13064" width="13.5703125" bestFit="1" customWidth="1"/>
    <col min="13313" max="13313" width="17.42578125" bestFit="1" customWidth="1"/>
    <col min="13314" max="13314" width="8.7109375" customWidth="1"/>
    <col min="13315" max="13315" width="58.85546875" customWidth="1"/>
    <col min="13316" max="13316" width="6.85546875" customWidth="1"/>
    <col min="13317" max="13317" width="8.42578125" bestFit="1" customWidth="1"/>
    <col min="13318" max="13318" width="11.28515625" bestFit="1" customWidth="1"/>
    <col min="13319" max="13320" width="13.5703125" bestFit="1" customWidth="1"/>
    <col min="13569" max="13569" width="17.42578125" bestFit="1" customWidth="1"/>
    <col min="13570" max="13570" width="8.7109375" customWidth="1"/>
    <col min="13571" max="13571" width="58.85546875" customWidth="1"/>
    <col min="13572" max="13572" width="6.85546875" customWidth="1"/>
    <col min="13573" max="13573" width="8.42578125" bestFit="1" customWidth="1"/>
    <col min="13574" max="13574" width="11.28515625" bestFit="1" customWidth="1"/>
    <col min="13575" max="13576" width="13.5703125" bestFit="1" customWidth="1"/>
    <col min="13825" max="13825" width="17.42578125" bestFit="1" customWidth="1"/>
    <col min="13826" max="13826" width="8.7109375" customWidth="1"/>
    <col min="13827" max="13827" width="58.85546875" customWidth="1"/>
    <col min="13828" max="13828" width="6.85546875" customWidth="1"/>
    <col min="13829" max="13829" width="8.42578125" bestFit="1" customWidth="1"/>
    <col min="13830" max="13830" width="11.28515625" bestFit="1" customWidth="1"/>
    <col min="13831" max="13832" width="13.5703125" bestFit="1" customWidth="1"/>
    <col min="14081" max="14081" width="17.42578125" bestFit="1" customWidth="1"/>
    <col min="14082" max="14082" width="8.7109375" customWidth="1"/>
    <col min="14083" max="14083" width="58.85546875" customWidth="1"/>
    <col min="14084" max="14084" width="6.85546875" customWidth="1"/>
    <col min="14085" max="14085" width="8.42578125" bestFit="1" customWidth="1"/>
    <col min="14086" max="14086" width="11.28515625" bestFit="1" customWidth="1"/>
    <col min="14087" max="14088" width="13.5703125" bestFit="1" customWidth="1"/>
    <col min="14337" max="14337" width="17.42578125" bestFit="1" customWidth="1"/>
    <col min="14338" max="14338" width="8.7109375" customWidth="1"/>
    <col min="14339" max="14339" width="58.85546875" customWidth="1"/>
    <col min="14340" max="14340" width="6.85546875" customWidth="1"/>
    <col min="14341" max="14341" width="8.42578125" bestFit="1" customWidth="1"/>
    <col min="14342" max="14342" width="11.28515625" bestFit="1" customWidth="1"/>
    <col min="14343" max="14344" width="13.5703125" bestFit="1" customWidth="1"/>
    <col min="14593" max="14593" width="17.42578125" bestFit="1" customWidth="1"/>
    <col min="14594" max="14594" width="8.7109375" customWidth="1"/>
    <col min="14595" max="14595" width="58.85546875" customWidth="1"/>
    <col min="14596" max="14596" width="6.85546875" customWidth="1"/>
    <col min="14597" max="14597" width="8.42578125" bestFit="1" customWidth="1"/>
    <col min="14598" max="14598" width="11.28515625" bestFit="1" customWidth="1"/>
    <col min="14599" max="14600" width="13.5703125" bestFit="1" customWidth="1"/>
    <col min="14849" max="14849" width="17.42578125" bestFit="1" customWidth="1"/>
    <col min="14850" max="14850" width="8.7109375" customWidth="1"/>
    <col min="14851" max="14851" width="58.85546875" customWidth="1"/>
    <col min="14852" max="14852" width="6.85546875" customWidth="1"/>
    <col min="14853" max="14853" width="8.42578125" bestFit="1" customWidth="1"/>
    <col min="14854" max="14854" width="11.28515625" bestFit="1" customWidth="1"/>
    <col min="14855" max="14856" width="13.5703125" bestFit="1" customWidth="1"/>
    <col min="15105" max="15105" width="17.42578125" bestFit="1" customWidth="1"/>
    <col min="15106" max="15106" width="8.7109375" customWidth="1"/>
    <col min="15107" max="15107" width="58.85546875" customWidth="1"/>
    <col min="15108" max="15108" width="6.85546875" customWidth="1"/>
    <col min="15109" max="15109" width="8.42578125" bestFit="1" customWidth="1"/>
    <col min="15110" max="15110" width="11.28515625" bestFit="1" customWidth="1"/>
    <col min="15111" max="15112" width="13.5703125" bestFit="1" customWidth="1"/>
    <col min="15361" max="15361" width="17.42578125" bestFit="1" customWidth="1"/>
    <col min="15362" max="15362" width="8.7109375" customWidth="1"/>
    <col min="15363" max="15363" width="58.85546875" customWidth="1"/>
    <col min="15364" max="15364" width="6.85546875" customWidth="1"/>
    <col min="15365" max="15365" width="8.42578125" bestFit="1" customWidth="1"/>
    <col min="15366" max="15366" width="11.28515625" bestFit="1" customWidth="1"/>
    <col min="15367" max="15368" width="13.5703125" bestFit="1" customWidth="1"/>
    <col min="15617" max="15617" width="17.42578125" bestFit="1" customWidth="1"/>
    <col min="15618" max="15618" width="8.7109375" customWidth="1"/>
    <col min="15619" max="15619" width="58.85546875" customWidth="1"/>
    <col min="15620" max="15620" width="6.85546875" customWidth="1"/>
    <col min="15621" max="15621" width="8.42578125" bestFit="1" customWidth="1"/>
    <col min="15622" max="15622" width="11.28515625" bestFit="1" customWidth="1"/>
    <col min="15623" max="15624" width="13.5703125" bestFit="1" customWidth="1"/>
    <col min="15873" max="15873" width="17.42578125" bestFit="1" customWidth="1"/>
    <col min="15874" max="15874" width="8.7109375" customWidth="1"/>
    <col min="15875" max="15875" width="58.85546875" customWidth="1"/>
    <col min="15876" max="15876" width="6.85546875" customWidth="1"/>
    <col min="15877" max="15877" width="8.42578125" bestFit="1" customWidth="1"/>
    <col min="15878" max="15878" width="11.28515625" bestFit="1" customWidth="1"/>
    <col min="15879" max="15880" width="13.5703125" bestFit="1" customWidth="1"/>
    <col min="16129" max="16129" width="17.42578125" bestFit="1" customWidth="1"/>
    <col min="16130" max="16130" width="8.7109375" customWidth="1"/>
    <col min="16131" max="16131" width="58.85546875" customWidth="1"/>
    <col min="16132" max="16132" width="6.85546875" customWidth="1"/>
    <col min="16133" max="16133" width="8.42578125" bestFit="1" customWidth="1"/>
    <col min="16134" max="16134" width="11.28515625" bestFit="1" customWidth="1"/>
    <col min="16135" max="16136" width="13.5703125" bestFit="1" customWidth="1"/>
  </cols>
  <sheetData>
    <row r="1" spans="1:13">
      <c r="A1" s="961"/>
      <c r="B1" s="962"/>
      <c r="C1" s="963" t="s">
        <v>17</v>
      </c>
      <c r="D1" s="963"/>
      <c r="E1" s="963"/>
      <c r="F1" s="963"/>
      <c r="G1" s="963"/>
      <c r="H1" s="963"/>
    </row>
    <row r="2" spans="1:13">
      <c r="A2" s="962"/>
      <c r="B2" s="962"/>
      <c r="C2" s="963"/>
      <c r="D2" s="963"/>
      <c r="E2" s="963"/>
      <c r="F2" s="963"/>
      <c r="G2" s="963"/>
      <c r="H2" s="963"/>
    </row>
    <row r="3" spans="1:13">
      <c r="A3" s="962"/>
      <c r="B3" s="962"/>
      <c r="C3" s="963"/>
      <c r="D3" s="963"/>
      <c r="E3" s="963"/>
      <c r="F3" s="963"/>
      <c r="G3" s="963"/>
      <c r="H3" s="963"/>
    </row>
    <row r="4" spans="1:13">
      <c r="A4" s="962"/>
      <c r="B4" s="962"/>
      <c r="C4" s="963"/>
      <c r="D4" s="963"/>
      <c r="E4" s="963"/>
      <c r="F4" s="963"/>
      <c r="G4" s="963"/>
      <c r="H4" s="963"/>
    </row>
    <row r="5" spans="1:13">
      <c r="A5" s="962"/>
      <c r="B5" s="962"/>
      <c r="C5" s="963"/>
      <c r="D5" s="963"/>
      <c r="E5" s="963"/>
      <c r="F5" s="963"/>
      <c r="G5" s="963"/>
      <c r="H5" s="963"/>
    </row>
    <row r="6" spans="1:13">
      <c r="A6" s="963" t="s">
        <v>80</v>
      </c>
      <c r="B6" s="967"/>
      <c r="C6" s="963" t="s">
        <v>1039</v>
      </c>
      <c r="D6" s="963"/>
      <c r="E6" s="963"/>
      <c r="F6" s="963"/>
      <c r="G6" s="963"/>
      <c r="H6" s="963"/>
    </row>
    <row r="7" spans="1:13">
      <c r="A7" s="967"/>
      <c r="B7" s="967"/>
      <c r="C7" s="963"/>
      <c r="D7" s="963"/>
      <c r="E7" s="963"/>
      <c r="F7" s="963"/>
      <c r="G7" s="963"/>
      <c r="H7" s="963"/>
    </row>
    <row r="8" spans="1:13" ht="15.75" customHeight="1">
      <c r="A8" s="963" t="s">
        <v>1581</v>
      </c>
      <c r="B8" s="963"/>
      <c r="C8" s="963" t="s">
        <v>1032</v>
      </c>
      <c r="D8" s="963"/>
      <c r="E8" s="963"/>
      <c r="F8" s="963"/>
      <c r="G8" s="963"/>
      <c r="H8" s="963"/>
    </row>
    <row r="9" spans="1:13" ht="14.25" customHeight="1">
      <c r="A9" s="963"/>
      <c r="B9" s="963"/>
      <c r="C9" s="963"/>
      <c r="D9" s="963"/>
      <c r="E9" s="963"/>
      <c r="F9" s="963"/>
      <c r="G9" s="963"/>
      <c r="H9" s="963"/>
    </row>
    <row r="10" spans="1:13" ht="17.25" customHeight="1">
      <c r="A10" s="958" t="s">
        <v>220</v>
      </c>
      <c r="B10" s="958"/>
      <c r="C10" s="102" t="s">
        <v>221</v>
      </c>
      <c r="D10" s="945"/>
      <c r="E10" s="946"/>
      <c r="F10" s="946"/>
      <c r="G10" s="946"/>
      <c r="H10" s="947"/>
    </row>
    <row r="11" spans="1:13">
      <c r="A11" s="964" t="s">
        <v>1043</v>
      </c>
      <c r="B11" s="964"/>
      <c r="C11" s="964"/>
      <c r="D11" s="964"/>
      <c r="E11" s="964"/>
      <c r="F11" s="964"/>
      <c r="G11" s="965" t="s">
        <v>2</v>
      </c>
      <c r="H11" s="966">
        <f>[5]BDI!O29</f>
        <v>0.25215503759149449</v>
      </c>
    </row>
    <row r="12" spans="1:13">
      <c r="A12" s="964" t="s">
        <v>1042</v>
      </c>
      <c r="B12" s="964"/>
      <c r="C12" s="964"/>
      <c r="D12" s="964"/>
      <c r="E12" s="964"/>
      <c r="F12" s="964"/>
      <c r="G12" s="965"/>
      <c r="H12" s="966"/>
    </row>
    <row r="13" spans="1:13">
      <c r="A13" s="968" t="s">
        <v>18</v>
      </c>
      <c r="B13" s="968" t="s">
        <v>19</v>
      </c>
      <c r="C13" s="968" t="s">
        <v>20</v>
      </c>
      <c r="D13" s="972"/>
      <c r="E13" s="972"/>
      <c r="F13" s="972"/>
      <c r="G13" s="972"/>
      <c r="H13" s="972"/>
    </row>
    <row r="14" spans="1:13">
      <c r="A14" s="969"/>
      <c r="B14" s="968"/>
      <c r="C14" s="968"/>
      <c r="D14" s="1" t="s">
        <v>21</v>
      </c>
      <c r="E14" s="2" t="s">
        <v>22</v>
      </c>
      <c r="F14" s="3" t="s">
        <v>23</v>
      </c>
      <c r="G14" s="3" t="s">
        <v>24</v>
      </c>
      <c r="H14" s="3" t="s">
        <v>25</v>
      </c>
    </row>
    <row r="15" spans="1:13" ht="34.5" customHeight="1">
      <c r="A15" s="4"/>
      <c r="B15" s="4" t="s">
        <v>26</v>
      </c>
      <c r="C15" s="5" t="s">
        <v>5</v>
      </c>
      <c r="D15" s="4"/>
      <c r="E15" s="6"/>
      <c r="F15" s="7"/>
      <c r="G15" s="7"/>
      <c r="H15" s="7">
        <f>SUM(H16:H20)</f>
        <v>15417.291939313707</v>
      </c>
    </row>
    <row r="16" spans="1:13" ht="51.75" customHeight="1">
      <c r="A16" s="1" t="str">
        <f>COMPOSIÇÕES!B5</f>
        <v>COMPOSIÇÃO 01</v>
      </c>
      <c r="B16" s="1" t="s">
        <v>6</v>
      </c>
      <c r="C16" s="8" t="str">
        <f>COMPOSIÇÕES!C5</f>
        <v>ATERRO COM AREIA FINA, COMPACTADO MECANICAMENTE, INCLUSIVE AQUISIÇÃO EM DEPOSITO DE MATERIAL, EXCLUSIVE TRANSPORTE - REV.03</v>
      </c>
      <c r="D16" s="35" t="s">
        <v>15</v>
      </c>
      <c r="E16" s="98">
        <f>'MEMORIA ANDRE VIDAL'!L190</f>
        <v>67.231999999999999</v>
      </c>
      <c r="F16" s="10">
        <f>COMPOSIÇÕES!G14</f>
        <v>155.67399999999998</v>
      </c>
      <c r="G16" s="101">
        <f>F16+F16*$H$11</f>
        <v>194.92798332201829</v>
      </c>
      <c r="H16" s="10">
        <f>G16*E16</f>
        <v>13105.398174705933</v>
      </c>
      <c r="I16" s="973" t="s">
        <v>91</v>
      </c>
      <c r="J16" s="974"/>
      <c r="K16" s="974"/>
      <c r="L16" s="974"/>
      <c r="M16" s="974"/>
    </row>
    <row r="17" spans="1:13" ht="30" customHeight="1">
      <c r="A17" s="38" t="s">
        <v>1084</v>
      </c>
      <c r="B17" s="1" t="s">
        <v>29</v>
      </c>
      <c r="C17" s="258" t="s">
        <v>10</v>
      </c>
      <c r="D17" s="1" t="s">
        <v>7</v>
      </c>
      <c r="E17" s="99">
        <v>20</v>
      </c>
      <c r="F17" s="314">
        <v>2.73</v>
      </c>
      <c r="G17" s="101">
        <f t="shared" ref="G17:G57" si="0">F17+F17*$H$11</f>
        <v>3.4183832526247802</v>
      </c>
      <c r="H17" s="10">
        <f>G17*E17</f>
        <v>68.367665052495596</v>
      </c>
      <c r="I17" s="970" t="s">
        <v>91</v>
      </c>
      <c r="J17" s="971"/>
      <c r="K17" s="971"/>
      <c r="L17" s="971"/>
      <c r="M17" s="971"/>
    </row>
    <row r="18" spans="1:13" s="11" customFormat="1" ht="36">
      <c r="A18" s="1" t="s">
        <v>16</v>
      </c>
      <c r="B18" s="1" t="s">
        <v>31</v>
      </c>
      <c r="C18" s="8" t="s">
        <v>27</v>
      </c>
      <c r="D18" s="1" t="s">
        <v>7</v>
      </c>
      <c r="E18" s="100">
        <f>'MEMORIA ANDRE VIDAL'!L202</f>
        <v>36</v>
      </c>
      <c r="F18" s="10">
        <v>2.62</v>
      </c>
      <c r="G18" s="101">
        <f t="shared" si="0"/>
        <v>3.2806461984897157</v>
      </c>
      <c r="H18" s="10">
        <f>G18*E18</f>
        <v>118.10326314562977</v>
      </c>
      <c r="I18" s="970" t="s">
        <v>92</v>
      </c>
      <c r="J18" s="971"/>
      <c r="K18" s="971"/>
      <c r="L18" s="971"/>
      <c r="M18" s="971"/>
    </row>
    <row r="19" spans="1:13" s="11" customFormat="1" ht="36">
      <c r="A19" s="1" t="s">
        <v>28</v>
      </c>
      <c r="B19" s="1" t="s">
        <v>79</v>
      </c>
      <c r="C19" s="8" t="s">
        <v>8</v>
      </c>
      <c r="D19" s="1" t="s">
        <v>7</v>
      </c>
      <c r="E19" s="100">
        <f>'MEMORIA ANDRE VIDAL'!L207</f>
        <v>54.012600000000006</v>
      </c>
      <c r="F19" s="10">
        <v>18.8</v>
      </c>
      <c r="G19" s="101">
        <f t="shared" si="0"/>
        <v>23.540514706720096</v>
      </c>
      <c r="H19" s="10">
        <f>G19*E19</f>
        <v>1271.4844046481901</v>
      </c>
      <c r="I19" s="959" t="s">
        <v>93</v>
      </c>
      <c r="J19" s="960"/>
      <c r="K19" s="960"/>
      <c r="L19" s="960"/>
      <c r="M19" s="960"/>
    </row>
    <row r="20" spans="1:13" s="11" customFormat="1" ht="24">
      <c r="A20" s="38" t="str">
        <f>COMPOSIÇÕES!B16</f>
        <v>COMPOSIÇÃO 02</v>
      </c>
      <c r="B20" s="1" t="s">
        <v>196</v>
      </c>
      <c r="C20" s="312" t="str">
        <f>COMPOSIÇÕES!C16</f>
        <v>DEMOLIÇÃO DE PISO DE ALTA RESISTÊNCIA</v>
      </c>
      <c r="D20" s="1" t="s">
        <v>7</v>
      </c>
      <c r="E20" s="100">
        <v>35</v>
      </c>
      <c r="F20" s="10">
        <f>COMPOSIÇÕES!G22</f>
        <v>19.484999999999999</v>
      </c>
      <c r="G20" s="101">
        <f t="shared" si="0"/>
        <v>24.398240907470267</v>
      </c>
      <c r="H20" s="10">
        <f>G20*E20</f>
        <v>853.93843176145936</v>
      </c>
      <c r="I20" s="970" t="s">
        <v>94</v>
      </c>
      <c r="J20" s="971"/>
      <c r="K20" s="971"/>
      <c r="L20" s="971"/>
      <c r="M20" s="971"/>
    </row>
    <row r="21" spans="1:13">
      <c r="A21" s="954"/>
      <c r="B21" s="955"/>
      <c r="C21" s="955"/>
      <c r="D21" s="955"/>
      <c r="E21" s="955"/>
      <c r="F21" s="955"/>
      <c r="G21" s="955"/>
      <c r="H21" s="956"/>
      <c r="I21" s="12"/>
      <c r="J21" s="12"/>
      <c r="K21" s="12"/>
    </row>
    <row r="22" spans="1:13">
      <c r="A22" s="4"/>
      <c r="B22" s="4" t="s">
        <v>32</v>
      </c>
      <c r="C22" s="5" t="s">
        <v>34</v>
      </c>
      <c r="D22" s="4"/>
      <c r="E22" s="6"/>
      <c r="F22" s="7"/>
      <c r="G22" s="7"/>
      <c r="H22" s="7">
        <f>SUM(H23:H29)</f>
        <v>52465.55052727685</v>
      </c>
      <c r="I22" s="12"/>
      <c r="J22" s="12"/>
      <c r="K22" s="12"/>
    </row>
    <row r="23" spans="1:13" ht="39.75" customHeight="1">
      <c r="A23" s="1" t="s">
        <v>36</v>
      </c>
      <c r="B23" s="358" t="s">
        <v>12</v>
      </c>
      <c r="C23" s="195" t="str">
        <f>'CRECHE VOVO PESSOINHA'!C27</f>
        <v>APLICAÇÃO MANUAL DE PINTURA COM TINTA LÁTEX ACRÍLICA EM PAREDES, DUAS DEMÃOS. AF_06/2014</v>
      </c>
      <c r="D23" s="13" t="s">
        <v>7</v>
      </c>
      <c r="E23" s="9">
        <v>375.2</v>
      </c>
      <c r="F23" s="32">
        <v>13.67</v>
      </c>
      <c r="G23" s="101">
        <f t="shared" si="0"/>
        <v>17.116959363875729</v>
      </c>
      <c r="H23" s="10">
        <f t="shared" ref="H23:H29" si="1">G23*E23</f>
        <v>6422.2831533261733</v>
      </c>
      <c r="I23" s="959" t="s">
        <v>95</v>
      </c>
      <c r="J23" s="960"/>
      <c r="K23" s="960"/>
      <c r="L23" s="960"/>
      <c r="M23" s="960"/>
    </row>
    <row r="24" spans="1:13" ht="42" customHeight="1">
      <c r="A24" s="1" t="s">
        <v>1285</v>
      </c>
      <c r="B24" s="370" t="s">
        <v>435</v>
      </c>
      <c r="C24" s="195" t="s">
        <v>841</v>
      </c>
      <c r="D24" s="13" t="s">
        <v>7</v>
      </c>
      <c r="E24" s="9">
        <f>'MEMORIA ANDRE VIDAL'!L638</f>
        <v>1290.7699999999998</v>
      </c>
      <c r="F24" s="32">
        <v>14.26</v>
      </c>
      <c r="G24" s="101">
        <f t="shared" si="0"/>
        <v>17.855730836054711</v>
      </c>
      <c r="H24" s="10">
        <f t="shared" si="1"/>
        <v>23047.641691254335</v>
      </c>
      <c r="I24" s="959" t="s">
        <v>234</v>
      </c>
      <c r="J24" s="960"/>
      <c r="K24" s="960"/>
      <c r="L24" s="960"/>
      <c r="M24" s="960"/>
    </row>
    <row r="25" spans="1:13" ht="40.5" customHeight="1">
      <c r="A25" s="358" t="str">
        <f>COMPOSIÇÕES!B188</f>
        <v>COMPOSIÇÃO 18</v>
      </c>
      <c r="B25" s="370" t="s">
        <v>436</v>
      </c>
      <c r="C25" s="386" t="str">
        <f>COMPOSIÇÕES!C188</f>
        <v>PINTURA DE ACABAMENTO COM APLICAÇÃO DE 02 DEMÃOS DE ESMALTE SOBRE PAREDE (EXTERNO E INTERNO)</v>
      </c>
      <c r="D25" s="13" t="s">
        <v>7</v>
      </c>
      <c r="E25" s="9">
        <f>'MEMORIA ANDRE VIDAL'!L667</f>
        <v>645.38499999999988</v>
      </c>
      <c r="F25" s="32">
        <f>COMPOSIÇÕES!G195</f>
        <v>15.700000000000001</v>
      </c>
      <c r="G25" s="349">
        <f t="shared" si="0"/>
        <v>19.658834090186463</v>
      </c>
      <c r="H25" s="10">
        <f t="shared" si="1"/>
        <v>12687.516639294989</v>
      </c>
      <c r="I25" s="356"/>
      <c r="J25" s="357"/>
      <c r="K25" s="357"/>
      <c r="L25" s="357"/>
      <c r="M25" s="357"/>
    </row>
    <row r="26" spans="1:13" ht="36.75">
      <c r="A26" s="1" t="str">
        <f>COMPOSIÇÕES!B622</f>
        <v>COMPOSIÇÃO 29</v>
      </c>
      <c r="B26" s="370" t="s">
        <v>437</v>
      </c>
      <c r="C26" s="344" t="str">
        <f>COMPOSIÇÕES!C622</f>
        <v>APLICAÇÃO MECÂNICA DE PINTURA COM TINTA LÁTEX PVA EM TETO, DUAS DEMÃOS</v>
      </c>
      <c r="D26" s="13" t="s">
        <v>7</v>
      </c>
      <c r="E26" s="9">
        <f>'MEMORIA ANDRE VIDAL'!K705</f>
        <v>95.449500000000015</v>
      </c>
      <c r="F26" s="32">
        <f>COMPOSIÇÕES!G630</f>
        <v>10.499575999999999</v>
      </c>
      <c r="G26" s="101">
        <f t="shared" si="0"/>
        <v>13.147096980974752</v>
      </c>
      <c r="H26" s="10">
        <f t="shared" si="1"/>
        <v>1254.8838332855498</v>
      </c>
      <c r="I26" s="959" t="s">
        <v>95</v>
      </c>
      <c r="J26" s="960"/>
      <c r="K26" s="960"/>
      <c r="L26" s="960"/>
      <c r="M26" s="960"/>
    </row>
    <row r="27" spans="1:13" ht="72">
      <c r="A27" s="1" t="s">
        <v>83</v>
      </c>
      <c r="B27" s="370" t="s">
        <v>438</v>
      </c>
      <c r="C27" s="8" t="s">
        <v>41</v>
      </c>
      <c r="D27" s="13" t="s">
        <v>7</v>
      </c>
      <c r="E27" s="9">
        <v>46.7</v>
      </c>
      <c r="F27" s="32">
        <v>8.44</v>
      </c>
      <c r="G27" s="101">
        <f t="shared" si="0"/>
        <v>10.568188517272212</v>
      </c>
      <c r="H27" s="10">
        <f t="shared" si="1"/>
        <v>493.53440375661233</v>
      </c>
      <c r="I27" s="959" t="s">
        <v>95</v>
      </c>
      <c r="J27" s="960"/>
      <c r="K27" s="960"/>
      <c r="L27" s="960"/>
      <c r="M27" s="960"/>
    </row>
    <row r="28" spans="1:13" ht="28.5" customHeight="1">
      <c r="A28" s="1" t="str">
        <f>COMPOSIÇÕES!B74</f>
        <v>COMPOSIÇÃO 07</v>
      </c>
      <c r="B28" s="370" t="s">
        <v>588</v>
      </c>
      <c r="C28" s="912" t="str">
        <f>COMPOSIÇÕES!C74</f>
        <v>PREPARO DE SUPERFICIE COM LIXAMENO DE PAREDES E TETOS</v>
      </c>
      <c r="D28" s="13" t="s">
        <v>7</v>
      </c>
      <c r="E28" s="9">
        <v>1761.42</v>
      </c>
      <c r="F28" s="32">
        <f>COMPOSIÇÕES!G80</f>
        <v>3.2896000000000005</v>
      </c>
      <c r="G28" s="101">
        <f t="shared" si="0"/>
        <v>4.119089211660981</v>
      </c>
      <c r="H28" s="10">
        <f t="shared" si="1"/>
        <v>7255.4461192038852</v>
      </c>
      <c r="I28" s="959" t="s">
        <v>345</v>
      </c>
      <c r="J28" s="959"/>
      <c r="K28" s="959"/>
      <c r="L28" s="959"/>
      <c r="M28" s="959"/>
    </row>
    <row r="29" spans="1:13" ht="58.5" customHeight="1">
      <c r="A29" s="270" t="s">
        <v>618</v>
      </c>
      <c r="B29" s="370" t="s">
        <v>696</v>
      </c>
      <c r="C29" s="231" t="s">
        <v>619</v>
      </c>
      <c r="D29" s="271" t="s">
        <v>7</v>
      </c>
      <c r="E29" s="34">
        <v>84</v>
      </c>
      <c r="F29" s="346">
        <v>12.4</v>
      </c>
      <c r="G29" s="273">
        <f t="shared" si="0"/>
        <v>15.526722466134533</v>
      </c>
      <c r="H29" s="10">
        <f t="shared" si="1"/>
        <v>1304.2446871553009</v>
      </c>
      <c r="I29" s="264"/>
      <c r="J29" s="264"/>
      <c r="K29" s="264"/>
      <c r="L29" s="264"/>
      <c r="M29" s="264"/>
    </row>
    <row r="30" spans="1:13">
      <c r="A30" s="954"/>
      <c r="B30" s="955"/>
      <c r="C30" s="955"/>
      <c r="D30" s="955"/>
      <c r="E30" s="955"/>
      <c r="F30" s="955"/>
      <c r="G30" s="955"/>
      <c r="H30" s="956"/>
      <c r="I30" s="12"/>
      <c r="J30" s="12"/>
      <c r="K30" s="12"/>
    </row>
    <row r="31" spans="1:13">
      <c r="A31" s="4"/>
      <c r="B31" s="4" t="s">
        <v>33</v>
      </c>
      <c r="C31" s="5" t="s">
        <v>43</v>
      </c>
      <c r="D31" s="4"/>
      <c r="E31" s="6"/>
      <c r="F31" s="7"/>
      <c r="G31" s="7"/>
      <c r="H31" s="7">
        <f>SUM(H32:H35)</f>
        <v>24093.29905335576</v>
      </c>
      <c r="I31" s="12"/>
      <c r="J31" s="12"/>
      <c r="K31" s="12"/>
    </row>
    <row r="32" spans="1:13" s="11" customFormat="1" ht="66.75" customHeight="1">
      <c r="A32" s="1" t="s">
        <v>44</v>
      </c>
      <c r="B32" s="865" t="s">
        <v>14</v>
      </c>
      <c r="C32" s="344" t="s">
        <v>915</v>
      </c>
      <c r="D32" s="13" t="s">
        <v>7</v>
      </c>
      <c r="E32" s="9">
        <v>81.25</v>
      </c>
      <c r="F32" s="10">
        <v>3.85</v>
      </c>
      <c r="G32" s="101">
        <f t="shared" si="0"/>
        <v>4.8207968947272537</v>
      </c>
      <c r="H32" s="10">
        <f>E32*G32</f>
        <v>391.68974769658934</v>
      </c>
      <c r="I32" s="970" t="s">
        <v>96</v>
      </c>
      <c r="J32" s="970"/>
      <c r="K32" s="970"/>
      <c r="L32" s="970"/>
    </row>
    <row r="33" spans="1:13" s="11" customFormat="1" ht="91.5" customHeight="1">
      <c r="A33" s="1" t="s">
        <v>47</v>
      </c>
      <c r="B33" s="865" t="s">
        <v>35</v>
      </c>
      <c r="C33" s="8" t="s">
        <v>48</v>
      </c>
      <c r="D33" s="13" t="s">
        <v>7</v>
      </c>
      <c r="E33" s="9">
        <f>'MEMORIA ANDRE VIDAL'!L738</f>
        <v>57.6</v>
      </c>
      <c r="F33" s="10">
        <v>63</v>
      </c>
      <c r="G33" s="101">
        <f t="shared" si="0"/>
        <v>78.885767368264155</v>
      </c>
      <c r="H33" s="10">
        <f>E33*G33</f>
        <v>4543.8202004120158</v>
      </c>
      <c r="I33" s="970" t="s">
        <v>97</v>
      </c>
      <c r="J33" s="970"/>
      <c r="K33" s="970"/>
      <c r="L33" s="970"/>
    </row>
    <row r="34" spans="1:13" s="11" customFormat="1" ht="79.5" customHeight="1">
      <c r="A34" s="1" t="s">
        <v>49</v>
      </c>
      <c r="B34" s="865" t="s">
        <v>37</v>
      </c>
      <c r="C34" s="8" t="s">
        <v>51</v>
      </c>
      <c r="D34" s="13" t="s">
        <v>30</v>
      </c>
      <c r="E34" s="9">
        <f>'MEMORIA ANDRE VIDAL'!L746</f>
        <v>110.42520000000002</v>
      </c>
      <c r="F34" s="10">
        <v>76.88</v>
      </c>
      <c r="G34" s="101">
        <f t="shared" si="0"/>
        <v>96.265679290034086</v>
      </c>
      <c r="H34" s="10">
        <f>E34*G34</f>
        <v>10630.156888737874</v>
      </c>
      <c r="I34" s="970" t="s">
        <v>97</v>
      </c>
      <c r="J34" s="970"/>
      <c r="K34" s="970"/>
      <c r="L34" s="970"/>
    </row>
    <row r="35" spans="1:13" s="11" customFormat="1" ht="70.5" customHeight="1">
      <c r="A35" s="1" t="s">
        <v>1549</v>
      </c>
      <c r="B35" s="865" t="s">
        <v>39</v>
      </c>
      <c r="C35" s="258" t="s">
        <v>82</v>
      </c>
      <c r="D35" s="13" t="s">
        <v>7</v>
      </c>
      <c r="E35" s="31">
        <v>157.83000000000001</v>
      </c>
      <c r="F35" s="314">
        <v>43.15</v>
      </c>
      <c r="G35" s="101">
        <f t="shared" si="0"/>
        <v>54.030489872072984</v>
      </c>
      <c r="H35" s="10">
        <f>E35*G35</f>
        <v>8527.6322165092788</v>
      </c>
      <c r="I35" s="970" t="s">
        <v>587</v>
      </c>
      <c r="J35" s="970"/>
      <c r="K35" s="970"/>
      <c r="L35" s="970"/>
    </row>
    <row r="36" spans="1:13">
      <c r="A36" s="951"/>
      <c r="B36" s="952"/>
      <c r="C36" s="952"/>
      <c r="D36" s="952"/>
      <c r="E36" s="952"/>
      <c r="F36" s="952"/>
      <c r="G36" s="952"/>
      <c r="H36" s="953"/>
      <c r="I36" s="12"/>
      <c r="J36" s="12"/>
      <c r="K36" s="12"/>
    </row>
    <row r="37" spans="1:13">
      <c r="A37" s="4"/>
      <c r="B37" s="4" t="s">
        <v>42</v>
      </c>
      <c r="C37" s="5" t="s">
        <v>53</v>
      </c>
      <c r="D37" s="4"/>
      <c r="E37" s="6"/>
      <c r="F37" s="7"/>
      <c r="G37" s="7"/>
      <c r="H37" s="7">
        <f>SUM(H38:H42)</f>
        <v>10147.924030777545</v>
      </c>
      <c r="I37" s="12"/>
      <c r="J37" s="12"/>
      <c r="K37" s="12"/>
    </row>
    <row r="38" spans="1:13" ht="79.5" customHeight="1">
      <c r="A38" s="1" t="str">
        <f>COMPOSIÇÕES!B24</f>
        <v>COMPOSIÇÃO 03</v>
      </c>
      <c r="B38" s="1" t="s">
        <v>45</v>
      </c>
      <c r="C38" s="8" t="str">
        <f>COMPOSIÇÕES!C24</f>
        <v>FORNECIMENTO E ASSENTAMENTO DE FERROLHO / FECHO CHATO, DE SOBREPOR, EM FERRO ZINCADO, REFORCADO, 6", COM PORTA CADEADO, PARA PORTAO, PORTA E JANELA</v>
      </c>
      <c r="D38" s="1" t="s">
        <v>21</v>
      </c>
      <c r="E38" s="31">
        <v>10</v>
      </c>
      <c r="F38" s="32">
        <f>COMPOSIÇÕES!G30</f>
        <v>18.646000000000001</v>
      </c>
      <c r="G38" s="101">
        <f t="shared" si="0"/>
        <v>23.347682830931006</v>
      </c>
      <c r="H38" s="10">
        <f t="shared" ref="H38:H57" si="2">E38*G38</f>
        <v>233.47682830931006</v>
      </c>
      <c r="I38" s="12"/>
      <c r="J38" s="12"/>
      <c r="K38" s="12"/>
    </row>
    <row r="39" spans="1:13" s="11" customFormat="1" ht="66" customHeight="1">
      <c r="A39" s="843" t="s">
        <v>87</v>
      </c>
      <c r="B39" s="1" t="s">
        <v>198</v>
      </c>
      <c r="C39" s="258" t="s">
        <v>88</v>
      </c>
      <c r="D39" s="13" t="s">
        <v>21</v>
      </c>
      <c r="E39" s="31">
        <v>6</v>
      </c>
      <c r="F39" s="216">
        <v>267.08</v>
      </c>
      <c r="G39" s="101">
        <f t="shared" si="0"/>
        <v>334.42556743993634</v>
      </c>
      <c r="H39" s="10">
        <f t="shared" si="2"/>
        <v>2006.5534046396181</v>
      </c>
      <c r="I39" s="12"/>
      <c r="J39" s="12"/>
      <c r="K39" s="12"/>
    </row>
    <row r="40" spans="1:13" s="11" customFormat="1">
      <c r="A40" s="30" t="str">
        <f>COMPOSIÇÕES!B46</f>
        <v>COMPOSIÇÃO 05</v>
      </c>
      <c r="B40" s="1" t="s">
        <v>50</v>
      </c>
      <c r="C40" s="176" t="str">
        <f>COMPOSIÇÕES!C46</f>
        <v>REVISÃO DE ESQUADRIA DE FERRO</v>
      </c>
      <c r="D40" s="1" t="s">
        <v>30</v>
      </c>
      <c r="E40" s="1">
        <v>26.7</v>
      </c>
      <c r="F40" s="32">
        <f>COMPOSIÇÕES!G55</f>
        <v>137.42116300000001</v>
      </c>
      <c r="G40" s="101">
        <f t="shared" si="0"/>
        <v>172.07260152213189</v>
      </c>
      <c r="H40" s="10">
        <f t="shared" si="2"/>
        <v>4594.3384606409218</v>
      </c>
      <c r="I40" s="12"/>
      <c r="J40" s="12"/>
      <c r="K40" s="12"/>
    </row>
    <row r="41" spans="1:13" s="14" customFormat="1">
      <c r="A41" s="204" t="str">
        <f>COMPOSIÇÕES!B59</f>
        <v>COMPOSIÇÃO 06</v>
      </c>
      <c r="B41" s="1" t="s">
        <v>439</v>
      </c>
      <c r="C41" s="143" t="str">
        <f>COMPOSIÇÕES!C59</f>
        <v>REVISÃO DE ESQUADRIA DE MADEIRA</v>
      </c>
      <c r="D41" s="1" t="s">
        <v>30</v>
      </c>
      <c r="E41" s="34">
        <v>35.880000000000003</v>
      </c>
      <c r="F41" s="32">
        <f>COMPOSIÇÕES!G70</f>
        <v>52.650000000000006</v>
      </c>
      <c r="G41" s="101">
        <f t="shared" si="0"/>
        <v>65.925962729192193</v>
      </c>
      <c r="H41" s="10">
        <f t="shared" si="2"/>
        <v>2365.4235427234162</v>
      </c>
      <c r="I41" s="12"/>
      <c r="J41" s="12"/>
      <c r="K41" s="12"/>
    </row>
    <row r="42" spans="1:13" s="14" customFormat="1" ht="66" customHeight="1">
      <c r="A42" s="216" t="s">
        <v>433</v>
      </c>
      <c r="B42" s="1" t="s">
        <v>440</v>
      </c>
      <c r="C42" s="195" t="s">
        <v>434</v>
      </c>
      <c r="D42" s="1" t="s">
        <v>21</v>
      </c>
      <c r="E42" s="34">
        <v>6</v>
      </c>
      <c r="F42" s="32">
        <v>126.2</v>
      </c>
      <c r="G42" s="101">
        <f t="shared" si="0"/>
        <v>158.02196574404661</v>
      </c>
      <c r="H42" s="10">
        <f t="shared" si="2"/>
        <v>948.13179446427966</v>
      </c>
      <c r="I42" s="975" t="s">
        <v>422</v>
      </c>
      <c r="J42" s="975"/>
      <c r="K42" s="975"/>
      <c r="L42" s="975"/>
    </row>
    <row r="43" spans="1:13">
      <c r="A43" s="948"/>
      <c r="B43" s="949"/>
      <c r="C43" s="949"/>
      <c r="D43" s="949"/>
      <c r="E43" s="949"/>
      <c r="F43" s="949"/>
      <c r="G43" s="949"/>
      <c r="H43" s="950"/>
      <c r="I43" s="12"/>
      <c r="J43" s="12"/>
      <c r="K43" s="12"/>
    </row>
    <row r="44" spans="1:13">
      <c r="A44" s="4"/>
      <c r="B44" s="4" t="s">
        <v>52</v>
      </c>
      <c r="C44" s="5" t="s">
        <v>57</v>
      </c>
      <c r="D44" s="4"/>
      <c r="E44" s="6"/>
      <c r="F44" s="7"/>
      <c r="G44" s="7"/>
      <c r="H44" s="7">
        <f>SUM(H45:H45)</f>
        <v>9168.7800472599574</v>
      </c>
      <c r="I44" s="12"/>
      <c r="J44" s="12"/>
      <c r="K44" s="12"/>
    </row>
    <row r="45" spans="1:13" s="11" customFormat="1" ht="36">
      <c r="A45" s="1" t="s">
        <v>58</v>
      </c>
      <c r="B45" s="1" t="s">
        <v>54</v>
      </c>
      <c r="C45" s="8" t="s">
        <v>60</v>
      </c>
      <c r="D45" s="13" t="s">
        <v>7</v>
      </c>
      <c r="E45" s="9">
        <v>432</v>
      </c>
      <c r="F45" s="10">
        <v>16.95</v>
      </c>
      <c r="G45" s="101">
        <f t="shared" si="0"/>
        <v>21.224027887175829</v>
      </c>
      <c r="H45" s="10">
        <f t="shared" si="2"/>
        <v>9168.7800472599574</v>
      </c>
      <c r="I45" s="959" t="s">
        <v>100</v>
      </c>
      <c r="J45" s="960"/>
      <c r="K45" s="960"/>
      <c r="L45" s="960"/>
      <c r="M45" s="960"/>
    </row>
    <row r="46" spans="1:13">
      <c r="A46" s="948"/>
      <c r="B46" s="949"/>
      <c r="C46" s="949"/>
      <c r="D46" s="949"/>
      <c r="E46" s="949"/>
      <c r="F46" s="949"/>
      <c r="G46" s="949"/>
      <c r="H46" s="950"/>
      <c r="I46" s="12"/>
      <c r="J46" s="12"/>
      <c r="K46" s="12"/>
    </row>
    <row r="47" spans="1:13" ht="23.25" customHeight="1">
      <c r="A47" s="4"/>
      <c r="B47" s="4" t="s">
        <v>56</v>
      </c>
      <c r="C47" s="5" t="s">
        <v>63</v>
      </c>
      <c r="D47" s="4"/>
      <c r="E47" s="6"/>
      <c r="F47" s="7"/>
      <c r="G47" s="7"/>
      <c r="H47" s="7">
        <f>SUM(H48:H49)</f>
        <v>1346.3754468431266</v>
      </c>
      <c r="I47" s="12"/>
      <c r="J47" s="12"/>
      <c r="K47" s="12"/>
    </row>
    <row r="48" spans="1:13" s="11" customFormat="1" ht="29.25" customHeight="1">
      <c r="A48" s="38" t="str">
        <f>COMPOSIÇÕES!B632</f>
        <v>COMPOSIÇÃO 30</v>
      </c>
      <c r="B48" s="15" t="s">
        <v>59</v>
      </c>
      <c r="C48" s="39" t="s">
        <v>89</v>
      </c>
      <c r="D48" s="16" t="s">
        <v>21</v>
      </c>
      <c r="E48" s="17">
        <v>1</v>
      </c>
      <c r="F48" s="10">
        <f>COMPOSIÇÕES!G638</f>
        <v>717.32</v>
      </c>
      <c r="G48" s="101">
        <f t="shared" si="0"/>
        <v>898.19585156513085</v>
      </c>
      <c r="H48" s="10">
        <f t="shared" si="2"/>
        <v>898.19585156513085</v>
      </c>
      <c r="I48" s="959" t="s">
        <v>90</v>
      </c>
      <c r="J48" s="960"/>
      <c r="K48" s="960"/>
      <c r="L48" s="960"/>
      <c r="M48" s="960"/>
    </row>
    <row r="49" spans="1:12" s="11" customFormat="1" ht="16.5" customHeight="1">
      <c r="A49" s="38" t="str">
        <f>COMPOSIÇÕES!B32</f>
        <v>COMPOSIÇÃO 04</v>
      </c>
      <c r="B49" s="15" t="s">
        <v>61</v>
      </c>
      <c r="C49" s="39" t="str">
        <f>COMPOSIÇÕES!C32</f>
        <v>REVISÃO DE PONTO DE ESGOTO</v>
      </c>
      <c r="D49" s="16" t="s">
        <v>21</v>
      </c>
      <c r="E49" s="17">
        <v>10</v>
      </c>
      <c r="F49" s="10">
        <f>COMPOSIÇÕES!G41</f>
        <v>35.792659999999998</v>
      </c>
      <c r="G49" s="101">
        <f t="shared" si="0"/>
        <v>44.81795952779958</v>
      </c>
      <c r="H49" s="10">
        <f t="shared" si="2"/>
        <v>448.17959527799582</v>
      </c>
      <c r="I49" s="37"/>
      <c r="J49" s="37"/>
      <c r="K49" s="37"/>
    </row>
    <row r="50" spans="1:12" s="11" customFormat="1">
      <c r="A50" s="948"/>
      <c r="B50" s="949"/>
      <c r="C50" s="949"/>
      <c r="D50" s="949"/>
      <c r="E50" s="949"/>
      <c r="F50" s="949"/>
      <c r="G50" s="949"/>
      <c r="H50" s="950"/>
      <c r="I50" s="12"/>
      <c r="J50" s="12"/>
      <c r="K50" s="12"/>
    </row>
    <row r="51" spans="1:12" s="11" customFormat="1" ht="35.25" customHeight="1">
      <c r="A51" s="4"/>
      <c r="B51" s="4" t="s">
        <v>62</v>
      </c>
      <c r="C51" s="5" t="s">
        <v>66</v>
      </c>
      <c r="D51" s="4"/>
      <c r="E51" s="6"/>
      <c r="F51" s="7"/>
      <c r="G51" s="7"/>
      <c r="H51" s="7">
        <f>SUM(H52:H53)</f>
        <v>1714.0750309589966</v>
      </c>
      <c r="I51" s="12"/>
      <c r="J51" s="12"/>
      <c r="K51" s="12"/>
    </row>
    <row r="52" spans="1:12" ht="48">
      <c r="A52" s="1" t="s">
        <v>67</v>
      </c>
      <c r="B52" s="15" t="s">
        <v>64</v>
      </c>
      <c r="C52" s="8" t="s">
        <v>69</v>
      </c>
      <c r="D52" s="16" t="s">
        <v>21</v>
      </c>
      <c r="E52" s="17">
        <v>5</v>
      </c>
      <c r="F52" s="10">
        <v>162.54</v>
      </c>
      <c r="G52" s="101">
        <f t="shared" si="0"/>
        <v>203.5252798101215</v>
      </c>
      <c r="H52" s="10">
        <f t="shared" si="2"/>
        <v>1017.6263990506075</v>
      </c>
      <c r="I52" s="959" t="s">
        <v>420</v>
      </c>
      <c r="J52" s="960"/>
      <c r="K52" s="960"/>
      <c r="L52" s="960"/>
    </row>
    <row r="53" spans="1:12" ht="36">
      <c r="A53" s="1" t="s">
        <v>70</v>
      </c>
      <c r="B53" s="15" t="s">
        <v>101</v>
      </c>
      <c r="C53" s="8" t="s">
        <v>71</v>
      </c>
      <c r="D53" s="13" t="s">
        <v>21</v>
      </c>
      <c r="E53" s="18">
        <v>30</v>
      </c>
      <c r="F53" s="10">
        <v>18.54</v>
      </c>
      <c r="G53" s="101">
        <f t="shared" si="0"/>
        <v>23.214954396946307</v>
      </c>
      <c r="H53" s="10">
        <f t="shared" si="2"/>
        <v>696.44863190838919</v>
      </c>
      <c r="I53" s="959" t="s">
        <v>421</v>
      </c>
      <c r="J53" s="960"/>
      <c r="K53" s="960"/>
      <c r="L53" s="960"/>
    </row>
    <row r="54" spans="1:12">
      <c r="A54" s="948"/>
      <c r="B54" s="949"/>
      <c r="C54" s="949"/>
      <c r="D54" s="949"/>
      <c r="E54" s="949"/>
      <c r="F54" s="949"/>
      <c r="G54" s="949"/>
      <c r="H54" s="950"/>
      <c r="I54" s="12"/>
      <c r="J54" s="12"/>
      <c r="K54" s="12"/>
    </row>
    <row r="55" spans="1:12">
      <c r="A55" s="4"/>
      <c r="B55" s="4" t="s">
        <v>65</v>
      </c>
      <c r="C55" s="5" t="s">
        <v>73</v>
      </c>
      <c r="D55" s="4"/>
      <c r="E55" s="6"/>
      <c r="F55" s="7"/>
      <c r="G55" s="196"/>
      <c r="H55" s="196">
        <f>SUM(H56:H57)</f>
        <v>10492.683568505445</v>
      </c>
      <c r="I55" s="12"/>
      <c r="J55" s="12"/>
      <c r="K55" s="12"/>
    </row>
    <row r="56" spans="1:12" ht="88.5" customHeight="1">
      <c r="A56" s="1" t="s">
        <v>74</v>
      </c>
      <c r="B56" s="1" t="s">
        <v>68</v>
      </c>
      <c r="C56" s="36" t="s">
        <v>76</v>
      </c>
      <c r="D56" s="19" t="s">
        <v>77</v>
      </c>
      <c r="E56" s="18">
        <v>15</v>
      </c>
      <c r="F56" s="10">
        <v>522.78</v>
      </c>
      <c r="G56" s="101">
        <f t="shared" si="0"/>
        <v>654.60161055208141</v>
      </c>
      <c r="H56" s="10">
        <f t="shared" si="2"/>
        <v>9819.0241582812214</v>
      </c>
      <c r="I56" s="959" t="s">
        <v>419</v>
      </c>
      <c r="J56" s="960"/>
      <c r="K56" s="960"/>
      <c r="L56" s="960"/>
    </row>
    <row r="57" spans="1:12">
      <c r="A57" s="337" t="str">
        <f>COMPOSIÇÕES!B144</f>
        <v>COMPOSIÇÃO 13</v>
      </c>
      <c r="B57" s="337" t="s">
        <v>202</v>
      </c>
      <c r="C57" s="258" t="str">
        <f>COMPOSIÇÕES!C144</f>
        <v>LIMPEZA GERAL</v>
      </c>
      <c r="D57" s="19" t="s">
        <v>7</v>
      </c>
      <c r="E57" s="309">
        <v>200</v>
      </c>
      <c r="F57" s="32">
        <f>COMPOSIÇÕES!G151</f>
        <v>2.6900000000000004</v>
      </c>
      <c r="G57" s="329">
        <f t="shared" si="0"/>
        <v>3.3682970511211208</v>
      </c>
      <c r="H57" s="10">
        <f t="shared" si="2"/>
        <v>673.65941022422419</v>
      </c>
      <c r="I57" s="12"/>
      <c r="J57" s="12"/>
    </row>
    <row r="58" spans="1:12" ht="15" customHeight="1">
      <c r="A58" s="951"/>
      <c r="B58" s="952"/>
      <c r="C58" s="952"/>
      <c r="D58" s="952"/>
      <c r="E58" s="952"/>
      <c r="F58" s="952"/>
      <c r="G58" s="952"/>
      <c r="H58" s="953"/>
      <c r="I58" s="12"/>
      <c r="J58" s="12"/>
    </row>
    <row r="59" spans="1:12">
      <c r="A59" s="957" t="s">
        <v>78</v>
      </c>
      <c r="B59" s="957"/>
      <c r="C59" s="957"/>
      <c r="D59" s="957"/>
      <c r="E59" s="957"/>
      <c r="F59" s="957"/>
      <c r="G59" s="957"/>
      <c r="H59" s="291">
        <f>SUM(H55,H51,H47,H44,H37,H31,H22,H15)</f>
        <v>124845.97964429139</v>
      </c>
      <c r="I59" s="12"/>
      <c r="J59" s="12"/>
    </row>
    <row r="60" spans="1:12">
      <c r="A60" s="12"/>
      <c r="B60" s="12"/>
      <c r="C60" s="12"/>
      <c r="D60" s="12"/>
      <c r="E60" s="12"/>
      <c r="F60" s="12"/>
      <c r="G60" s="12"/>
      <c r="H60" s="12"/>
      <c r="I60" s="12"/>
      <c r="J60" s="12"/>
    </row>
    <row r="61" spans="1:12">
      <c r="A61" s="20"/>
      <c r="B61" s="20"/>
      <c r="C61" s="20"/>
      <c r="D61" s="20"/>
      <c r="E61" s="20"/>
      <c r="F61" s="21"/>
      <c r="G61" s="21"/>
      <c r="H61" s="21"/>
    </row>
    <row r="62" spans="1:12">
      <c r="A62" s="22"/>
      <c r="B62" s="23"/>
      <c r="C62" s="23"/>
      <c r="D62" s="23"/>
      <c r="E62" s="24"/>
      <c r="F62" s="25"/>
      <c r="G62" s="25"/>
      <c r="H62" s="25"/>
    </row>
  </sheetData>
  <mergeCells count="45">
    <mergeCell ref="I35:L35"/>
    <mergeCell ref="I42:L42"/>
    <mergeCell ref="I56:L56"/>
    <mergeCell ref="I52:L52"/>
    <mergeCell ref="I53:L53"/>
    <mergeCell ref="I45:M45"/>
    <mergeCell ref="I27:M27"/>
    <mergeCell ref="I32:L32"/>
    <mergeCell ref="I33:L33"/>
    <mergeCell ref="I34:L34"/>
    <mergeCell ref="I28:M28"/>
    <mergeCell ref="I20:M20"/>
    <mergeCell ref="I23:M23"/>
    <mergeCell ref="I24:M24"/>
    <mergeCell ref="I26:M26"/>
    <mergeCell ref="D13:H13"/>
    <mergeCell ref="I16:M16"/>
    <mergeCell ref="I17:M17"/>
    <mergeCell ref="I18:M18"/>
    <mergeCell ref="I19:M19"/>
    <mergeCell ref="A59:G59"/>
    <mergeCell ref="A10:B10"/>
    <mergeCell ref="I48:M48"/>
    <mergeCell ref="A1:B5"/>
    <mergeCell ref="C1:H5"/>
    <mergeCell ref="A11:F11"/>
    <mergeCell ref="G11:G12"/>
    <mergeCell ref="H11:H12"/>
    <mergeCell ref="A12:F12"/>
    <mergeCell ref="A6:B7"/>
    <mergeCell ref="A8:B9"/>
    <mergeCell ref="C6:H7"/>
    <mergeCell ref="C8:H9"/>
    <mergeCell ref="A13:A14"/>
    <mergeCell ref="B13:B14"/>
    <mergeCell ref="C13:C14"/>
    <mergeCell ref="D10:H10"/>
    <mergeCell ref="A46:H46"/>
    <mergeCell ref="A43:H43"/>
    <mergeCell ref="A50:H50"/>
    <mergeCell ref="A58:H58"/>
    <mergeCell ref="A54:H54"/>
    <mergeCell ref="A36:H36"/>
    <mergeCell ref="A30:H30"/>
    <mergeCell ref="A21:H21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56" orientation="portrait" r:id="rId1"/>
  <headerFooter>
    <oddFooter>Página &amp;P de &amp;N</oddFooter>
  </headerFooter>
  <rowBreaks count="1" manualBreakCount="1">
    <brk id="36" max="7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L981"/>
  <sheetViews>
    <sheetView showGridLines="0" view="pageBreakPreview" topLeftCell="A934" zoomScale="85" zoomScaleNormal="100" zoomScaleSheetLayoutView="85" workbookViewId="0">
      <selection activeCell="A770" sqref="A770"/>
    </sheetView>
  </sheetViews>
  <sheetFormatPr defaultRowHeight="15"/>
  <cols>
    <col min="2" max="8" width="10.7109375" customWidth="1"/>
    <col min="9" max="9" width="12" customWidth="1"/>
    <col min="10" max="10" width="12.85546875" customWidth="1"/>
    <col min="11" max="12" width="10.7109375" customWidth="1"/>
  </cols>
  <sheetData>
    <row r="1" spans="2:12" ht="15.75" thickBot="1"/>
    <row r="2" spans="2:12">
      <c r="B2" s="1033" t="s">
        <v>103</v>
      </c>
      <c r="C2" s="1034"/>
      <c r="D2" s="1039" t="str">
        <f>'[6]PLANILHA ORÇAMENTÁRIA'!E2</f>
        <v>PREFEITURA MUNICIPAL DE ITAMBÉ</v>
      </c>
      <c r="E2" s="1040"/>
      <c r="F2" s="1040"/>
      <c r="G2" s="1040"/>
      <c r="H2" s="1040"/>
      <c r="I2" s="1041"/>
      <c r="J2" s="1042"/>
      <c r="K2" s="1043"/>
      <c r="L2" s="1044"/>
    </row>
    <row r="3" spans="2:12">
      <c r="B3" s="1035"/>
      <c r="C3" s="1036"/>
      <c r="D3" s="1051" t="s">
        <v>1041</v>
      </c>
      <c r="E3" s="1052"/>
      <c r="F3" s="1052"/>
      <c r="G3" s="1052"/>
      <c r="H3" s="1052"/>
      <c r="I3" s="1053"/>
      <c r="J3" s="1045"/>
      <c r="K3" s="1046"/>
      <c r="L3" s="1047"/>
    </row>
    <row r="4" spans="2:12" ht="66.75" customHeight="1">
      <c r="B4" s="1035"/>
      <c r="C4" s="1036"/>
      <c r="D4" s="1054" t="s">
        <v>1273</v>
      </c>
      <c r="E4" s="1055"/>
      <c r="F4" s="1055"/>
      <c r="G4" s="1055"/>
      <c r="H4" s="1055"/>
      <c r="I4" s="1056"/>
      <c r="J4" s="1045"/>
      <c r="K4" s="1046"/>
      <c r="L4" s="1047"/>
    </row>
    <row r="5" spans="2:12" ht="9.75" customHeight="1" thickBot="1">
      <c r="B5" s="1037"/>
      <c r="C5" s="1038"/>
      <c r="D5" s="1057"/>
      <c r="E5" s="1058"/>
      <c r="F5" s="1058"/>
      <c r="G5" s="1058"/>
      <c r="H5" s="1058"/>
      <c r="I5" s="1059"/>
      <c r="J5" s="1048"/>
      <c r="K5" s="1049"/>
      <c r="L5" s="1050"/>
    </row>
    <row r="6" spans="2:12" hidden="1">
      <c r="B6" s="40"/>
      <c r="C6" s="40"/>
      <c r="D6" s="40"/>
      <c r="E6" s="40"/>
      <c r="F6" s="40"/>
      <c r="G6" s="40"/>
      <c r="H6" s="40"/>
      <c r="I6" s="40"/>
      <c r="J6" s="41"/>
      <c r="K6" s="40"/>
      <c r="L6" s="40"/>
    </row>
    <row r="7" spans="2:12" hidden="1">
      <c r="B7" s="1060" t="s">
        <v>104</v>
      </c>
      <c r="C7" s="1060"/>
      <c r="D7" s="42" t="e">
        <f>'[6]PLANILHA ORÇAMENTÁRIA'!J6</f>
        <v>#REF!</v>
      </c>
      <c r="E7" s="43"/>
      <c r="F7" s="415" t="s">
        <v>105</v>
      </c>
      <c r="G7" s="42" t="e">
        <f>'[6]PLANILHA ORÇAMENTÁRIA'!J7</f>
        <v>#REF!</v>
      </c>
      <c r="H7" s="45" t="s">
        <v>1</v>
      </c>
      <c r="I7" s="46"/>
      <c r="J7" s="46" t="str">
        <f>'[6]PLANILHA ORÇAMENTÁRIA'!B8</f>
        <v>SINAPI - FEV/2019 DESONERADO</v>
      </c>
      <c r="K7" s="43"/>
      <c r="L7" s="43"/>
    </row>
    <row r="8" spans="2:12" hidden="1">
      <c r="B8" s="415" t="s">
        <v>106</v>
      </c>
      <c r="C8" s="1061" t="e">
        <f>'[6]PLANILHA ORÇAMENTÁRIA'!J8</f>
        <v>#REF!</v>
      </c>
      <c r="D8" s="1061"/>
      <c r="E8" s="43"/>
      <c r="F8" s="415" t="s">
        <v>0</v>
      </c>
      <c r="G8" s="47">
        <f>'[6]PLANILHA ORÇAMENTÁRIA'!J5</f>
        <v>43641</v>
      </c>
      <c r="H8" s="46"/>
      <c r="I8" s="48"/>
      <c r="J8" s="46"/>
      <c r="K8" s="43"/>
      <c r="L8" s="43"/>
    </row>
    <row r="9" spans="2:12" hidden="1">
      <c r="B9" s="49"/>
      <c r="C9" s="50"/>
      <c r="D9" s="46"/>
      <c r="E9" s="46"/>
      <c r="F9" s="46"/>
      <c r="G9" s="46"/>
      <c r="H9" s="46"/>
      <c r="I9" s="46"/>
      <c r="J9" s="46"/>
      <c r="K9" s="43"/>
      <c r="L9" s="51"/>
    </row>
    <row r="10" spans="2:12" hidden="1">
      <c r="B10" s="52" t="s">
        <v>107</v>
      </c>
      <c r="C10" s="53" t="s">
        <v>108</v>
      </c>
      <c r="D10" s="54"/>
      <c r="E10" s="55"/>
      <c r="F10" s="56"/>
      <c r="G10" s="54"/>
      <c r="H10" s="57" t="s">
        <v>109</v>
      </c>
      <c r="I10" s="53" t="s">
        <v>110</v>
      </c>
      <c r="J10" s="46"/>
      <c r="K10" s="43"/>
      <c r="L10" s="51"/>
    </row>
    <row r="11" spans="2:12" hidden="1">
      <c r="B11" s="49"/>
      <c r="C11" s="50"/>
      <c r="D11" s="46"/>
      <c r="E11" s="46"/>
      <c r="F11" s="46"/>
      <c r="G11" s="46"/>
      <c r="H11" s="46"/>
      <c r="I11" s="46"/>
      <c r="J11" s="46"/>
      <c r="K11" s="43"/>
      <c r="L11" s="51"/>
    </row>
    <row r="12" spans="2:12" hidden="1">
      <c r="B12" s="58" t="str">
        <f>'[6]PLANILHA ORÇAMENTÁRIA'!D11</f>
        <v>1.0</v>
      </c>
      <c r="C12" s="1000" t="str">
        <f>'[6]PLANILHA ORÇAMENTÁRIA'!E11</f>
        <v>SERVIÇOS PRELIMINARES</v>
      </c>
      <c r="D12" s="1000"/>
      <c r="E12" s="1000"/>
      <c r="F12" s="1000"/>
      <c r="G12" s="1000"/>
      <c r="H12" s="1000"/>
      <c r="I12" s="1000"/>
      <c r="J12" s="1000"/>
      <c r="K12" s="59"/>
      <c r="L12" s="59"/>
    </row>
    <row r="13" spans="2:12" hidden="1">
      <c r="B13" s="60" t="str">
        <f>'[6]PLANILHA ORÇAMENTÁRIA'!D12</f>
        <v>1.1</v>
      </c>
      <c r="C13" s="1003" t="str">
        <f>'[6]PLANILHA ORÇAMENTÁRIA'!E12</f>
        <v>PLACA DE OBRA EM CHAPA DE ACO GALVANIZADO</v>
      </c>
      <c r="D13" s="1003"/>
      <c r="E13" s="1003"/>
      <c r="F13" s="1003"/>
      <c r="G13" s="1003"/>
      <c r="H13" s="1003"/>
      <c r="I13" s="1003"/>
      <c r="J13" s="1003"/>
      <c r="K13" s="61" t="str">
        <f>'[6]PLANILHA ORÇAMENTÁRIA'!F12</f>
        <v>M2</v>
      </c>
      <c r="L13" s="62">
        <f>K16</f>
        <v>6</v>
      </c>
    </row>
    <row r="14" spans="2:12" hidden="1">
      <c r="B14" s="63"/>
      <c r="C14" s="1004" t="s">
        <v>20</v>
      </c>
      <c r="D14" s="1004"/>
      <c r="E14" s="1004"/>
      <c r="F14" s="64" t="s">
        <v>3</v>
      </c>
      <c r="G14" s="411" t="s">
        <v>111</v>
      </c>
      <c r="H14" s="64" t="s">
        <v>112</v>
      </c>
      <c r="I14" s="411" t="s">
        <v>113</v>
      </c>
      <c r="J14" s="411" t="s">
        <v>114</v>
      </c>
      <c r="K14" s="66" t="s">
        <v>25</v>
      </c>
      <c r="L14" s="67"/>
    </row>
    <row r="15" spans="2:12" hidden="1">
      <c r="B15" s="63"/>
      <c r="C15" s="1001" t="s">
        <v>115</v>
      </c>
      <c r="D15" s="1001"/>
      <c r="E15" s="1001"/>
      <c r="F15" s="68"/>
      <c r="G15" s="68">
        <v>2</v>
      </c>
      <c r="H15" s="68"/>
      <c r="I15" s="68">
        <v>3</v>
      </c>
      <c r="J15" s="68"/>
      <c r="K15" s="69">
        <f>TRUNC(G15*I15,2)</f>
        <v>6</v>
      </c>
      <c r="L15" s="67"/>
    </row>
    <row r="16" spans="2:12" hidden="1">
      <c r="B16" s="63"/>
      <c r="C16" s="1002" t="s">
        <v>116</v>
      </c>
      <c r="D16" s="1002"/>
      <c r="E16" s="1002"/>
      <c r="F16" s="1002"/>
      <c r="G16" s="1002"/>
      <c r="H16" s="1002"/>
      <c r="I16" s="1002"/>
      <c r="J16" s="1002"/>
      <c r="K16" s="70">
        <f>SUM(K15:K15)</f>
        <v>6</v>
      </c>
      <c r="L16" s="67"/>
    </row>
    <row r="17" spans="2:12" hidden="1"/>
    <row r="18" spans="2:12" ht="25.5" hidden="1" customHeight="1">
      <c r="B18" s="60" t="str">
        <f>'[6]PLANILHA ORÇAMENTÁRIA'!D13</f>
        <v>1.2</v>
      </c>
      <c r="C18" s="1003" t="str">
        <f>'[6]PLANILHA ORÇAMENTÁRIA'!E13</f>
        <v>LIMPEZA MECANIZADA DE TERRENO COM REMOCAO DE CAMADA VEGETAL, UTILIZANDO MOTONIVELADORA</v>
      </c>
      <c r="D18" s="1003"/>
      <c r="E18" s="1003"/>
      <c r="F18" s="1003"/>
      <c r="G18" s="1003"/>
      <c r="H18" s="1003"/>
      <c r="I18" s="1003"/>
      <c r="J18" s="1003"/>
      <c r="K18" s="61" t="str">
        <f>'[6]PLANILHA ORÇAMENTÁRIA'!F13</f>
        <v>M2</v>
      </c>
      <c r="L18" s="62">
        <f>K21</f>
        <v>780.75</v>
      </c>
    </row>
    <row r="19" spans="2:12" hidden="1">
      <c r="B19" s="63"/>
      <c r="C19" s="1004" t="s">
        <v>20</v>
      </c>
      <c r="D19" s="1004"/>
      <c r="E19" s="1004"/>
      <c r="F19" s="64" t="s">
        <v>117</v>
      </c>
      <c r="G19" s="411" t="s">
        <v>111</v>
      </c>
      <c r="H19" s="64" t="s">
        <v>112</v>
      </c>
      <c r="I19" s="411" t="s">
        <v>113</v>
      </c>
      <c r="J19" s="411" t="s">
        <v>114</v>
      </c>
      <c r="K19" s="66" t="s">
        <v>25</v>
      </c>
      <c r="L19" s="67"/>
    </row>
    <row r="20" spans="2:12" ht="27.75" hidden="1" customHeight="1">
      <c r="B20" s="63"/>
      <c r="C20" s="1001" t="s">
        <v>118</v>
      </c>
      <c r="D20" s="1001"/>
      <c r="E20" s="1001"/>
      <c r="F20" s="68">
        <v>780.75</v>
      </c>
      <c r="G20" s="68"/>
      <c r="H20" s="68"/>
      <c r="I20" s="68"/>
      <c r="J20" s="68"/>
      <c r="K20" s="69">
        <f>F20</f>
        <v>780.75</v>
      </c>
      <c r="L20" s="67"/>
    </row>
    <row r="21" spans="2:12" hidden="1">
      <c r="B21" s="63"/>
      <c r="C21" s="1002" t="s">
        <v>116</v>
      </c>
      <c r="D21" s="1002"/>
      <c r="E21" s="1002"/>
      <c r="F21" s="1002"/>
      <c r="G21" s="1002"/>
      <c r="H21" s="1002"/>
      <c r="I21" s="1002"/>
      <c r="J21" s="1002"/>
      <c r="K21" s="70">
        <f>SUM(K20:K20)</f>
        <v>780.75</v>
      </c>
      <c r="L21" s="67"/>
    </row>
    <row r="22" spans="2:12" hidden="1">
      <c r="B22" s="63"/>
      <c r="C22" s="71"/>
      <c r="D22" s="71"/>
      <c r="E22" s="71"/>
      <c r="F22" s="71"/>
      <c r="G22" s="71"/>
      <c r="H22" s="71"/>
      <c r="I22" s="71"/>
      <c r="J22" s="71"/>
      <c r="K22" s="72"/>
      <c r="L22" s="67"/>
    </row>
    <row r="23" spans="2:12" ht="15" hidden="1" customHeight="1">
      <c r="B23" s="60" t="str">
        <f>'[6]PLANILHA ORÇAMENTÁRIA'!D14</f>
        <v>1.3</v>
      </c>
      <c r="C23" s="1003" t="str">
        <f>'[6]PLANILHA ORÇAMENTÁRIA'!E14</f>
        <v>LOCAÇÃO DA OBRA - EXECUÇÃO DE GABARITO</v>
      </c>
      <c r="D23" s="1003"/>
      <c r="E23" s="1003"/>
      <c r="F23" s="1003"/>
      <c r="G23" s="1003"/>
      <c r="H23" s="1003"/>
      <c r="I23" s="1003"/>
      <c r="J23" s="1003"/>
      <c r="K23" s="61" t="str">
        <f>'[6]PLANILHA ORÇAMENTÁRIA'!F14</f>
        <v>M2</v>
      </c>
      <c r="L23" s="62">
        <f>K27</f>
        <v>157.78</v>
      </c>
    </row>
    <row r="24" spans="2:12" hidden="1">
      <c r="B24" s="63"/>
      <c r="C24" s="1004" t="s">
        <v>20</v>
      </c>
      <c r="D24" s="1004"/>
      <c r="E24" s="1004"/>
      <c r="F24" s="64" t="s">
        <v>22</v>
      </c>
      <c r="G24" s="411" t="s">
        <v>111</v>
      </c>
      <c r="H24" s="64" t="s">
        <v>112</v>
      </c>
      <c r="I24" s="411" t="s">
        <v>113</v>
      </c>
      <c r="J24" s="411" t="s">
        <v>114</v>
      </c>
      <c r="K24" s="66" t="s">
        <v>25</v>
      </c>
      <c r="L24" s="67"/>
    </row>
    <row r="25" spans="2:12" hidden="1">
      <c r="B25" s="63"/>
      <c r="C25" s="1001" t="s">
        <v>119</v>
      </c>
      <c r="D25" s="1001"/>
      <c r="E25" s="1001"/>
      <c r="F25" s="68">
        <v>1</v>
      </c>
      <c r="G25" s="68"/>
      <c r="H25" s="68">
        <v>6.7</v>
      </c>
      <c r="I25" s="68">
        <v>12</v>
      </c>
      <c r="J25" s="68"/>
      <c r="K25" s="69">
        <f>PRODUCT(F25:I25)</f>
        <v>80.400000000000006</v>
      </c>
      <c r="L25" s="67"/>
    </row>
    <row r="26" spans="2:12" hidden="1">
      <c r="B26" s="63"/>
      <c r="C26" s="1001" t="s">
        <v>120</v>
      </c>
      <c r="D26" s="1001"/>
      <c r="E26" s="1001"/>
      <c r="F26" s="68">
        <v>4</v>
      </c>
      <c r="G26" s="68"/>
      <c r="H26" s="68">
        <v>3.65</v>
      </c>
      <c r="I26" s="68">
        <v>5.3</v>
      </c>
      <c r="J26" s="68"/>
      <c r="K26" s="69">
        <f>PRODUCT(F26:I26)</f>
        <v>77.38</v>
      </c>
      <c r="L26" s="67"/>
    </row>
    <row r="27" spans="2:12" hidden="1">
      <c r="B27" s="63"/>
      <c r="C27" s="1002" t="s">
        <v>116</v>
      </c>
      <c r="D27" s="1002"/>
      <c r="E27" s="1002"/>
      <c r="F27" s="1002"/>
      <c r="G27" s="1002"/>
      <c r="H27" s="1002"/>
      <c r="I27" s="1002"/>
      <c r="J27" s="1002"/>
      <c r="K27" s="70">
        <f>SUM(K25:K26)</f>
        <v>157.78</v>
      </c>
      <c r="L27" s="67"/>
    </row>
    <row r="28" spans="2:12" hidden="1">
      <c r="B28" s="63"/>
      <c r="C28" s="71"/>
      <c r="D28" s="71"/>
      <c r="E28" s="71"/>
      <c r="F28" s="71"/>
      <c r="G28" s="71"/>
      <c r="H28" s="71"/>
      <c r="I28" s="71"/>
      <c r="J28" s="71"/>
      <c r="K28" s="72"/>
      <c r="L28" s="67"/>
    </row>
    <row r="29" spans="2:12" hidden="1">
      <c r="B29" s="58" t="str">
        <f>'[6]PLANILHA ORÇAMENTÁRIA'!D15</f>
        <v>2.0</v>
      </c>
      <c r="C29" s="1000" t="str">
        <f>'[6]PLANILHA ORÇAMENTÁRIA'!E15</f>
        <v>DEMOLIÇÕES</v>
      </c>
      <c r="D29" s="1000"/>
      <c r="E29" s="1000"/>
      <c r="F29" s="1000"/>
      <c r="G29" s="1000"/>
      <c r="H29" s="1000"/>
      <c r="I29" s="1000"/>
      <c r="J29" s="1000"/>
      <c r="K29" s="59"/>
      <c r="L29" s="59"/>
    </row>
    <row r="30" spans="2:12" ht="23.25" hidden="1" customHeight="1">
      <c r="B30" s="60" t="str">
        <f>'[6]PLANILHA ORÇAMENTÁRIA'!D16</f>
        <v>2.1</v>
      </c>
      <c r="C30" s="1003" t="str">
        <f>'[6]PLANILHA ORÇAMENTÁRIA'!E16</f>
        <v>DEMOLIÇÃO DE ALVENARIA DE BLOCO FURADO, SEM REAPROVEITAMENTO, INCLUSIVE REVESTIMENTO.</v>
      </c>
      <c r="D30" s="1003"/>
      <c r="E30" s="1003"/>
      <c r="F30" s="1003"/>
      <c r="G30" s="1003"/>
      <c r="H30" s="1003"/>
      <c r="I30" s="1003"/>
      <c r="J30" s="1003"/>
      <c r="K30" s="61" t="str">
        <f>'[6]PLANILHA ORÇAMENTÁRIA'!F16</f>
        <v>M3</v>
      </c>
      <c r="L30" s="62">
        <f>K33</f>
        <v>17.39</v>
      </c>
    </row>
    <row r="31" spans="2:12" hidden="1">
      <c r="B31" s="63"/>
      <c r="C31" s="1004" t="s">
        <v>20</v>
      </c>
      <c r="D31" s="1004"/>
      <c r="E31" s="1004"/>
      <c r="F31" s="64" t="s">
        <v>117</v>
      </c>
      <c r="G31" s="411" t="s">
        <v>111</v>
      </c>
      <c r="H31" s="64" t="s">
        <v>112</v>
      </c>
      <c r="I31" s="411" t="s">
        <v>113</v>
      </c>
      <c r="J31" s="411" t="s">
        <v>114</v>
      </c>
      <c r="K31" s="66" t="s">
        <v>25</v>
      </c>
      <c r="L31" s="67"/>
    </row>
    <row r="32" spans="2:12" hidden="1">
      <c r="B32" s="63"/>
      <c r="C32" s="1001" t="s">
        <v>121</v>
      </c>
      <c r="D32" s="1001"/>
      <c r="E32" s="1001"/>
      <c r="F32" s="68"/>
      <c r="G32" s="68">
        <v>2.2000000000000002</v>
      </c>
      <c r="H32" s="68">
        <v>0.15</v>
      </c>
      <c r="I32" s="68">
        <v>52.71</v>
      </c>
      <c r="J32" s="68"/>
      <c r="K32" s="69">
        <f>TRUNC(I32*G32*H32,2)</f>
        <v>17.39</v>
      </c>
      <c r="L32" s="67"/>
    </row>
    <row r="33" spans="2:12" hidden="1">
      <c r="B33" s="63"/>
      <c r="C33" s="1002" t="s">
        <v>116</v>
      </c>
      <c r="D33" s="1002"/>
      <c r="E33" s="1002"/>
      <c r="F33" s="1002"/>
      <c r="G33" s="1002"/>
      <c r="H33" s="1002"/>
      <c r="I33" s="1002"/>
      <c r="J33" s="1002"/>
      <c r="K33" s="70">
        <f>SUM(K32:K32)</f>
        <v>17.39</v>
      </c>
      <c r="L33" s="67"/>
    </row>
    <row r="34" spans="2:12" hidden="1">
      <c r="B34" s="63"/>
      <c r="C34" s="71"/>
      <c r="D34" s="71"/>
      <c r="E34" s="71"/>
      <c r="F34" s="71"/>
      <c r="G34" s="71"/>
      <c r="H34" s="71"/>
      <c r="I34" s="71"/>
      <c r="J34" s="71"/>
      <c r="K34" s="72"/>
      <c r="L34" s="67"/>
    </row>
    <row r="35" spans="2:12" hidden="1">
      <c r="B35" s="58" t="str">
        <f>'[6]PLANILHA ORÇAMENTÁRIA'!D17</f>
        <v>3.0</v>
      </c>
      <c r="C35" s="1000" t="str">
        <f>'[6]PLANILHA ORÇAMENTÁRIA'!E17</f>
        <v>TRABALHOS EM TERRA</v>
      </c>
      <c r="D35" s="1000"/>
      <c r="E35" s="1000"/>
      <c r="F35" s="1000"/>
      <c r="G35" s="1000"/>
      <c r="H35" s="1000"/>
      <c r="I35" s="1000"/>
      <c r="J35" s="1000"/>
      <c r="K35" s="59"/>
      <c r="L35" s="59"/>
    </row>
    <row r="36" spans="2:12" ht="15" hidden="1" customHeight="1">
      <c r="B36" s="60" t="str">
        <f>'[6]PLANILHA ORÇAMENTÁRIA'!D18</f>
        <v>3.1</v>
      </c>
      <c r="C36" s="1003" t="str">
        <f>'[6]PLANILHA ORÇAMENTÁRIA'!E18</f>
        <v>CORTE E ATERRO COMPENSADO</v>
      </c>
      <c r="D36" s="1003"/>
      <c r="E36" s="1003"/>
      <c r="F36" s="1003"/>
      <c r="G36" s="1003"/>
      <c r="H36" s="1003"/>
      <c r="I36" s="1003"/>
      <c r="J36" s="1003"/>
      <c r="K36" s="61" t="str">
        <f>'[6]PLANILHA ORÇAMENTÁRIA'!F18</f>
        <v>M3</v>
      </c>
      <c r="L36" s="62">
        <f>K39</f>
        <v>156.15</v>
      </c>
    </row>
    <row r="37" spans="2:12" hidden="1">
      <c r="B37" s="63"/>
      <c r="C37" s="1004" t="s">
        <v>20</v>
      </c>
      <c r="D37" s="1004"/>
      <c r="E37" s="1004"/>
      <c r="F37" s="64" t="s">
        <v>117</v>
      </c>
      <c r="G37" s="411" t="s">
        <v>111</v>
      </c>
      <c r="H37" s="64" t="s">
        <v>112</v>
      </c>
      <c r="I37" s="411" t="s">
        <v>113</v>
      </c>
      <c r="J37" s="411" t="s">
        <v>114</v>
      </c>
      <c r="K37" s="66" t="s">
        <v>25</v>
      </c>
      <c r="L37" s="67"/>
    </row>
    <row r="38" spans="2:12" hidden="1">
      <c r="B38" s="63"/>
      <c r="C38" s="1001" t="s">
        <v>122</v>
      </c>
      <c r="D38" s="1001"/>
      <c r="E38" s="1001"/>
      <c r="F38" s="68">
        <f>F20</f>
        <v>780.75</v>
      </c>
      <c r="G38" s="68">
        <v>0.2</v>
      </c>
      <c r="H38" s="68"/>
      <c r="I38" s="68"/>
      <c r="J38" s="68"/>
      <c r="K38" s="69">
        <f>TRUNC(F38*G38,2)</f>
        <v>156.15</v>
      </c>
      <c r="L38" s="67"/>
    </row>
    <row r="39" spans="2:12" hidden="1">
      <c r="B39" s="63"/>
      <c r="C39" s="1002" t="s">
        <v>116</v>
      </c>
      <c r="D39" s="1002"/>
      <c r="E39" s="1002"/>
      <c r="F39" s="1002"/>
      <c r="G39" s="1002"/>
      <c r="H39" s="1002"/>
      <c r="I39" s="1002"/>
      <c r="J39" s="1002"/>
      <c r="K39" s="70">
        <f>SUM(K38:K38)</f>
        <v>156.15</v>
      </c>
      <c r="L39" s="67"/>
    </row>
    <row r="40" spans="2:12" hidden="1"/>
    <row r="41" spans="2:12" ht="15" hidden="1" customHeight="1">
      <c r="B41" s="60" t="str">
        <f>'[6]PLANILHA ORÇAMENTÁRIA'!D19</f>
        <v>3.2</v>
      </c>
      <c r="C41" s="1003" t="str">
        <f>'[6]PLANILHA ORÇAMENTÁRIA'!E19</f>
        <v>ESCAVAÇÃO MANUAL DE VALA COM PROFUNDIDADE MENOR OU IGUAL A 1,30 M. AF_ 03/2016</v>
      </c>
      <c r="D41" s="1003"/>
      <c r="E41" s="1003"/>
      <c r="F41" s="1003"/>
      <c r="G41" s="1003"/>
      <c r="H41" s="1003"/>
      <c r="I41" s="1003"/>
      <c r="J41" s="1003"/>
      <c r="K41" s="61" t="str">
        <f>'[6]PLANILHA ORÇAMENTÁRIA'!F19</f>
        <v>M3</v>
      </c>
      <c r="L41" s="62">
        <f>K49</f>
        <v>12.827999999999999</v>
      </c>
    </row>
    <row r="42" spans="2:12" hidden="1">
      <c r="B42" s="63"/>
      <c r="C42" s="1004" t="s">
        <v>20</v>
      </c>
      <c r="D42" s="1004"/>
      <c r="E42" s="1004"/>
      <c r="F42" s="64" t="s">
        <v>22</v>
      </c>
      <c r="G42" s="411" t="s">
        <v>111</v>
      </c>
      <c r="H42" s="64" t="s">
        <v>112</v>
      </c>
      <c r="I42" s="411" t="s">
        <v>113</v>
      </c>
      <c r="J42" s="411" t="s">
        <v>114</v>
      </c>
      <c r="K42" s="66" t="s">
        <v>25</v>
      </c>
      <c r="L42" s="67"/>
    </row>
    <row r="43" spans="2:12" hidden="1">
      <c r="B43" s="63"/>
      <c r="C43" s="1001" t="s">
        <v>123</v>
      </c>
      <c r="D43" s="1001"/>
      <c r="E43" s="1001"/>
      <c r="F43" s="68">
        <v>2</v>
      </c>
      <c r="G43" s="68">
        <v>0.6</v>
      </c>
      <c r="H43" s="68">
        <v>0.4</v>
      </c>
      <c r="I43" s="68">
        <v>5.4</v>
      </c>
      <c r="J43" s="68"/>
      <c r="K43" s="69">
        <f t="shared" ref="K43:K48" si="0">PRODUCT(F43:I43)</f>
        <v>2.5920000000000001</v>
      </c>
      <c r="L43" s="67"/>
    </row>
    <row r="44" spans="2:12" hidden="1">
      <c r="B44" s="63"/>
      <c r="C44" s="1001" t="s">
        <v>124</v>
      </c>
      <c r="D44" s="1001"/>
      <c r="E44" s="1001"/>
      <c r="F44" s="68">
        <v>2</v>
      </c>
      <c r="G44" s="68">
        <v>0.6</v>
      </c>
      <c r="H44" s="68">
        <v>0.4</v>
      </c>
      <c r="I44" s="68">
        <v>3.6</v>
      </c>
      <c r="J44" s="68"/>
      <c r="K44" s="69">
        <f t="shared" si="0"/>
        <v>1.728</v>
      </c>
      <c r="L44" s="67"/>
    </row>
    <row r="45" spans="2:12" hidden="1">
      <c r="B45" s="63"/>
      <c r="C45" s="1001" t="s">
        <v>125</v>
      </c>
      <c r="D45" s="1001"/>
      <c r="E45" s="1001"/>
      <c r="F45" s="68">
        <v>1</v>
      </c>
      <c r="G45" s="68">
        <v>0.6</v>
      </c>
      <c r="H45" s="68">
        <v>0.4</v>
      </c>
      <c r="I45" s="68">
        <v>4.2</v>
      </c>
      <c r="J45" s="68"/>
      <c r="K45" s="69">
        <f t="shared" si="0"/>
        <v>1.008</v>
      </c>
      <c r="L45" s="67"/>
    </row>
    <row r="46" spans="2:12" hidden="1">
      <c r="B46" s="63"/>
      <c r="C46" s="1001" t="s">
        <v>126</v>
      </c>
      <c r="D46" s="1001"/>
      <c r="E46" s="1001"/>
      <c r="F46" s="68">
        <v>1</v>
      </c>
      <c r="G46" s="68">
        <v>0.6</v>
      </c>
      <c r="H46" s="68">
        <v>0.4</v>
      </c>
      <c r="I46" s="68">
        <v>3.15</v>
      </c>
      <c r="J46" s="68"/>
      <c r="K46" s="69">
        <f t="shared" si="0"/>
        <v>0.75600000000000001</v>
      </c>
      <c r="L46" s="67"/>
    </row>
    <row r="47" spans="2:12" hidden="1">
      <c r="B47" s="63"/>
      <c r="C47" s="1001" t="s">
        <v>127</v>
      </c>
      <c r="D47" s="1001"/>
      <c r="E47" s="1001"/>
      <c r="F47" s="68">
        <v>1</v>
      </c>
      <c r="G47" s="68">
        <v>0.6</v>
      </c>
      <c r="H47" s="68">
        <v>0.4</v>
      </c>
      <c r="I47" s="68">
        <f>5.7+5.7+4.7</f>
        <v>16.100000000000001</v>
      </c>
      <c r="J47" s="68"/>
      <c r="K47" s="69">
        <f t="shared" si="0"/>
        <v>3.8640000000000003</v>
      </c>
      <c r="L47" s="67"/>
    </row>
    <row r="48" spans="2:12" hidden="1">
      <c r="B48" s="63"/>
      <c r="C48" s="1001" t="s">
        <v>128</v>
      </c>
      <c r="D48" s="1001"/>
      <c r="E48" s="1001"/>
      <c r="F48" s="68">
        <v>8</v>
      </c>
      <c r="G48" s="68">
        <v>1</v>
      </c>
      <c r="H48" s="68">
        <v>0.6</v>
      </c>
      <c r="I48" s="68">
        <v>0.6</v>
      </c>
      <c r="J48" s="68"/>
      <c r="K48" s="69">
        <f t="shared" si="0"/>
        <v>2.88</v>
      </c>
      <c r="L48" s="67"/>
    </row>
    <row r="49" spans="2:12" hidden="1">
      <c r="B49" s="63"/>
      <c r="C49" s="1002" t="s">
        <v>116</v>
      </c>
      <c r="D49" s="1002"/>
      <c r="E49" s="1002"/>
      <c r="F49" s="1002"/>
      <c r="G49" s="1002"/>
      <c r="H49" s="1002"/>
      <c r="I49" s="1002"/>
      <c r="J49" s="1002"/>
      <c r="K49" s="70">
        <f>SUM(K43:K48)</f>
        <v>12.827999999999999</v>
      </c>
      <c r="L49" s="67"/>
    </row>
    <row r="50" spans="2:12" hidden="1"/>
    <row r="51" spans="2:12" ht="15" hidden="1" customHeight="1">
      <c r="B51" s="60" t="str">
        <f>'[6]PLANILHA ORÇAMENTÁRIA'!D20</f>
        <v>3.3</v>
      </c>
      <c r="C51" s="1003" t="str">
        <f>'[6]PLANILHA ORÇAMENTÁRIA'!E20</f>
        <v>REATERRO MANUAL APILOADO COM SOQUETE</v>
      </c>
      <c r="D51" s="1003"/>
      <c r="E51" s="1003"/>
      <c r="F51" s="1003"/>
      <c r="G51" s="1003"/>
      <c r="H51" s="1003"/>
      <c r="I51" s="1003"/>
      <c r="J51" s="1003"/>
      <c r="K51" s="61" t="str">
        <f>'[6]PLANILHA ORÇAMENTÁRIA'!F20</f>
        <v>M3</v>
      </c>
      <c r="L51" s="62">
        <f>K54</f>
        <v>4.0992499999999996</v>
      </c>
    </row>
    <row r="52" spans="2:12" hidden="1">
      <c r="B52" s="63"/>
      <c r="C52" s="1004" t="s">
        <v>20</v>
      </c>
      <c r="D52" s="1004"/>
      <c r="E52" s="1004"/>
      <c r="F52" s="64" t="s">
        <v>129</v>
      </c>
      <c r="G52" s="411" t="s">
        <v>130</v>
      </c>
      <c r="H52" s="64" t="s">
        <v>131</v>
      </c>
      <c r="I52" s="411" t="s">
        <v>132</v>
      </c>
      <c r="J52" s="411"/>
      <c r="K52" s="66" t="s">
        <v>25</v>
      </c>
      <c r="L52" s="67"/>
    </row>
    <row r="53" spans="2:12" hidden="1">
      <c r="B53" s="63"/>
      <c r="C53" s="1001"/>
      <c r="D53" s="1001"/>
      <c r="E53" s="1001"/>
      <c r="F53" s="68">
        <f>L41</f>
        <v>12.827999999999999</v>
      </c>
      <c r="G53" s="68">
        <f>L67</f>
        <v>3.4812500000000002</v>
      </c>
      <c r="H53" s="68">
        <f>L76</f>
        <v>4.1775000000000002</v>
      </c>
      <c r="I53" s="68">
        <v>1.07</v>
      </c>
      <c r="J53" s="68"/>
      <c r="K53" s="69">
        <f>F53-G53-H53-I53</f>
        <v>4.0992499999999996</v>
      </c>
      <c r="L53" s="67"/>
    </row>
    <row r="54" spans="2:12" hidden="1">
      <c r="B54" s="63"/>
      <c r="C54" s="1002" t="s">
        <v>116</v>
      </c>
      <c r="D54" s="1002"/>
      <c r="E54" s="1002"/>
      <c r="F54" s="1002"/>
      <c r="G54" s="1002"/>
      <c r="H54" s="1002"/>
      <c r="I54" s="1002"/>
      <c r="J54" s="1002"/>
      <c r="K54" s="70">
        <f>SUM(K53:K53)</f>
        <v>4.0992499999999996</v>
      </c>
      <c r="L54" s="67"/>
    </row>
    <row r="55" spans="2:12" hidden="1"/>
    <row r="56" spans="2:12" hidden="1">
      <c r="B56" s="58" t="str">
        <f>'[6]PLANILHA ORÇAMENTÁRIA'!D21</f>
        <v>4.0</v>
      </c>
      <c r="C56" s="1000" t="str">
        <f>'[6]PLANILHA ORÇAMENTÁRIA'!E21</f>
        <v>FUNDAÇÃO</v>
      </c>
      <c r="D56" s="1000"/>
      <c r="E56" s="1000"/>
      <c r="F56" s="1000"/>
      <c r="G56" s="1000"/>
      <c r="H56" s="1000"/>
      <c r="I56" s="1000"/>
      <c r="J56" s="1000"/>
      <c r="K56" s="59"/>
      <c r="L56" s="59"/>
    </row>
    <row r="57" spans="2:12" ht="24.75" hidden="1" customHeight="1">
      <c r="B57" s="60" t="str">
        <f>'[6]PLANILHA ORÇAMENTÁRIA'!D22</f>
        <v>4.1</v>
      </c>
      <c r="C57" s="1003" t="str">
        <f>'[6]PLANILHA ORÇAMENTÁRIA'!E22</f>
        <v>LASTRO DE CONCRETO MAGRO, APLICADO EM BLOCOS DE COROAMENTO OU SAPATAS, ESPESSURA DE 5 CM. AF_08/2017</v>
      </c>
      <c r="D57" s="1003"/>
      <c r="E57" s="1003"/>
      <c r="F57" s="1003"/>
      <c r="G57" s="1003"/>
      <c r="H57" s="1003"/>
      <c r="I57" s="1003"/>
      <c r="J57" s="1003"/>
      <c r="K57" s="61" t="str">
        <f>'[6]PLANILHA ORÇAMENTÁRIA'!F22</f>
        <v>M2</v>
      </c>
      <c r="L57" s="62">
        <f>K65</f>
        <v>21.532500000000002</v>
      </c>
    </row>
    <row r="58" spans="2:12" hidden="1">
      <c r="B58" s="63"/>
      <c r="C58" s="1004" t="s">
        <v>20</v>
      </c>
      <c r="D58" s="1004"/>
      <c r="E58" s="1004"/>
      <c r="F58" s="64" t="s">
        <v>22</v>
      </c>
      <c r="G58" s="411" t="s">
        <v>111</v>
      </c>
      <c r="H58" s="64" t="s">
        <v>112</v>
      </c>
      <c r="I58" s="411" t="s">
        <v>113</v>
      </c>
      <c r="J58" s="411" t="s">
        <v>114</v>
      </c>
      <c r="K58" s="66" t="s">
        <v>25</v>
      </c>
      <c r="L58" s="67"/>
    </row>
    <row r="59" spans="2:12" hidden="1">
      <c r="B59" s="63"/>
      <c r="C59" s="1001" t="s">
        <v>123</v>
      </c>
      <c r="D59" s="1001"/>
      <c r="E59" s="1001"/>
      <c r="F59" s="68">
        <v>2</v>
      </c>
      <c r="G59" s="68"/>
      <c r="H59" s="68">
        <v>0.45</v>
      </c>
      <c r="I59" s="68">
        <v>5.4</v>
      </c>
      <c r="J59" s="68"/>
      <c r="K59" s="69">
        <f t="shared" ref="K59:K64" si="1">PRODUCT(F59:I59)</f>
        <v>4.8600000000000003</v>
      </c>
      <c r="L59" s="67"/>
    </row>
    <row r="60" spans="2:12" hidden="1">
      <c r="B60" s="63"/>
      <c r="C60" s="1001" t="s">
        <v>124</v>
      </c>
      <c r="D60" s="1001"/>
      <c r="E60" s="1001"/>
      <c r="F60" s="68">
        <v>2</v>
      </c>
      <c r="G60" s="68"/>
      <c r="H60" s="68">
        <v>0.45</v>
      </c>
      <c r="I60" s="68">
        <v>3.6</v>
      </c>
      <c r="J60" s="68"/>
      <c r="K60" s="69">
        <f t="shared" si="1"/>
        <v>3.24</v>
      </c>
      <c r="L60" s="67"/>
    </row>
    <row r="61" spans="2:12" hidden="1">
      <c r="B61" s="63"/>
      <c r="C61" s="1001" t="s">
        <v>125</v>
      </c>
      <c r="D61" s="1001"/>
      <c r="E61" s="1001"/>
      <c r="F61" s="68">
        <v>1</v>
      </c>
      <c r="G61" s="68"/>
      <c r="H61" s="68">
        <v>0.45</v>
      </c>
      <c r="I61" s="68">
        <v>4.2</v>
      </c>
      <c r="J61" s="68"/>
      <c r="K61" s="69">
        <f t="shared" si="1"/>
        <v>1.8900000000000001</v>
      </c>
      <c r="L61" s="67"/>
    </row>
    <row r="62" spans="2:12" hidden="1">
      <c r="B62" s="63"/>
      <c r="C62" s="1001" t="s">
        <v>126</v>
      </c>
      <c r="D62" s="1001"/>
      <c r="E62" s="1001"/>
      <c r="F62" s="68">
        <v>1</v>
      </c>
      <c r="G62" s="68"/>
      <c r="H62" s="68">
        <v>0.45</v>
      </c>
      <c r="I62" s="68">
        <v>3.15</v>
      </c>
      <c r="J62" s="68"/>
      <c r="K62" s="69">
        <f t="shared" si="1"/>
        <v>1.4175</v>
      </c>
      <c r="L62" s="67"/>
    </row>
    <row r="63" spans="2:12" hidden="1">
      <c r="B63" s="63"/>
      <c r="C63" s="1001" t="s">
        <v>127</v>
      </c>
      <c r="D63" s="1001"/>
      <c r="E63" s="1001"/>
      <c r="F63" s="68">
        <v>1</v>
      </c>
      <c r="G63" s="68"/>
      <c r="H63" s="68">
        <v>0.45</v>
      </c>
      <c r="I63" s="68">
        <f>5.7+5.7+4.7</f>
        <v>16.100000000000001</v>
      </c>
      <c r="J63" s="68"/>
      <c r="K63" s="69">
        <f t="shared" si="1"/>
        <v>7.245000000000001</v>
      </c>
      <c r="L63" s="67"/>
    </row>
    <row r="64" spans="2:12" hidden="1">
      <c r="B64" s="63"/>
      <c r="C64" s="1001" t="s">
        <v>128</v>
      </c>
      <c r="D64" s="1001"/>
      <c r="E64" s="1001"/>
      <c r="F64" s="68">
        <v>8</v>
      </c>
      <c r="G64" s="68"/>
      <c r="H64" s="68">
        <v>0.6</v>
      </c>
      <c r="I64" s="68">
        <v>0.6</v>
      </c>
      <c r="J64" s="68"/>
      <c r="K64" s="69">
        <f t="shared" si="1"/>
        <v>2.88</v>
      </c>
      <c r="L64" s="67"/>
    </row>
    <row r="65" spans="2:12" hidden="1">
      <c r="B65" s="63"/>
      <c r="C65" s="1002" t="s">
        <v>116</v>
      </c>
      <c r="D65" s="1002"/>
      <c r="E65" s="1002"/>
      <c r="F65" s="1002"/>
      <c r="G65" s="1002"/>
      <c r="H65" s="1002"/>
      <c r="I65" s="1002"/>
      <c r="J65" s="1002"/>
      <c r="K65" s="70">
        <f>SUM(K59:K64)</f>
        <v>21.532500000000002</v>
      </c>
      <c r="L65" s="67"/>
    </row>
    <row r="66" spans="2:12" hidden="1">
      <c r="B66" s="63"/>
      <c r="C66" s="71"/>
      <c r="D66" s="71"/>
      <c r="E66" s="71"/>
      <c r="F66" s="71"/>
      <c r="G66" s="71"/>
      <c r="H66" s="71"/>
      <c r="I66" s="71"/>
      <c r="J66" s="71"/>
      <c r="K66" s="72"/>
      <c r="L66" s="67"/>
    </row>
    <row r="67" spans="2:12" ht="15" hidden="1" customHeight="1">
      <c r="B67" s="60" t="str">
        <f>'[6]PLANILHA ORÇAMENTÁRIA'!D23</f>
        <v>4.2</v>
      </c>
      <c r="C67" s="1003" t="str">
        <f>'[6]PLANILHA ORÇAMENTÁRIA'!E23</f>
        <v>EMBASAMENTO C/PEDRA ARGAMASSADA UTILIZANDO ARG.CIM/AREIA 1:4</v>
      </c>
      <c r="D67" s="1003"/>
      <c r="E67" s="1003"/>
      <c r="F67" s="1003"/>
      <c r="G67" s="1003"/>
      <c r="H67" s="1003"/>
      <c r="I67" s="1003"/>
      <c r="J67" s="1003"/>
      <c r="K67" s="61" t="str">
        <f>'[6]PLANILHA ORÇAMENTÁRIA'!F23</f>
        <v>M3</v>
      </c>
      <c r="L67" s="62">
        <f>K74</f>
        <v>3.4812500000000002</v>
      </c>
    </row>
    <row r="68" spans="2:12" hidden="1">
      <c r="B68" s="63"/>
      <c r="C68" s="1004" t="s">
        <v>20</v>
      </c>
      <c r="D68" s="1004"/>
      <c r="E68" s="1004"/>
      <c r="F68" s="64" t="s">
        <v>22</v>
      </c>
      <c r="G68" s="411" t="s">
        <v>111</v>
      </c>
      <c r="H68" s="64" t="s">
        <v>112</v>
      </c>
      <c r="I68" s="411" t="s">
        <v>113</v>
      </c>
      <c r="J68" s="411" t="s">
        <v>114</v>
      </c>
      <c r="K68" s="66" t="s">
        <v>25</v>
      </c>
      <c r="L68" s="67"/>
    </row>
    <row r="69" spans="2:12" hidden="1">
      <c r="B69" s="63"/>
      <c r="C69" s="1001" t="s">
        <v>123</v>
      </c>
      <c r="D69" s="1001"/>
      <c r="E69" s="1001"/>
      <c r="F69" s="68">
        <v>2</v>
      </c>
      <c r="G69" s="68">
        <v>0.25</v>
      </c>
      <c r="H69" s="68">
        <v>0.4</v>
      </c>
      <c r="I69" s="68">
        <v>5.4</v>
      </c>
      <c r="J69" s="68"/>
      <c r="K69" s="69">
        <f>PRODUCT(F69:J69)</f>
        <v>1.08</v>
      </c>
      <c r="L69" s="67"/>
    </row>
    <row r="70" spans="2:12" hidden="1">
      <c r="B70" s="63"/>
      <c r="C70" s="1001" t="s">
        <v>124</v>
      </c>
      <c r="D70" s="1001"/>
      <c r="E70" s="1001"/>
      <c r="F70" s="68">
        <v>2</v>
      </c>
      <c r="G70" s="68">
        <v>0.25</v>
      </c>
      <c r="H70" s="68">
        <v>0.4</v>
      </c>
      <c r="I70" s="68">
        <v>3.6</v>
      </c>
      <c r="J70" s="68"/>
      <c r="K70" s="69">
        <f>PRODUCT(F70:J70)</f>
        <v>0.72000000000000008</v>
      </c>
      <c r="L70" s="67"/>
    </row>
    <row r="71" spans="2:12" hidden="1">
      <c r="B71" s="63"/>
      <c r="C71" s="1001" t="s">
        <v>125</v>
      </c>
      <c r="D71" s="1001"/>
      <c r="E71" s="1001"/>
      <c r="F71" s="68">
        <v>1</v>
      </c>
      <c r="G71" s="68">
        <v>0.25</v>
      </c>
      <c r="H71" s="68">
        <v>0.4</v>
      </c>
      <c r="I71" s="68">
        <v>3.6</v>
      </c>
      <c r="J71" s="68"/>
      <c r="K71" s="69">
        <f>PRODUCT(F71:J71)</f>
        <v>0.36000000000000004</v>
      </c>
      <c r="L71" s="67"/>
    </row>
    <row r="72" spans="2:12" hidden="1">
      <c r="B72" s="63"/>
      <c r="C72" s="1001" t="s">
        <v>127</v>
      </c>
      <c r="D72" s="1001"/>
      <c r="E72" s="1001"/>
      <c r="F72" s="68">
        <v>1</v>
      </c>
      <c r="G72" s="68">
        <v>0.25</v>
      </c>
      <c r="H72" s="68">
        <v>0.25</v>
      </c>
      <c r="I72" s="68">
        <f>5.7+5.7+4.7</f>
        <v>16.100000000000001</v>
      </c>
      <c r="J72" s="68"/>
      <c r="K72" s="69">
        <f>PRODUCT(F72:I72)</f>
        <v>1.0062500000000001</v>
      </c>
      <c r="L72" s="67"/>
    </row>
    <row r="73" spans="2:12" hidden="1">
      <c r="B73" s="63"/>
      <c r="C73" s="1001" t="s">
        <v>126</v>
      </c>
      <c r="D73" s="1001"/>
      <c r="E73" s="1001"/>
      <c r="F73" s="68">
        <v>1</v>
      </c>
      <c r="G73" s="68">
        <v>0.25</v>
      </c>
      <c r="H73" s="68">
        <v>0.4</v>
      </c>
      <c r="I73" s="68">
        <v>3.15</v>
      </c>
      <c r="J73" s="68"/>
      <c r="K73" s="69">
        <f>PRODUCT(F73:J73)</f>
        <v>0.315</v>
      </c>
      <c r="L73" s="67"/>
    </row>
    <row r="74" spans="2:12" hidden="1">
      <c r="B74" s="63"/>
      <c r="C74" s="1002" t="s">
        <v>116</v>
      </c>
      <c r="D74" s="1002"/>
      <c r="E74" s="1002"/>
      <c r="F74" s="1002"/>
      <c r="G74" s="1002"/>
      <c r="H74" s="1002"/>
      <c r="I74" s="1002"/>
      <c r="J74" s="1002"/>
      <c r="K74" s="70">
        <f>SUM(K69:K73)</f>
        <v>3.4812500000000002</v>
      </c>
      <c r="L74" s="67"/>
    </row>
    <row r="75" spans="2:12" hidden="1">
      <c r="B75" s="63"/>
      <c r="C75" s="71"/>
      <c r="D75" s="71"/>
      <c r="E75" s="71"/>
      <c r="F75" s="71"/>
      <c r="G75" s="71"/>
      <c r="H75" s="71"/>
      <c r="I75" s="71"/>
      <c r="J75" s="71"/>
      <c r="K75" s="72"/>
      <c r="L75" s="67"/>
    </row>
    <row r="76" spans="2:12" ht="27" hidden="1" customHeight="1">
      <c r="B76" s="60" t="str">
        <f>'[6]PLANILHA ORÇAMENTÁRIA'!D24</f>
        <v>4.3</v>
      </c>
      <c r="C76" s="1003" t="str">
        <f>'[6]PLANILHA ORÇAMENTÁRIA'!E24</f>
        <v>ALVENARIA DE EMBASAMENTO EM BLOCO CERAMICO, 8 FUROS, DE 9 X 19 X 19 CM, ASSENTADO COM ARGAMASSA TRACO 1:2:8 (CIMENTO, CAL E AREIA)</v>
      </c>
      <c r="D76" s="1003"/>
      <c r="E76" s="1003"/>
      <c r="F76" s="1003"/>
      <c r="G76" s="1003"/>
      <c r="H76" s="1003"/>
      <c r="I76" s="1003"/>
      <c r="J76" s="1003"/>
      <c r="K76" s="61" t="str">
        <f>'[6]PLANILHA ORÇAMENTÁRIA'!F24</f>
        <v>M3</v>
      </c>
      <c r="L76" s="62">
        <f>K83</f>
        <v>4.1775000000000002</v>
      </c>
    </row>
    <row r="77" spans="2:12" hidden="1">
      <c r="B77" s="63"/>
      <c r="C77" s="1004" t="s">
        <v>20</v>
      </c>
      <c r="D77" s="1004"/>
      <c r="E77" s="1004"/>
      <c r="F77" s="64" t="s">
        <v>22</v>
      </c>
      <c r="G77" s="411" t="s">
        <v>111</v>
      </c>
      <c r="H77" s="64" t="s">
        <v>112</v>
      </c>
      <c r="I77" s="411" t="s">
        <v>113</v>
      </c>
      <c r="J77" s="411" t="s">
        <v>114</v>
      </c>
      <c r="K77" s="66" t="s">
        <v>25</v>
      </c>
      <c r="L77" s="67"/>
    </row>
    <row r="78" spans="2:12" hidden="1">
      <c r="B78" s="63"/>
      <c r="C78" s="1001" t="s">
        <v>123</v>
      </c>
      <c r="D78" s="1001"/>
      <c r="E78" s="1001"/>
      <c r="F78" s="68">
        <v>2</v>
      </c>
      <c r="G78" s="68">
        <v>0.3</v>
      </c>
      <c r="H78" s="68">
        <v>0.4</v>
      </c>
      <c r="I78" s="68">
        <v>5.4</v>
      </c>
      <c r="J78" s="68"/>
      <c r="K78" s="69">
        <f>PRODUCT(F78:J78)</f>
        <v>1.296</v>
      </c>
      <c r="L78" s="67"/>
    </row>
    <row r="79" spans="2:12" hidden="1">
      <c r="B79" s="63"/>
      <c r="C79" s="1001" t="s">
        <v>124</v>
      </c>
      <c r="D79" s="1001"/>
      <c r="E79" s="1001"/>
      <c r="F79" s="68">
        <v>2</v>
      </c>
      <c r="G79" s="68">
        <v>0.3</v>
      </c>
      <c r="H79" s="68">
        <v>0.4</v>
      </c>
      <c r="I79" s="68">
        <v>3.6</v>
      </c>
      <c r="J79" s="68"/>
      <c r="K79" s="69">
        <f>PRODUCT(F79:J79)</f>
        <v>0.86399999999999999</v>
      </c>
      <c r="L79" s="67"/>
    </row>
    <row r="80" spans="2:12" hidden="1">
      <c r="B80" s="63"/>
      <c r="C80" s="1001" t="s">
        <v>125</v>
      </c>
      <c r="D80" s="1001"/>
      <c r="E80" s="1001"/>
      <c r="F80" s="68">
        <v>1</v>
      </c>
      <c r="G80" s="68">
        <v>0.3</v>
      </c>
      <c r="H80" s="68">
        <v>0.4</v>
      </c>
      <c r="I80" s="68">
        <v>3.6</v>
      </c>
      <c r="J80" s="68"/>
      <c r="K80" s="69">
        <f>PRODUCT(F80:J80)</f>
        <v>0.432</v>
      </c>
      <c r="L80" s="67"/>
    </row>
    <row r="81" spans="2:12" hidden="1">
      <c r="B81" s="63"/>
      <c r="C81" s="1001" t="s">
        <v>127</v>
      </c>
      <c r="D81" s="1001"/>
      <c r="E81" s="1001"/>
      <c r="F81" s="68">
        <v>1</v>
      </c>
      <c r="G81" s="68">
        <v>0.3</v>
      </c>
      <c r="H81" s="68">
        <v>0.25</v>
      </c>
      <c r="I81" s="68">
        <f>5.7+5.7+4.7</f>
        <v>16.100000000000001</v>
      </c>
      <c r="J81" s="68"/>
      <c r="K81" s="69">
        <f>PRODUCT(F81:I81)</f>
        <v>1.2075</v>
      </c>
      <c r="L81" s="67"/>
    </row>
    <row r="82" spans="2:12" hidden="1">
      <c r="B82" s="63"/>
      <c r="C82" s="1001" t="s">
        <v>126</v>
      </c>
      <c r="D82" s="1001"/>
      <c r="E82" s="1001"/>
      <c r="F82" s="68">
        <v>1</v>
      </c>
      <c r="G82" s="68">
        <v>0.3</v>
      </c>
      <c r="H82" s="68">
        <v>0.4</v>
      </c>
      <c r="I82" s="68">
        <v>3.15</v>
      </c>
      <c r="J82" s="68"/>
      <c r="K82" s="69">
        <f>PRODUCT(F82:J82)</f>
        <v>0.378</v>
      </c>
      <c r="L82" s="67"/>
    </row>
    <row r="83" spans="2:12" hidden="1">
      <c r="B83" s="63"/>
      <c r="C83" s="1002" t="s">
        <v>116</v>
      </c>
      <c r="D83" s="1002"/>
      <c r="E83" s="1002"/>
      <c r="F83" s="1002"/>
      <c r="G83" s="1002"/>
      <c r="H83" s="1002"/>
      <c r="I83" s="1002"/>
      <c r="J83" s="1002"/>
      <c r="K83" s="70">
        <f>SUM(K78:K82)</f>
        <v>4.1775000000000002</v>
      </c>
      <c r="L83" s="67"/>
    </row>
    <row r="84" spans="2:12" hidden="1">
      <c r="B84" s="63"/>
      <c r="C84" s="71"/>
      <c r="D84" s="71"/>
      <c r="E84" s="71"/>
      <c r="F84" s="71"/>
      <c r="G84" s="71"/>
      <c r="H84" s="71"/>
      <c r="I84" s="71"/>
      <c r="J84" s="71"/>
      <c r="K84" s="72"/>
      <c r="L84" s="67"/>
    </row>
    <row r="85" spans="2:12" ht="29.25" hidden="1" customHeight="1">
      <c r="B85" s="60" t="str">
        <f>'[6]PLANILHA ORÇAMENTÁRIA'!D25</f>
        <v>4.4</v>
      </c>
      <c r="C85" s="1003" t="str">
        <f>'[6]PLANILHA ORÇAMENTÁRIA'!E25</f>
        <v>ARMAÇÃO DE BLOCO, VIGA BALDRAME OU SAPATA UTILIZANDO AÇO CA-50 DE 10 MM - MONTAGEM. AF_06/2017</v>
      </c>
      <c r="D85" s="1003"/>
      <c r="E85" s="1003"/>
      <c r="F85" s="1003"/>
      <c r="G85" s="1003"/>
      <c r="H85" s="1003"/>
      <c r="I85" s="1003"/>
      <c r="J85" s="1003"/>
      <c r="K85" s="61" t="str">
        <f>'[6]PLANILHA ORÇAMENTÁRIA'!F25</f>
        <v>KG</v>
      </c>
      <c r="L85" s="62">
        <f>K88</f>
        <v>41.32</v>
      </c>
    </row>
    <row r="86" spans="2:12" hidden="1">
      <c r="B86" s="63"/>
      <c r="C86" s="1004" t="s">
        <v>20</v>
      </c>
      <c r="D86" s="1004"/>
      <c r="E86" s="1004"/>
      <c r="F86" s="64" t="s">
        <v>22</v>
      </c>
      <c r="G86" s="411" t="s">
        <v>113</v>
      </c>
      <c r="H86" s="64" t="s">
        <v>133</v>
      </c>
      <c r="I86" s="411" t="s">
        <v>112</v>
      </c>
      <c r="J86" s="411" t="s">
        <v>114</v>
      </c>
      <c r="K86" s="66" t="s">
        <v>25</v>
      </c>
      <c r="L86" s="67"/>
    </row>
    <row r="87" spans="2:12" ht="22.5" hidden="1" customHeight="1">
      <c r="B87" s="63"/>
      <c r="C87" s="1001" t="s">
        <v>134</v>
      </c>
      <c r="D87" s="1001"/>
      <c r="E87" s="1001"/>
      <c r="F87" s="68">
        <v>8</v>
      </c>
      <c r="G87" s="68">
        <v>8.1999999999999993</v>
      </c>
      <c r="H87" s="68">
        <v>0.63</v>
      </c>
      <c r="I87" s="68"/>
      <c r="J87" s="68"/>
      <c r="K87" s="412">
        <f>TRUNC((G87*H87)*F87,2)</f>
        <v>41.32</v>
      </c>
      <c r="L87" s="67"/>
    </row>
    <row r="88" spans="2:12" hidden="1">
      <c r="B88" s="63"/>
      <c r="C88" s="1002" t="s">
        <v>116</v>
      </c>
      <c r="D88" s="1002"/>
      <c r="E88" s="1002"/>
      <c r="F88" s="1002"/>
      <c r="G88" s="1002"/>
      <c r="H88" s="1002"/>
      <c r="I88" s="1002"/>
      <c r="J88" s="1002"/>
      <c r="K88" s="66">
        <f>SUM(K87:K87)</f>
        <v>41.32</v>
      </c>
      <c r="L88" s="67"/>
    </row>
    <row r="89" spans="2:12" hidden="1"/>
    <row r="90" spans="2:12" ht="27.75" hidden="1" customHeight="1">
      <c r="B90" s="60" t="str">
        <f>'[6]PLANILHA ORÇAMENTÁRIA'!D26</f>
        <v>4.5</v>
      </c>
      <c r="C90" s="1003" t="str">
        <f>'[6]PLANILHA ORÇAMENTÁRIA'!E26</f>
        <v>CONCRETAGEM DE BLOCOS DE COROAMENTO E VIGAS BALDRAMES, FCK 30 MPA, COM USO DE BOMBA LANÇAMENTO, ADENSAMENTO E ACABAMENTO. AF_06/2017</v>
      </c>
      <c r="D90" s="1003"/>
      <c r="E90" s="1003"/>
      <c r="F90" s="1003"/>
      <c r="G90" s="1003"/>
      <c r="H90" s="1003"/>
      <c r="I90" s="1003"/>
      <c r="J90" s="1003"/>
      <c r="K90" s="61" t="str">
        <f>'[6]PLANILHA ORÇAMENTÁRIA'!F26</f>
        <v>M3</v>
      </c>
      <c r="L90" s="62">
        <f>K93</f>
        <v>1.72</v>
      </c>
    </row>
    <row r="91" spans="2:12" hidden="1">
      <c r="B91" s="63"/>
      <c r="C91" s="1004" t="s">
        <v>20</v>
      </c>
      <c r="D91" s="1004"/>
      <c r="E91" s="1004"/>
      <c r="F91" s="64" t="s">
        <v>22</v>
      </c>
      <c r="G91" s="411" t="s">
        <v>111</v>
      </c>
      <c r="H91" s="64" t="s">
        <v>112</v>
      </c>
      <c r="I91" s="411" t="s">
        <v>113</v>
      </c>
      <c r="J91" s="411" t="s">
        <v>114</v>
      </c>
      <c r="K91" s="66" t="s">
        <v>25</v>
      </c>
      <c r="L91" s="67"/>
    </row>
    <row r="92" spans="2:12" hidden="1">
      <c r="B92" s="63"/>
      <c r="C92" s="1001" t="s">
        <v>135</v>
      </c>
      <c r="D92" s="1001"/>
      <c r="E92" s="1001"/>
      <c r="F92" s="68">
        <v>8</v>
      </c>
      <c r="G92" s="68">
        <v>0.6</v>
      </c>
      <c r="H92" s="68">
        <v>0.6</v>
      </c>
      <c r="I92" s="68">
        <v>0.6</v>
      </c>
      <c r="J92" s="68"/>
      <c r="K92" s="412">
        <f>TRUNC(G92*H92*F92*I92,2)</f>
        <v>1.72</v>
      </c>
      <c r="L92" s="67"/>
    </row>
    <row r="93" spans="2:12" hidden="1">
      <c r="B93" s="63"/>
      <c r="C93" s="1002" t="s">
        <v>116</v>
      </c>
      <c r="D93" s="1002"/>
      <c r="E93" s="1002"/>
      <c r="F93" s="1002"/>
      <c r="G93" s="1002"/>
      <c r="H93" s="1002"/>
      <c r="I93" s="1002"/>
      <c r="J93" s="1002"/>
      <c r="K93" s="66">
        <f>SUM(K92:K92)</f>
        <v>1.72</v>
      </c>
      <c r="L93" s="67"/>
    </row>
    <row r="94" spans="2:12" hidden="1"/>
    <row r="95" spans="2:12" ht="15" hidden="1" customHeight="1">
      <c r="B95" s="60" t="str">
        <f>'[6]PLANILHA ORÇAMENTÁRIA'!D27</f>
        <v>4.6</v>
      </c>
      <c r="C95" s="1003" t="str">
        <f>'[6]PLANILHA ORÇAMENTÁRIA'!E27</f>
        <v>IMPERMEABILIZAÇÃO DE ESTRUTURAS ENTERRADAS, COM TINTA ASFALTICA, DUAS DEMAOS.</v>
      </c>
      <c r="D95" s="1003"/>
      <c r="E95" s="1003"/>
      <c r="F95" s="1003"/>
      <c r="G95" s="1003"/>
      <c r="H95" s="1003"/>
      <c r="I95" s="1003"/>
      <c r="J95" s="1003"/>
      <c r="K95" s="61" t="str">
        <f>'[6]PLANILHA ORÇAMENTÁRIA'!F27</f>
        <v>M2</v>
      </c>
      <c r="L95" s="62">
        <f>K98</f>
        <v>23.88</v>
      </c>
    </row>
    <row r="96" spans="2:12" hidden="1">
      <c r="B96" s="63"/>
      <c r="C96" s="1004" t="s">
        <v>20</v>
      </c>
      <c r="D96" s="1004"/>
      <c r="E96" s="1004"/>
      <c r="F96" s="64" t="s">
        <v>22</v>
      </c>
      <c r="G96" s="411" t="s">
        <v>111</v>
      </c>
      <c r="H96" s="64" t="s">
        <v>112</v>
      </c>
      <c r="I96" s="411" t="s">
        <v>113</v>
      </c>
      <c r="J96" s="411" t="s">
        <v>136</v>
      </c>
      <c r="K96" s="66" t="s">
        <v>25</v>
      </c>
      <c r="L96" s="67"/>
    </row>
    <row r="97" spans="2:12" hidden="1">
      <c r="B97" s="63"/>
      <c r="C97" s="1001"/>
      <c r="D97" s="1001"/>
      <c r="E97" s="1001"/>
      <c r="F97" s="68"/>
      <c r="G97" s="68">
        <v>0.3</v>
      </c>
      <c r="H97" s="68">
        <v>0.15</v>
      </c>
      <c r="I97" s="68">
        <v>31.85</v>
      </c>
      <c r="J97" s="68">
        <v>2</v>
      </c>
      <c r="K97" s="412">
        <f>TRUNC((G97*I97*J97)+(H97*I97),2)</f>
        <v>23.88</v>
      </c>
      <c r="L97" s="67"/>
    </row>
    <row r="98" spans="2:12" hidden="1">
      <c r="B98" s="63"/>
      <c r="C98" s="1002" t="s">
        <v>116</v>
      </c>
      <c r="D98" s="1002"/>
      <c r="E98" s="1002"/>
      <c r="F98" s="1002"/>
      <c r="G98" s="1002"/>
      <c r="H98" s="1002"/>
      <c r="I98" s="1002"/>
      <c r="J98" s="1002"/>
      <c r="K98" s="66">
        <f>SUM(K97:K97)</f>
        <v>23.88</v>
      </c>
      <c r="L98" s="67"/>
    </row>
    <row r="99" spans="2:12" hidden="1"/>
    <row r="100" spans="2:12" hidden="1">
      <c r="B100" s="58" t="str">
        <f>'[6]PLANILHA ORÇAMENTÁRIA'!D28</f>
        <v>5.0</v>
      </c>
      <c r="C100" s="1000" t="str">
        <f>'[6]PLANILHA ORÇAMENTÁRIA'!E28</f>
        <v>ESTRUTURA EM CONCRETO ARMADO</v>
      </c>
      <c r="D100" s="1000"/>
      <c r="E100" s="1000"/>
      <c r="F100" s="1000"/>
      <c r="G100" s="1000"/>
      <c r="H100" s="1000"/>
      <c r="I100" s="1000"/>
      <c r="J100" s="1000"/>
      <c r="K100" s="59"/>
      <c r="L100" s="59"/>
    </row>
    <row r="101" spans="2:12" ht="15" hidden="1" customHeight="1">
      <c r="B101" s="60" t="e">
        <f>'[6]PLANILHA ORÇAMENTÁRIA'!#REF!</f>
        <v>#REF!</v>
      </c>
      <c r="C101" s="1003" t="e">
        <f>'[6]PLANILHA ORÇAMENTÁRIA'!#REF!</f>
        <v>#REF!</v>
      </c>
      <c r="D101" s="1003"/>
      <c r="E101" s="1003"/>
      <c r="F101" s="1003"/>
      <c r="G101" s="1003"/>
      <c r="H101" s="1003"/>
      <c r="I101" s="1003"/>
      <c r="J101" s="1003"/>
      <c r="K101" s="61" t="e">
        <f>'[6]PLANILHA ORÇAMENTÁRIA'!#REF!</f>
        <v>#REF!</v>
      </c>
      <c r="L101" s="62">
        <f>K104</f>
        <v>31.85</v>
      </c>
    </row>
    <row r="102" spans="2:12" hidden="1">
      <c r="B102" s="63"/>
      <c r="C102" s="1004" t="s">
        <v>20</v>
      </c>
      <c r="D102" s="1004"/>
      <c r="E102" s="1004"/>
      <c r="F102" s="64" t="s">
        <v>22</v>
      </c>
      <c r="G102" s="411" t="s">
        <v>111</v>
      </c>
      <c r="H102" s="64" t="s">
        <v>112</v>
      </c>
      <c r="I102" s="411" t="s">
        <v>113</v>
      </c>
      <c r="J102" s="411" t="s">
        <v>114</v>
      </c>
      <c r="K102" s="66" t="s">
        <v>25</v>
      </c>
      <c r="L102" s="67"/>
    </row>
    <row r="103" spans="2:12" hidden="1">
      <c r="B103" s="63"/>
      <c r="C103" s="1001" t="s">
        <v>137</v>
      </c>
      <c r="D103" s="1001"/>
      <c r="E103" s="1001"/>
      <c r="F103" s="68">
        <v>1</v>
      </c>
      <c r="G103" s="68"/>
      <c r="H103" s="68"/>
      <c r="I103" s="68">
        <v>31.85</v>
      </c>
      <c r="J103" s="68"/>
      <c r="K103" s="412">
        <f>I103*F103</f>
        <v>31.85</v>
      </c>
      <c r="L103" s="67"/>
    </row>
    <row r="104" spans="2:12" hidden="1">
      <c r="B104" s="63"/>
      <c r="C104" s="1002" t="s">
        <v>116</v>
      </c>
      <c r="D104" s="1002"/>
      <c r="E104" s="1002"/>
      <c r="F104" s="1002"/>
      <c r="G104" s="1002"/>
      <c r="H104" s="1002"/>
      <c r="I104" s="1002"/>
      <c r="J104" s="1002"/>
      <c r="K104" s="66">
        <f>SUM(K103:K103)</f>
        <v>31.85</v>
      </c>
      <c r="L104" s="67"/>
    </row>
    <row r="105" spans="2:12" hidden="1"/>
    <row r="106" spans="2:12" ht="15" hidden="1" customHeight="1">
      <c r="B106" s="60" t="str">
        <f>'[6]PLANILHA ORÇAMENTÁRIA'!D29</f>
        <v>5.1</v>
      </c>
      <c r="C106" s="1003" t="str">
        <f>'[6]PLANILHA ORÇAMENTÁRIA'!E29</f>
        <v>FORMA PLANA PARA PILARES, EM COMPENSADO RESINADO DE 14MM, 12 USOS, INCLUSIVE ESCORAMENTO</v>
      </c>
      <c r="D106" s="1003"/>
      <c r="E106" s="1003"/>
      <c r="F106" s="1003"/>
      <c r="G106" s="1003"/>
      <c r="H106" s="1003"/>
      <c r="I106" s="1003"/>
      <c r="J106" s="1003"/>
      <c r="K106" s="61" t="str">
        <f>'[6]PLANILHA ORÇAMENTÁRIA'!F29</f>
        <v>M2</v>
      </c>
      <c r="L106" s="62">
        <f>K111</f>
        <v>26.689999999999998</v>
      </c>
    </row>
    <row r="107" spans="2:12" hidden="1">
      <c r="B107" s="63"/>
      <c r="C107" s="1004" t="s">
        <v>20</v>
      </c>
      <c r="D107" s="1004"/>
      <c r="E107" s="1004"/>
      <c r="F107" s="64" t="s">
        <v>22</v>
      </c>
      <c r="G107" s="411" t="s">
        <v>111</v>
      </c>
      <c r="H107" s="64" t="s">
        <v>112</v>
      </c>
      <c r="I107" s="411" t="s">
        <v>113</v>
      </c>
      <c r="J107" s="411" t="s">
        <v>136</v>
      </c>
      <c r="K107" s="66" t="s">
        <v>25</v>
      </c>
      <c r="L107" s="67"/>
    </row>
    <row r="108" spans="2:12" hidden="1">
      <c r="B108" s="63"/>
      <c r="C108" s="1001" t="s">
        <v>138</v>
      </c>
      <c r="D108" s="1001"/>
      <c r="E108" s="1001"/>
      <c r="F108" s="68">
        <v>4</v>
      </c>
      <c r="G108" s="68">
        <v>5.05</v>
      </c>
      <c r="H108" s="68">
        <v>0.19</v>
      </c>
      <c r="I108" s="68">
        <v>0.19</v>
      </c>
      <c r="J108" s="68">
        <v>2</v>
      </c>
      <c r="K108" s="412">
        <f>TRUNC((H108*G108*J108*F108)+(I108*G108*J108*F108),2)</f>
        <v>15.35</v>
      </c>
      <c r="L108" s="67"/>
    </row>
    <row r="109" spans="2:12" hidden="1">
      <c r="B109" s="63"/>
      <c r="C109" s="1001" t="s">
        <v>138</v>
      </c>
      <c r="D109" s="1001"/>
      <c r="E109" s="1001"/>
      <c r="F109" s="68">
        <v>2</v>
      </c>
      <c r="G109" s="68">
        <v>3.7</v>
      </c>
      <c r="H109" s="68">
        <v>0.19</v>
      </c>
      <c r="I109" s="68">
        <v>0.19</v>
      </c>
      <c r="J109" s="68">
        <v>2</v>
      </c>
      <c r="K109" s="412">
        <f>TRUNC((H109*G109*J109*F109)+(I109*G109*J109*F109),2)</f>
        <v>5.62</v>
      </c>
      <c r="L109" s="67"/>
    </row>
    <row r="110" spans="2:12" hidden="1">
      <c r="B110" s="63"/>
      <c r="C110" s="1001" t="s">
        <v>139</v>
      </c>
      <c r="D110" s="1001"/>
      <c r="E110" s="1001"/>
      <c r="F110" s="68">
        <v>2</v>
      </c>
      <c r="G110" s="68">
        <v>2.6</v>
      </c>
      <c r="H110" s="68">
        <v>0.15</v>
      </c>
      <c r="I110" s="68">
        <v>0.4</v>
      </c>
      <c r="J110" s="68">
        <v>2</v>
      </c>
      <c r="K110" s="412">
        <f>TRUNC((H110*G110*J110*F110)+(I110*G110*J110*F110),2)</f>
        <v>5.72</v>
      </c>
      <c r="L110" s="67"/>
    </row>
    <row r="111" spans="2:12" hidden="1">
      <c r="B111" s="63"/>
      <c r="C111" s="1002" t="s">
        <v>116</v>
      </c>
      <c r="D111" s="1002"/>
      <c r="E111" s="1002"/>
      <c r="F111" s="1002"/>
      <c r="G111" s="1002"/>
      <c r="H111" s="1002"/>
      <c r="I111" s="1002"/>
      <c r="J111" s="1002"/>
      <c r="K111" s="66">
        <f>SUM(K108:K110)</f>
        <v>26.689999999999998</v>
      </c>
      <c r="L111" s="67"/>
    </row>
    <row r="112" spans="2:12" hidden="1"/>
    <row r="113" spans="2:12" ht="23.25" hidden="1" customHeight="1">
      <c r="B113" s="60" t="str">
        <f>'[6]PLANILHA ORÇAMENTÁRIA'!D30</f>
        <v>5.2</v>
      </c>
      <c r="C113" s="1003" t="str">
        <f>'[6]PLANILHA ORÇAMENTÁRIA'!E30</f>
        <v>ARMAÇÃO DE PILAR OU VIGA DE UMA ESTRUTURA CONVENCIONAL DE CONCRETO ARMADO EM UMA EDIFICAÇÃO TÉRREA OU SOBRADO UTILIZANDO AÇO CA-50 DE 10,0 MM - MONTAGEM. AF_12/2015</v>
      </c>
      <c r="D113" s="1003"/>
      <c r="E113" s="1003"/>
      <c r="F113" s="1003"/>
      <c r="G113" s="1003"/>
      <c r="H113" s="1003"/>
      <c r="I113" s="1003"/>
      <c r="J113" s="1003"/>
      <c r="K113" s="61" t="str">
        <f>'[6]PLANILHA ORÇAMENTÁRIA'!F30</f>
        <v>KG</v>
      </c>
      <c r="L113" s="62">
        <f>K120</f>
        <v>262.81</v>
      </c>
    </row>
    <row r="114" spans="2:12" hidden="1">
      <c r="B114" s="63"/>
      <c r="C114" s="1004" t="s">
        <v>20</v>
      </c>
      <c r="D114" s="1004"/>
      <c r="E114" s="1004"/>
      <c r="F114" s="64" t="s">
        <v>22</v>
      </c>
      <c r="G114" s="411" t="s">
        <v>113</v>
      </c>
      <c r="H114" s="64" t="s">
        <v>133</v>
      </c>
      <c r="I114" s="411" t="s">
        <v>112</v>
      </c>
      <c r="J114" s="411" t="s">
        <v>114</v>
      </c>
      <c r="K114" s="66" t="s">
        <v>25</v>
      </c>
      <c r="L114" s="67"/>
    </row>
    <row r="115" spans="2:12" hidden="1">
      <c r="B115" s="63"/>
      <c r="C115" s="1001" t="s">
        <v>140</v>
      </c>
      <c r="D115" s="1001"/>
      <c r="E115" s="1001"/>
      <c r="F115" s="68">
        <v>4</v>
      </c>
      <c r="G115" s="68">
        <f>5.05*4</f>
        <v>20.2</v>
      </c>
      <c r="H115" s="68">
        <v>0.63</v>
      </c>
      <c r="I115" s="68"/>
      <c r="J115" s="68"/>
      <c r="K115" s="412">
        <f>TRUNC((G115*F115)*H115,2)</f>
        <v>50.9</v>
      </c>
      <c r="L115" s="67"/>
    </row>
    <row r="116" spans="2:12" hidden="1">
      <c r="B116" s="63"/>
      <c r="C116" s="1001" t="s">
        <v>140</v>
      </c>
      <c r="D116" s="1001"/>
      <c r="E116" s="1001"/>
      <c r="F116" s="68">
        <v>2</v>
      </c>
      <c r="G116" s="68">
        <f>3.7*4</f>
        <v>14.8</v>
      </c>
      <c r="H116" s="68">
        <v>0.63</v>
      </c>
      <c r="I116" s="68"/>
      <c r="J116" s="68"/>
      <c r="K116" s="412">
        <f>TRUNC((G116*F116)*H116,2)</f>
        <v>18.64</v>
      </c>
      <c r="L116" s="67"/>
    </row>
    <row r="117" spans="2:12" hidden="1">
      <c r="B117" s="63"/>
      <c r="C117" s="1001" t="s">
        <v>141</v>
      </c>
      <c r="D117" s="1001"/>
      <c r="E117" s="1001"/>
      <c r="F117" s="68">
        <v>2</v>
      </c>
      <c r="G117" s="68">
        <f>2.6*6</f>
        <v>15.600000000000001</v>
      </c>
      <c r="H117" s="68">
        <v>0.63</v>
      </c>
      <c r="I117" s="68"/>
      <c r="J117" s="68"/>
      <c r="K117" s="412">
        <f>TRUNC((G117*F117)*H117,2)</f>
        <v>19.649999999999999</v>
      </c>
      <c r="L117" s="67"/>
    </row>
    <row r="118" spans="2:12" hidden="1">
      <c r="B118" s="63"/>
      <c r="C118" s="1001" t="s">
        <v>142</v>
      </c>
      <c r="D118" s="1001"/>
      <c r="E118" s="1001"/>
      <c r="F118" s="68">
        <v>2</v>
      </c>
      <c r="G118" s="68">
        <f>25.8*4</f>
        <v>103.2</v>
      </c>
      <c r="H118" s="68">
        <v>0.63</v>
      </c>
      <c r="I118" s="68"/>
      <c r="J118" s="68"/>
      <c r="K118" s="412">
        <f>TRUNC((G118*F118)*H118,2)</f>
        <v>130.03</v>
      </c>
      <c r="L118" s="67"/>
    </row>
    <row r="119" spans="2:12" hidden="1">
      <c r="B119" s="63"/>
      <c r="C119" s="1001" t="s">
        <v>142</v>
      </c>
      <c r="D119" s="1001"/>
      <c r="E119" s="1001"/>
      <c r="F119" s="68">
        <v>1</v>
      </c>
      <c r="G119" s="68">
        <f>17.3*4</f>
        <v>69.2</v>
      </c>
      <c r="H119" s="68">
        <v>0.63</v>
      </c>
      <c r="I119" s="68"/>
      <c r="J119" s="68"/>
      <c r="K119" s="412">
        <f>TRUNC((G119*F119)*H119,2)</f>
        <v>43.59</v>
      </c>
      <c r="L119" s="67"/>
    </row>
    <row r="120" spans="2:12" hidden="1">
      <c r="B120" s="63"/>
      <c r="C120" s="1002" t="s">
        <v>116</v>
      </c>
      <c r="D120" s="1002"/>
      <c r="E120" s="1002"/>
      <c r="F120" s="1002"/>
      <c r="G120" s="1002"/>
      <c r="H120" s="1002"/>
      <c r="I120" s="1002"/>
      <c r="J120" s="1002"/>
      <c r="K120" s="66">
        <f>SUM(K115:K119)</f>
        <v>262.81</v>
      </c>
      <c r="L120" s="67"/>
    </row>
    <row r="121" spans="2:12" hidden="1"/>
    <row r="122" spans="2:12" ht="27" hidden="1" customHeight="1">
      <c r="B122" s="60" t="str">
        <f>'[6]PLANILHA ORÇAMENTÁRIA'!D31</f>
        <v>5.3</v>
      </c>
      <c r="C122" s="1003" t="str">
        <f>'[6]PLANILHA ORÇAMENTÁRIA'!E31</f>
        <v>ARMAÇÃO DE PILAR OU VIGA DE UMA ESTRUTURA CONVENCIONAL DE CONCRETO ARMADO EM UMA EDIFICAÇÃO TÉRREA OU SOBRADO UTILIZANDO AÇO CA-60 DE 5,0 MM - MONTAGEM. AF_12/2015</v>
      </c>
      <c r="D122" s="1003"/>
      <c r="E122" s="1003"/>
      <c r="F122" s="1003"/>
      <c r="G122" s="1003"/>
      <c r="H122" s="1003"/>
      <c r="I122" s="1003"/>
      <c r="J122" s="1003"/>
      <c r="K122" s="61" t="str">
        <f>'[6]PLANILHA ORÇAMENTÁRIA'!F31</f>
        <v>KG</v>
      </c>
      <c r="L122" s="62">
        <f>K129</f>
        <v>67.75</v>
      </c>
    </row>
    <row r="123" spans="2:12" hidden="1">
      <c r="B123" s="63"/>
      <c r="C123" s="1004" t="s">
        <v>20</v>
      </c>
      <c r="D123" s="1004"/>
      <c r="E123" s="1004"/>
      <c r="F123" s="64" t="s">
        <v>22</v>
      </c>
      <c r="G123" s="411" t="s">
        <v>113</v>
      </c>
      <c r="H123" s="64" t="s">
        <v>143</v>
      </c>
      <c r="I123" s="64" t="s">
        <v>144</v>
      </c>
      <c r="J123" s="64" t="s">
        <v>133</v>
      </c>
      <c r="K123" s="66" t="s">
        <v>25</v>
      </c>
      <c r="L123" s="67"/>
    </row>
    <row r="124" spans="2:12" hidden="1">
      <c r="B124" s="63"/>
      <c r="C124" s="1001" t="s">
        <v>145</v>
      </c>
      <c r="D124" s="1001"/>
      <c r="E124" s="1001"/>
      <c r="F124" s="68">
        <v>4</v>
      </c>
      <c r="G124" s="68">
        <f>0.13+0.13+0.13+0.13+0.16</f>
        <v>0.68</v>
      </c>
      <c r="H124" s="68">
        <f>TRUNC(G108/0.2,2)</f>
        <v>25.25</v>
      </c>
      <c r="I124" s="68">
        <f>TRUNC(G124*H124,2)</f>
        <v>17.170000000000002</v>
      </c>
      <c r="J124" s="68">
        <v>0.16</v>
      </c>
      <c r="K124" s="412">
        <f>TRUNC((I124*G124*J124)*F124,2)</f>
        <v>7.47</v>
      </c>
      <c r="L124" s="67"/>
    </row>
    <row r="125" spans="2:12" hidden="1">
      <c r="B125" s="63"/>
      <c r="C125" s="1001" t="s">
        <v>145</v>
      </c>
      <c r="D125" s="1001"/>
      <c r="E125" s="1001"/>
      <c r="F125" s="68">
        <v>2</v>
      </c>
      <c r="G125" s="68">
        <f>0.13+0.13+0.13+0.13+0.16</f>
        <v>0.68</v>
      </c>
      <c r="H125" s="68">
        <f>TRUNC(G109/0.2,2)</f>
        <v>18.5</v>
      </c>
      <c r="I125" s="68">
        <f>TRUNC(G125*H125,2)</f>
        <v>12.58</v>
      </c>
      <c r="J125" s="68">
        <v>0.16</v>
      </c>
      <c r="K125" s="412">
        <f>TRUNC((I125*G125*J125)*F125,2)</f>
        <v>2.73</v>
      </c>
      <c r="L125" s="67"/>
    </row>
    <row r="126" spans="2:12" hidden="1">
      <c r="B126" s="63"/>
      <c r="C126" s="1001" t="s">
        <v>146</v>
      </c>
      <c r="D126" s="1001"/>
      <c r="E126" s="1001"/>
      <c r="F126" s="68">
        <v>2</v>
      </c>
      <c r="G126" s="68">
        <f>0.9+0.9+0.34+0.34+0.16</f>
        <v>2.64</v>
      </c>
      <c r="H126" s="68">
        <f>TRUNC(G110/0.2,2)</f>
        <v>13</v>
      </c>
      <c r="I126" s="68">
        <f>TRUNC(G126*H126,2)</f>
        <v>34.32</v>
      </c>
      <c r="J126" s="68">
        <v>0.16</v>
      </c>
      <c r="K126" s="412">
        <f>TRUNC((I126*G126*J126)*F126,2)</f>
        <v>28.99</v>
      </c>
      <c r="L126" s="67"/>
    </row>
    <row r="127" spans="2:12" hidden="1">
      <c r="B127" s="63"/>
      <c r="C127" s="1001" t="s">
        <v>147</v>
      </c>
      <c r="D127" s="1001"/>
      <c r="E127" s="1001"/>
      <c r="F127" s="68">
        <v>2</v>
      </c>
      <c r="G127" s="68">
        <f>0.09+0.09+0.19+0.19+0.16</f>
        <v>0.72000000000000008</v>
      </c>
      <c r="H127" s="68">
        <f>TRUNC(I140/0.2,2)</f>
        <v>129</v>
      </c>
      <c r="I127" s="68">
        <f>TRUNC(G127*H127,2)</f>
        <v>92.88</v>
      </c>
      <c r="J127" s="68">
        <v>0.16</v>
      </c>
      <c r="K127" s="412">
        <f>TRUNC((I127*G127*J127)*F127,2)</f>
        <v>21.39</v>
      </c>
      <c r="L127" s="67"/>
    </row>
    <row r="128" spans="2:12" hidden="1">
      <c r="B128" s="63"/>
      <c r="C128" s="1001" t="s">
        <v>147</v>
      </c>
      <c r="D128" s="1001"/>
      <c r="E128" s="1001"/>
      <c r="F128" s="68">
        <v>1</v>
      </c>
      <c r="G128" s="68">
        <f>0.09+0.09+0.19+0.19+0.16</f>
        <v>0.72000000000000008</v>
      </c>
      <c r="H128" s="68">
        <f>TRUNC(I141/0.2,2)</f>
        <v>86.5</v>
      </c>
      <c r="I128" s="68">
        <f>TRUNC(G128*H128,2)</f>
        <v>62.28</v>
      </c>
      <c r="J128" s="68">
        <v>0.16</v>
      </c>
      <c r="K128" s="412">
        <f>TRUNC((I128*G128*J128)*F128,2)</f>
        <v>7.17</v>
      </c>
      <c r="L128" s="67"/>
    </row>
    <row r="129" spans="2:12" hidden="1">
      <c r="B129" s="63"/>
      <c r="C129" s="1002" t="s">
        <v>116</v>
      </c>
      <c r="D129" s="1002"/>
      <c r="E129" s="1002"/>
      <c r="F129" s="1002"/>
      <c r="G129" s="1002"/>
      <c r="H129" s="1002"/>
      <c r="I129" s="1002"/>
      <c r="J129" s="1002"/>
      <c r="K129" s="66">
        <f>SUM(K124:K128)</f>
        <v>67.75</v>
      </c>
      <c r="L129" s="67"/>
    </row>
    <row r="130" spans="2:12" hidden="1">
      <c r="B130" s="63"/>
      <c r="C130" s="71"/>
      <c r="D130" s="71"/>
      <c r="E130" s="71"/>
      <c r="F130" s="71"/>
      <c r="G130" s="71"/>
      <c r="H130" s="71"/>
      <c r="I130" s="71"/>
      <c r="J130" s="71"/>
      <c r="K130" s="73"/>
      <c r="L130" s="67"/>
    </row>
    <row r="131" spans="2:12" ht="24.75" hidden="1" customHeight="1">
      <c r="B131" s="60" t="str">
        <f>'[6]PLANILHA ORÇAMENTÁRIA'!D32</f>
        <v>5.4</v>
      </c>
      <c r="C131" s="1003" t="str">
        <f>'[6]PLANILHA ORÇAMENTÁRIA'!E32</f>
        <v>CONCRETAGEM DE PILARES, FCK = 25 MPA, COM USO DE GRUA EM EDIFICAÇÃO COM SEÇÃO MÉDIA DE PILARES MAIOR QUE 0,25 M² - LANÇAMENTO, ADENSAMENTO E ACABAMENTO. AF_12/2015</v>
      </c>
      <c r="D131" s="1003"/>
      <c r="E131" s="1003"/>
      <c r="F131" s="1003"/>
      <c r="G131" s="1003"/>
      <c r="H131" s="1003"/>
      <c r="I131" s="1003"/>
      <c r="J131" s="1003"/>
      <c r="K131" s="61" t="str">
        <f>'[6]PLANILHA ORÇAMENTÁRIA'!F32</f>
        <v>M3</v>
      </c>
      <c r="L131" s="62">
        <f>K136</f>
        <v>1.29</v>
      </c>
    </row>
    <row r="132" spans="2:12" hidden="1">
      <c r="B132" s="63"/>
      <c r="C132" s="1004" t="s">
        <v>20</v>
      </c>
      <c r="D132" s="1004"/>
      <c r="E132" s="1004"/>
      <c r="F132" s="64" t="s">
        <v>22</v>
      </c>
      <c r="G132" s="411" t="s">
        <v>111</v>
      </c>
      <c r="H132" s="64" t="s">
        <v>112</v>
      </c>
      <c r="I132" s="411" t="s">
        <v>113</v>
      </c>
      <c r="J132" s="411" t="s">
        <v>114</v>
      </c>
      <c r="K132" s="66" t="s">
        <v>25</v>
      </c>
      <c r="L132" s="67"/>
    </row>
    <row r="133" spans="2:12" hidden="1">
      <c r="B133" s="63"/>
      <c r="C133" s="1001" t="s">
        <v>138</v>
      </c>
      <c r="D133" s="1001"/>
      <c r="E133" s="1001"/>
      <c r="F133" s="68">
        <v>4</v>
      </c>
      <c r="G133" s="68">
        <v>5.05</v>
      </c>
      <c r="H133" s="68">
        <v>0.19</v>
      </c>
      <c r="I133" s="68">
        <v>0.19</v>
      </c>
      <c r="J133" s="68"/>
      <c r="K133" s="412">
        <f>TRUNC(H133*I133*G133*F133,2)</f>
        <v>0.72</v>
      </c>
      <c r="L133" s="67"/>
    </row>
    <row r="134" spans="2:12" hidden="1">
      <c r="B134" s="63"/>
      <c r="C134" s="1001" t="s">
        <v>138</v>
      </c>
      <c r="D134" s="1001"/>
      <c r="E134" s="1001"/>
      <c r="F134" s="68">
        <v>2</v>
      </c>
      <c r="G134" s="68">
        <v>3.7</v>
      </c>
      <c r="H134" s="68">
        <v>0.19</v>
      </c>
      <c r="I134" s="68">
        <v>0.19</v>
      </c>
      <c r="J134" s="68"/>
      <c r="K134" s="412">
        <f>TRUNC(H134*I134*G134*F134,2)</f>
        <v>0.26</v>
      </c>
      <c r="L134" s="67"/>
    </row>
    <row r="135" spans="2:12" hidden="1">
      <c r="B135" s="63"/>
      <c r="C135" s="1001" t="s">
        <v>139</v>
      </c>
      <c r="D135" s="1001"/>
      <c r="E135" s="1001"/>
      <c r="F135" s="68">
        <v>2</v>
      </c>
      <c r="G135" s="68">
        <v>2.6</v>
      </c>
      <c r="H135" s="68">
        <v>0.15</v>
      </c>
      <c r="I135" s="68">
        <v>0.4</v>
      </c>
      <c r="J135" s="68"/>
      <c r="K135" s="412">
        <f>TRUNC(H135*I135*G135*F135,2)</f>
        <v>0.31</v>
      </c>
      <c r="L135" s="67"/>
    </row>
    <row r="136" spans="2:12" hidden="1">
      <c r="B136" s="63"/>
      <c r="C136" s="1002" t="s">
        <v>116</v>
      </c>
      <c r="D136" s="1002"/>
      <c r="E136" s="1002"/>
      <c r="F136" s="1002"/>
      <c r="G136" s="1002"/>
      <c r="H136" s="1002"/>
      <c r="I136" s="1002"/>
      <c r="J136" s="1002"/>
      <c r="K136" s="66">
        <f>SUM(K133:K135)</f>
        <v>1.29</v>
      </c>
      <c r="L136" s="67"/>
    </row>
    <row r="137" spans="2:12" hidden="1"/>
    <row r="138" spans="2:12" ht="15" hidden="1" customHeight="1">
      <c r="B138" s="60" t="str">
        <f>'[6]PLANILHA ORÇAMENTÁRIA'!D33</f>
        <v>5.5</v>
      </c>
      <c r="C138" s="1003" t="str">
        <f>'[6]PLANILHA ORÇAMENTÁRIA'!E33</f>
        <v>FORMA PLANA PARA VIGAS, EM COMPENSADO RESINADO DE 14MM, 12 USOS, INCLUSIVE ESCORAMENTO</v>
      </c>
      <c r="D138" s="1003"/>
      <c r="E138" s="1003"/>
      <c r="F138" s="1003"/>
      <c r="G138" s="1003"/>
      <c r="H138" s="1003"/>
      <c r="I138" s="1003"/>
      <c r="J138" s="1003"/>
      <c r="K138" s="61" t="str">
        <f>'[6]PLANILHA ORÇAMENTÁRIA'!F33</f>
        <v>M2</v>
      </c>
      <c r="L138" s="62">
        <f>K142</f>
        <v>16.77</v>
      </c>
    </row>
    <row r="139" spans="2:12" hidden="1">
      <c r="B139" s="63"/>
      <c r="C139" s="1004" t="s">
        <v>20</v>
      </c>
      <c r="D139" s="1004"/>
      <c r="E139" s="1004"/>
      <c r="F139" s="64" t="s">
        <v>22</v>
      </c>
      <c r="G139" s="411" t="s">
        <v>111</v>
      </c>
      <c r="H139" s="64" t="s">
        <v>112</v>
      </c>
      <c r="I139" s="411" t="s">
        <v>113</v>
      </c>
      <c r="J139" s="411" t="s">
        <v>148</v>
      </c>
      <c r="K139" s="66" t="s">
        <v>25</v>
      </c>
      <c r="L139" s="67"/>
    </row>
    <row r="140" spans="2:12" hidden="1">
      <c r="B140" s="63"/>
      <c r="C140" s="1001" t="s">
        <v>149</v>
      </c>
      <c r="D140" s="1001"/>
      <c r="E140" s="1001"/>
      <c r="F140" s="68">
        <v>2</v>
      </c>
      <c r="G140" s="68">
        <v>0.25</v>
      </c>
      <c r="H140" s="68">
        <v>0.15</v>
      </c>
      <c r="I140" s="68">
        <v>25.8</v>
      </c>
      <c r="J140" s="68">
        <v>2</v>
      </c>
      <c r="K140" s="412">
        <f>TRUNC((G140*I140*J140)+(H140*I140),2)</f>
        <v>16.77</v>
      </c>
      <c r="L140" s="67"/>
    </row>
    <row r="141" spans="2:12" hidden="1">
      <c r="B141" s="63"/>
      <c r="C141" s="1001" t="s">
        <v>149</v>
      </c>
      <c r="D141" s="1001"/>
      <c r="E141" s="1001"/>
      <c r="F141" s="68">
        <v>1</v>
      </c>
      <c r="G141" s="68">
        <v>0.25</v>
      </c>
      <c r="H141" s="68">
        <v>0.15</v>
      </c>
      <c r="I141" s="68">
        <v>17.3</v>
      </c>
      <c r="J141" s="68">
        <v>2</v>
      </c>
      <c r="K141" s="412">
        <f>TRUNC((G141*I141*J141)+(H141*I141),2)</f>
        <v>11.24</v>
      </c>
      <c r="L141" s="67"/>
    </row>
    <row r="142" spans="2:12" hidden="1">
      <c r="B142" s="63"/>
      <c r="C142" s="1002" t="s">
        <v>116</v>
      </c>
      <c r="D142" s="1002"/>
      <c r="E142" s="1002"/>
      <c r="F142" s="1002"/>
      <c r="G142" s="1002"/>
      <c r="H142" s="1002"/>
      <c r="I142" s="1002"/>
      <c r="J142" s="1002"/>
      <c r="K142" s="66">
        <f>SUM(K140:K140)</f>
        <v>16.77</v>
      </c>
      <c r="L142" s="67"/>
    </row>
    <row r="143" spans="2:12" hidden="1"/>
    <row r="144" spans="2:12" ht="25.5" hidden="1" customHeight="1">
      <c r="B144" s="60" t="str">
        <f>'[6]PLANILHA ORÇAMENTÁRIA'!D34</f>
        <v>5.6</v>
      </c>
      <c r="C144" s="1003" t="str">
        <f>'[6]PLANILHA ORÇAMENTÁRIA'!E34</f>
        <v>CONCRETAGEM DE VIGAS E LAJES, FCK=20 MPA, PARA LAJES MACIÇAS OU NERVURADAS COM GRUA DE CAÇAMBA DE 500 L EM EDIFICAÇÃO DE MULTIPAVIMENTOS ATÉ 16 ANDARES, COM ÁREA MÉDIA DE LAJES MAIOR QUE 20 M² - LANÇAMENTO, ADENSAMENTO E ACABAMENTO. AF_12/2015</v>
      </c>
      <c r="D144" s="1003"/>
      <c r="E144" s="1003"/>
      <c r="F144" s="1003"/>
      <c r="G144" s="1003"/>
      <c r="H144" s="1003"/>
      <c r="I144" s="1003"/>
      <c r="J144" s="1003"/>
      <c r="K144" s="61" t="str">
        <f>'[6]PLANILHA ORÇAMENTÁRIA'!F34</f>
        <v>M3</v>
      </c>
      <c r="L144" s="62">
        <f>K148</f>
        <v>2.57</v>
      </c>
    </row>
    <row r="145" spans="2:12" hidden="1">
      <c r="B145" s="63"/>
      <c r="C145" s="1004" t="s">
        <v>20</v>
      </c>
      <c r="D145" s="1004"/>
      <c r="E145" s="1004"/>
      <c r="F145" s="64" t="s">
        <v>22</v>
      </c>
      <c r="G145" s="411" t="s">
        <v>111</v>
      </c>
      <c r="H145" s="64" t="s">
        <v>112</v>
      </c>
      <c r="I145" s="411" t="s">
        <v>113</v>
      </c>
      <c r="J145" s="411" t="s">
        <v>114</v>
      </c>
      <c r="K145" s="66" t="s">
        <v>25</v>
      </c>
      <c r="L145" s="67"/>
    </row>
    <row r="146" spans="2:12" hidden="1">
      <c r="B146" s="63"/>
      <c r="C146" s="1001" t="s">
        <v>149</v>
      </c>
      <c r="D146" s="1001"/>
      <c r="E146" s="1001"/>
      <c r="F146" s="68">
        <v>2</v>
      </c>
      <c r="G146" s="68">
        <v>0.25</v>
      </c>
      <c r="H146" s="68">
        <v>0.15</v>
      </c>
      <c r="I146" s="68">
        <v>25.8</v>
      </c>
      <c r="J146" s="68"/>
      <c r="K146" s="412">
        <f>TRUNC(G146*H146*I146*F146,2)</f>
        <v>1.93</v>
      </c>
      <c r="L146" s="67"/>
    </row>
    <row r="147" spans="2:12" hidden="1">
      <c r="B147" s="63"/>
      <c r="C147" s="1001" t="s">
        <v>149</v>
      </c>
      <c r="D147" s="1001"/>
      <c r="E147" s="1001"/>
      <c r="F147" s="68">
        <v>1</v>
      </c>
      <c r="G147" s="68">
        <v>0.25</v>
      </c>
      <c r="H147" s="68">
        <v>0.15</v>
      </c>
      <c r="I147" s="68">
        <v>17.3</v>
      </c>
      <c r="J147" s="68"/>
      <c r="K147" s="412">
        <f>TRUNC(G147*H147*I147*F147,2)</f>
        <v>0.64</v>
      </c>
      <c r="L147" s="67"/>
    </row>
    <row r="148" spans="2:12" hidden="1">
      <c r="B148" s="63"/>
      <c r="C148" s="1002" t="s">
        <v>116</v>
      </c>
      <c r="D148" s="1002"/>
      <c r="E148" s="1002"/>
      <c r="F148" s="1002"/>
      <c r="G148" s="1002"/>
      <c r="H148" s="1002"/>
      <c r="I148" s="1002"/>
      <c r="J148" s="1002"/>
      <c r="K148" s="66">
        <f>SUM(K146:K147)</f>
        <v>2.57</v>
      </c>
      <c r="L148" s="67"/>
    </row>
    <row r="149" spans="2:12" hidden="1"/>
    <row r="150" spans="2:12" ht="29.25" hidden="1" customHeight="1">
      <c r="B150" s="60" t="str">
        <f>'[6]PLANILHA ORÇAMENTÁRIA'!D35</f>
        <v>5.7</v>
      </c>
      <c r="C150" s="1003" t="str">
        <f>'[6]PLANILHA ORÇAMENTÁRIA'!E35</f>
        <v>LAJE PRE-MOLDADA P/FORRO, SOBRECARGA 100KG/M2, VAOS ATE 3,50M/E=8CM, C/LAJOTAS E CAP.C/CONC FCK=20MPA, 3CM, INTER-EIXO 38CM, C/ESCORAMENTO (REAPR.3X) E FERRAGEM NEGATIVA</v>
      </c>
      <c r="D150" s="1003"/>
      <c r="E150" s="1003"/>
      <c r="F150" s="1003"/>
      <c r="G150" s="1003"/>
      <c r="H150" s="1003"/>
      <c r="I150" s="1003"/>
      <c r="J150" s="1003"/>
      <c r="K150" s="61" t="str">
        <f>'[6]PLANILHA ORÇAMENTÁRIA'!F35</f>
        <v>M2</v>
      </c>
      <c r="L150" s="62">
        <f>K154</f>
        <v>74.02</v>
      </c>
    </row>
    <row r="151" spans="2:12" hidden="1">
      <c r="B151" s="63"/>
      <c r="C151" s="1004" t="s">
        <v>20</v>
      </c>
      <c r="D151" s="1004"/>
      <c r="E151" s="1004"/>
      <c r="F151" s="64" t="s">
        <v>22</v>
      </c>
      <c r="G151" s="411" t="s">
        <v>111</v>
      </c>
      <c r="H151" s="64" t="s">
        <v>112</v>
      </c>
      <c r="I151" s="411" t="s">
        <v>113</v>
      </c>
      <c r="J151" s="411" t="s">
        <v>114</v>
      </c>
      <c r="K151" s="66" t="s">
        <v>25</v>
      </c>
      <c r="L151" s="67"/>
    </row>
    <row r="152" spans="2:12" hidden="1">
      <c r="B152" s="63"/>
      <c r="C152" s="1001" t="s">
        <v>150</v>
      </c>
      <c r="D152" s="1001"/>
      <c r="E152" s="1001"/>
      <c r="F152" s="68">
        <v>2</v>
      </c>
      <c r="G152" s="68"/>
      <c r="H152" s="68">
        <v>4.5</v>
      </c>
      <c r="I152" s="68">
        <v>6</v>
      </c>
      <c r="J152" s="68"/>
      <c r="K152" s="412">
        <f>TRUNC(H152*I152*F152,2)</f>
        <v>54</v>
      </c>
      <c r="L152" s="67"/>
    </row>
    <row r="153" spans="2:12" hidden="1">
      <c r="B153" s="63"/>
      <c r="C153" s="1001" t="s">
        <v>151</v>
      </c>
      <c r="D153" s="1001"/>
      <c r="E153" s="1001"/>
      <c r="F153" s="68">
        <v>1</v>
      </c>
      <c r="G153" s="68"/>
      <c r="H153" s="68">
        <v>4.45</v>
      </c>
      <c r="I153" s="68">
        <v>4.5</v>
      </c>
      <c r="J153" s="68"/>
      <c r="K153" s="412">
        <f>TRUNC(H153*I153*F153,2)</f>
        <v>20.02</v>
      </c>
      <c r="L153" s="67"/>
    </row>
    <row r="154" spans="2:12" hidden="1">
      <c r="B154" s="63"/>
      <c r="C154" s="1002" t="s">
        <v>116</v>
      </c>
      <c r="D154" s="1002"/>
      <c r="E154" s="1002"/>
      <c r="F154" s="1002"/>
      <c r="G154" s="1002"/>
      <c r="H154" s="1002"/>
      <c r="I154" s="1002"/>
      <c r="J154" s="1002"/>
      <c r="K154" s="66">
        <f>SUM(K152:K153)</f>
        <v>74.02</v>
      </c>
      <c r="L154" s="67"/>
    </row>
    <row r="155" spans="2:12" hidden="1"/>
    <row r="156" spans="2:12" ht="22.5" hidden="1" customHeight="1">
      <c r="B156" s="60" t="str">
        <f>'[6]PLANILHA ORÇAMENTÁRIA'!D36</f>
        <v>5.8</v>
      </c>
      <c r="C156" s="1003" t="str">
        <f>'[6]PLANILHA ORÇAMENTÁRIA'!E36</f>
        <v>IMPERMEABILIZAÇÃO DE PISO COM ARGAMASSA DE CIMENTO E AREIA, COM ADITIVO IMPERMEABILIZANTE, E = 2CM. AF_06/2018</v>
      </c>
      <c r="D156" s="1003"/>
      <c r="E156" s="1003"/>
      <c r="F156" s="1003"/>
      <c r="G156" s="1003"/>
      <c r="H156" s="1003"/>
      <c r="I156" s="1003"/>
      <c r="J156" s="1003"/>
      <c r="K156" s="61" t="str">
        <f>'[6]PLANILHA ORÇAMENTÁRIA'!F36</f>
        <v>M2</v>
      </c>
      <c r="L156" s="62">
        <f>K159</f>
        <v>27</v>
      </c>
    </row>
    <row r="157" spans="2:12" hidden="1">
      <c r="B157" s="63"/>
      <c r="C157" s="1004" t="s">
        <v>20</v>
      </c>
      <c r="D157" s="1004"/>
      <c r="E157" s="1004"/>
      <c r="F157" s="64" t="s">
        <v>22</v>
      </c>
      <c r="G157" s="411" t="s">
        <v>111</v>
      </c>
      <c r="H157" s="64" t="s">
        <v>112</v>
      </c>
      <c r="I157" s="411" t="s">
        <v>113</v>
      </c>
      <c r="J157" s="411" t="s">
        <v>114</v>
      </c>
      <c r="K157" s="66" t="s">
        <v>25</v>
      </c>
      <c r="L157" s="67"/>
    </row>
    <row r="158" spans="2:12" hidden="1">
      <c r="B158" s="63"/>
      <c r="C158" s="1001" t="s">
        <v>152</v>
      </c>
      <c r="D158" s="1001"/>
      <c r="E158" s="1001"/>
      <c r="F158" s="68">
        <v>1</v>
      </c>
      <c r="G158" s="68"/>
      <c r="H158" s="68">
        <v>4.5</v>
      </c>
      <c r="I158" s="68">
        <v>6</v>
      </c>
      <c r="J158" s="68"/>
      <c r="K158" s="412">
        <f>TRUNC(H158*I158*F158,2)</f>
        <v>27</v>
      </c>
      <c r="L158" s="67"/>
    </row>
    <row r="159" spans="2:12" hidden="1">
      <c r="B159" s="63"/>
      <c r="C159" s="1002" t="s">
        <v>116</v>
      </c>
      <c r="D159" s="1002"/>
      <c r="E159" s="1002"/>
      <c r="F159" s="1002"/>
      <c r="G159" s="1002"/>
      <c r="H159" s="1002"/>
      <c r="I159" s="1002"/>
      <c r="J159" s="1002"/>
      <c r="K159" s="66">
        <f>SUM(K158:K158)</f>
        <v>27</v>
      </c>
      <c r="L159" s="67"/>
    </row>
    <row r="160" spans="2:12" hidden="1"/>
    <row r="161" spans="2:12" ht="20.25" hidden="1" customHeight="1">
      <c r="B161" s="60" t="str">
        <f>'[6]PLANILHA ORÇAMENTÁRIA'!D37</f>
        <v>5.9</v>
      </c>
      <c r="C161" s="1003" t="str">
        <f>'[6]PLANILHA ORÇAMENTÁRIA'!E37</f>
        <v>TAMPA DE CONCRETO ARMADO 60X60X5CM PARA CAIXA</v>
      </c>
      <c r="D161" s="1003"/>
      <c r="E161" s="1003"/>
      <c r="F161" s="1003"/>
      <c r="G161" s="1003"/>
      <c r="H161" s="1003"/>
      <c r="I161" s="1003"/>
      <c r="J161" s="1003"/>
      <c r="K161" s="61" t="str">
        <f>'[6]PLANILHA ORÇAMENTÁRIA'!F37</f>
        <v>UND</v>
      </c>
      <c r="L161" s="62">
        <f>K164</f>
        <v>1</v>
      </c>
    </row>
    <row r="162" spans="2:12" hidden="1">
      <c r="B162" s="63"/>
      <c r="C162" s="1004" t="s">
        <v>20</v>
      </c>
      <c r="D162" s="1004"/>
      <c r="E162" s="1004"/>
      <c r="F162" s="64" t="s">
        <v>22</v>
      </c>
      <c r="G162" s="411" t="s">
        <v>111</v>
      </c>
      <c r="H162" s="64" t="s">
        <v>112</v>
      </c>
      <c r="I162" s="411" t="s">
        <v>113</v>
      </c>
      <c r="J162" s="411" t="s">
        <v>114</v>
      </c>
      <c r="K162" s="66" t="s">
        <v>25</v>
      </c>
      <c r="L162" s="67"/>
    </row>
    <row r="163" spans="2:12" hidden="1">
      <c r="B163" s="63"/>
      <c r="C163" s="1001" t="s">
        <v>153</v>
      </c>
      <c r="D163" s="1001"/>
      <c r="E163" s="1001"/>
      <c r="F163" s="68">
        <v>1</v>
      </c>
      <c r="G163" s="68"/>
      <c r="H163" s="68"/>
      <c r="I163" s="68"/>
      <c r="J163" s="68"/>
      <c r="K163" s="412">
        <f>F163</f>
        <v>1</v>
      </c>
      <c r="L163" s="67"/>
    </row>
    <row r="164" spans="2:12" hidden="1">
      <c r="B164" s="63"/>
      <c r="C164" s="1002" t="s">
        <v>116</v>
      </c>
      <c r="D164" s="1002"/>
      <c r="E164" s="1002"/>
      <c r="F164" s="1002"/>
      <c r="G164" s="1002"/>
      <c r="H164" s="1002"/>
      <c r="I164" s="1002"/>
      <c r="J164" s="1002"/>
      <c r="K164" s="66">
        <f>SUM(K163:K163)</f>
        <v>1</v>
      </c>
      <c r="L164" s="67"/>
    </row>
    <row r="165" spans="2:12" hidden="1">
      <c r="B165" s="63"/>
      <c r="C165" s="71"/>
      <c r="D165" s="71"/>
      <c r="E165" s="71"/>
      <c r="F165" s="71"/>
      <c r="G165" s="71"/>
      <c r="H165" s="71"/>
      <c r="I165" s="71"/>
      <c r="J165" s="71"/>
      <c r="K165" s="73"/>
      <c r="L165" s="67"/>
    </row>
    <row r="166" spans="2:12" hidden="1">
      <c r="B166" s="60" t="str">
        <f>'[6]PLANILHA ORÇAMENTÁRIA'!D38</f>
        <v>5.10</v>
      </c>
      <c r="C166" s="1003" t="str">
        <f>'[6]PLANILHA ORÇAMENTÁRIA'!E38</f>
        <v>VERGA PRÉ-MOLDADA PARA JANELAS COM ATÉ 1,5 M DE VÃO. AF_03/2016</v>
      </c>
      <c r="D166" s="1003"/>
      <c r="E166" s="1003"/>
      <c r="F166" s="1003"/>
      <c r="G166" s="1003"/>
      <c r="H166" s="1003"/>
      <c r="I166" s="1003"/>
      <c r="J166" s="1003"/>
      <c r="K166" s="61" t="str">
        <f>'[6]PLANILHA ORÇAMENTÁRIA'!F38</f>
        <v>M</v>
      </c>
      <c r="L166" s="62">
        <f>K169</f>
        <v>3.3000000000000003</v>
      </c>
    </row>
    <row r="167" spans="2:12" hidden="1">
      <c r="B167" s="63"/>
      <c r="C167" s="1004" t="s">
        <v>20</v>
      </c>
      <c r="D167" s="1004"/>
      <c r="E167" s="1004"/>
      <c r="F167" s="64" t="s">
        <v>22</v>
      </c>
      <c r="G167" s="411" t="s">
        <v>111</v>
      </c>
      <c r="H167" s="64" t="s">
        <v>112</v>
      </c>
      <c r="I167" s="411" t="s">
        <v>113</v>
      </c>
      <c r="J167" s="411" t="s">
        <v>114</v>
      </c>
      <c r="K167" s="66" t="s">
        <v>25</v>
      </c>
      <c r="L167" s="67"/>
    </row>
    <row r="168" spans="2:12" hidden="1">
      <c r="B168" s="63"/>
      <c r="C168" s="1001"/>
      <c r="D168" s="1001"/>
      <c r="E168" s="1001"/>
      <c r="F168" s="68">
        <v>3</v>
      </c>
      <c r="G168" s="68"/>
      <c r="H168" s="68"/>
      <c r="I168" s="68">
        <v>1.1000000000000001</v>
      </c>
      <c r="J168" s="68"/>
      <c r="K168" s="412">
        <f>F168*I168</f>
        <v>3.3000000000000003</v>
      </c>
      <c r="L168" s="67"/>
    </row>
    <row r="169" spans="2:12" hidden="1">
      <c r="B169" s="63"/>
      <c r="C169" s="1002" t="s">
        <v>116</v>
      </c>
      <c r="D169" s="1002"/>
      <c r="E169" s="1002"/>
      <c r="F169" s="1002"/>
      <c r="G169" s="1002"/>
      <c r="H169" s="1002"/>
      <c r="I169" s="1002"/>
      <c r="J169" s="1002"/>
      <c r="K169" s="66">
        <f>SUM(K168:K168)</f>
        <v>3.3000000000000003</v>
      </c>
      <c r="L169" s="67"/>
    </row>
    <row r="170" spans="2:12" hidden="1">
      <c r="B170" s="63"/>
      <c r="C170" s="71"/>
      <c r="D170" s="71"/>
      <c r="E170" s="71"/>
      <c r="F170" s="71"/>
      <c r="G170" s="71"/>
      <c r="H170" s="71"/>
      <c r="I170" s="71"/>
      <c r="J170" s="71"/>
      <c r="K170" s="73"/>
      <c r="L170" s="67"/>
    </row>
    <row r="171" spans="2:12" hidden="1">
      <c r="B171" s="60" t="str">
        <f>'[6]PLANILHA ORÇAMENTÁRIA'!D39</f>
        <v>5.11</v>
      </c>
      <c r="C171" s="1003" t="str">
        <f>'[6]PLANILHA ORÇAMENTÁRIA'!E39</f>
        <v>VERGA PRÉ-MOLDADA PARA PORTAS COM ATÉ 1,5 M DE VÃO. AF_03/2016</v>
      </c>
      <c r="D171" s="1003"/>
      <c r="E171" s="1003"/>
      <c r="F171" s="1003"/>
      <c r="G171" s="1003"/>
      <c r="H171" s="1003"/>
      <c r="I171" s="1003"/>
      <c r="J171" s="1003"/>
      <c r="K171" s="61" t="str">
        <f>'[6]PLANILHA ORÇAMENTÁRIA'!F39</f>
        <v>M</v>
      </c>
      <c r="L171" s="62">
        <f>K174</f>
        <v>3.3000000000000003</v>
      </c>
    </row>
    <row r="172" spans="2:12" hidden="1">
      <c r="B172" s="63"/>
      <c r="C172" s="1004" t="s">
        <v>20</v>
      </c>
      <c r="D172" s="1004"/>
      <c r="E172" s="1004"/>
      <c r="F172" s="64" t="s">
        <v>22</v>
      </c>
      <c r="G172" s="411" t="s">
        <v>111</v>
      </c>
      <c r="H172" s="64" t="s">
        <v>112</v>
      </c>
      <c r="I172" s="411" t="s">
        <v>113</v>
      </c>
      <c r="J172" s="411" t="s">
        <v>114</v>
      </c>
      <c r="K172" s="66" t="s">
        <v>25</v>
      </c>
      <c r="L172" s="67"/>
    </row>
    <row r="173" spans="2:12" ht="15" hidden="1" customHeight="1">
      <c r="B173" s="63"/>
      <c r="C173" s="1001"/>
      <c r="D173" s="1001"/>
      <c r="E173" s="1001"/>
      <c r="F173" s="68">
        <v>3</v>
      </c>
      <c r="G173" s="68"/>
      <c r="H173" s="68"/>
      <c r="I173" s="68">
        <v>1.1000000000000001</v>
      </c>
      <c r="J173" s="68"/>
      <c r="K173" s="412">
        <f>F173*I173</f>
        <v>3.3000000000000003</v>
      </c>
      <c r="L173" s="67"/>
    </row>
    <row r="174" spans="2:12" hidden="1">
      <c r="B174" s="63"/>
      <c r="C174" s="1002" t="s">
        <v>116</v>
      </c>
      <c r="D174" s="1002"/>
      <c r="E174" s="1002"/>
      <c r="F174" s="1002"/>
      <c r="G174" s="1002"/>
      <c r="H174" s="1002"/>
      <c r="I174" s="1002"/>
      <c r="J174" s="1002"/>
      <c r="K174" s="66">
        <f>SUM(K173:K173)</f>
        <v>3.3000000000000003</v>
      </c>
      <c r="L174" s="67"/>
    </row>
    <row r="175" spans="2:12" hidden="1">
      <c r="B175" s="63"/>
      <c r="C175" s="71"/>
      <c r="D175" s="71"/>
      <c r="E175" s="71"/>
      <c r="F175" s="71"/>
      <c r="G175" s="71"/>
      <c r="H175" s="71"/>
      <c r="I175" s="71"/>
      <c r="J175" s="71"/>
      <c r="K175" s="73"/>
      <c r="L175" s="67"/>
    </row>
    <row r="176" spans="2:12" hidden="1">
      <c r="B176" s="60" t="str">
        <f>'[6]PLANILHA ORÇAMENTÁRIA'!D40</f>
        <v>5.12</v>
      </c>
      <c r="C176" s="1003" t="str">
        <f>'[6]PLANILHA ORÇAMENTÁRIA'!E40</f>
        <v>CONTRAVERGA PRÉ-MOLDADA PARA VÃOS DE ATÉ 1,5 M DE COMPRIMENTO. AF_03/2016</v>
      </c>
      <c r="D176" s="1003"/>
      <c r="E176" s="1003"/>
      <c r="F176" s="1003"/>
      <c r="G176" s="1003"/>
      <c r="H176" s="1003"/>
      <c r="I176" s="1003"/>
      <c r="J176" s="1003"/>
      <c r="K176" s="61" t="str">
        <f>'[6]PLANILHA ORÇAMENTÁRIA'!F40</f>
        <v>M</v>
      </c>
      <c r="L176" s="62">
        <f>K179</f>
        <v>3.3000000000000003</v>
      </c>
    </row>
    <row r="177" spans="2:12" hidden="1">
      <c r="B177" s="63"/>
      <c r="C177" s="1004" t="s">
        <v>20</v>
      </c>
      <c r="D177" s="1004"/>
      <c r="E177" s="1004"/>
      <c r="F177" s="64" t="s">
        <v>22</v>
      </c>
      <c r="G177" s="411" t="s">
        <v>111</v>
      </c>
      <c r="H177" s="64" t="s">
        <v>112</v>
      </c>
      <c r="I177" s="411" t="s">
        <v>113</v>
      </c>
      <c r="J177" s="411" t="s">
        <v>114</v>
      </c>
      <c r="K177" s="66" t="s">
        <v>25</v>
      </c>
      <c r="L177" s="67"/>
    </row>
    <row r="178" spans="2:12" ht="15" hidden="1" customHeight="1">
      <c r="B178" s="63"/>
      <c r="C178" s="1001"/>
      <c r="D178" s="1001"/>
      <c r="E178" s="1001"/>
      <c r="F178" s="68">
        <v>3</v>
      </c>
      <c r="G178" s="68"/>
      <c r="H178" s="68"/>
      <c r="I178" s="68">
        <v>1.1000000000000001</v>
      </c>
      <c r="J178" s="68"/>
      <c r="K178" s="412">
        <f>F178*I178</f>
        <v>3.3000000000000003</v>
      </c>
      <c r="L178" s="67"/>
    </row>
    <row r="179" spans="2:12" hidden="1">
      <c r="B179" s="63"/>
      <c r="C179" s="1002" t="s">
        <v>116</v>
      </c>
      <c r="D179" s="1002"/>
      <c r="E179" s="1002"/>
      <c r="F179" s="1002"/>
      <c r="G179" s="1002"/>
      <c r="H179" s="1002"/>
      <c r="I179" s="1002"/>
      <c r="J179" s="1002"/>
      <c r="K179" s="66">
        <f>SUM(K178:K178)</f>
        <v>3.3000000000000003</v>
      </c>
      <c r="L179" s="67"/>
    </row>
    <row r="180" spans="2:12" hidden="1">
      <c r="B180" s="63"/>
      <c r="C180" s="71"/>
      <c r="D180" s="71"/>
      <c r="E180" s="71"/>
      <c r="F180" s="71"/>
      <c r="G180" s="71"/>
      <c r="H180" s="71"/>
      <c r="I180" s="71"/>
      <c r="J180" s="71"/>
      <c r="K180" s="73"/>
      <c r="L180" s="67"/>
    </row>
    <row r="181" spans="2:12" hidden="1">
      <c r="B181" s="58" t="str">
        <f>'[6]PLANILHA ORÇAMENTÁRIA'!D41</f>
        <v>6.0</v>
      </c>
      <c r="C181" s="1000" t="str">
        <f>'[6]PLANILHA ORÇAMENTÁRIA'!E41</f>
        <v>ALVENARIA DE VEDAÇÃO</v>
      </c>
      <c r="D181" s="1000"/>
      <c r="E181" s="1000"/>
      <c r="F181" s="1000"/>
      <c r="G181" s="1000"/>
      <c r="H181" s="1000"/>
      <c r="I181" s="1000"/>
      <c r="J181" s="1000"/>
      <c r="K181" s="59"/>
      <c r="L181" s="59"/>
    </row>
    <row r="182" spans="2:12" ht="23.25" hidden="1" customHeight="1">
      <c r="B182" s="60" t="str">
        <f>'[6]PLANILHA ORÇAMENTÁRIA'!D42</f>
        <v>6.1</v>
      </c>
      <c r="C182" s="1003" t="str">
        <f>'[6]PLANILHA ORÇAMENTÁRIA'!E42</f>
        <v>ALVENARIA DE BLOCO CERÂMICO FURADO (9x19x19)cm C/ARGAMASSA MISTA DE CAL HIDRATADA, ESP=9 cm</v>
      </c>
      <c r="D182" s="1003"/>
      <c r="E182" s="1003"/>
      <c r="F182" s="1003"/>
      <c r="G182" s="1003"/>
      <c r="H182" s="1003"/>
      <c r="I182" s="1003"/>
      <c r="J182" s="1003"/>
      <c r="K182" s="61" t="str">
        <f>'[6]PLANILHA ORÇAMENTÁRIA'!F42</f>
        <v>M2</v>
      </c>
      <c r="L182" s="62">
        <f>K187</f>
        <v>133.51999999999998</v>
      </c>
    </row>
    <row r="183" spans="2:12" hidden="1">
      <c r="B183" s="63"/>
      <c r="C183" s="1004" t="s">
        <v>20</v>
      </c>
      <c r="D183" s="1004"/>
      <c r="E183" s="1004"/>
      <c r="F183" s="64" t="s">
        <v>22</v>
      </c>
      <c r="G183" s="411" t="s">
        <v>111</v>
      </c>
      <c r="H183" s="64" t="s">
        <v>112</v>
      </c>
      <c r="I183" s="411" t="s">
        <v>154</v>
      </c>
      <c r="J183" s="411" t="s">
        <v>114</v>
      </c>
      <c r="K183" s="66" t="s">
        <v>25</v>
      </c>
      <c r="L183" s="67"/>
    </row>
    <row r="184" spans="2:12" hidden="1">
      <c r="B184" s="63"/>
      <c r="C184" s="1001" t="s">
        <v>155</v>
      </c>
      <c r="D184" s="1001"/>
      <c r="E184" s="1001"/>
      <c r="F184" s="68"/>
      <c r="G184" s="68">
        <v>2.6</v>
      </c>
      <c r="H184" s="68"/>
      <c r="I184" s="68">
        <f>(6.6*2)+(4.2*3)+3.15+2.16+(1.05*2)</f>
        <v>33.21</v>
      </c>
      <c r="J184" s="68">
        <v>3.88</v>
      </c>
      <c r="K184" s="412">
        <f>TRUNC((G184*I184)-J184,2)</f>
        <v>82.46</v>
      </c>
      <c r="L184" s="67"/>
    </row>
    <row r="185" spans="2:12" hidden="1">
      <c r="B185" s="63"/>
      <c r="C185" s="1001" t="s">
        <v>156</v>
      </c>
      <c r="D185" s="1001"/>
      <c r="E185" s="1001"/>
      <c r="F185" s="68"/>
      <c r="G185" s="68">
        <v>2.15</v>
      </c>
      <c r="H185" s="68"/>
      <c r="I185" s="68">
        <f>(6.6*2)+(4.2*2)</f>
        <v>21.6</v>
      </c>
      <c r="J185" s="68"/>
      <c r="K185" s="412">
        <f>TRUNC((G185*I185),2)</f>
        <v>46.44</v>
      </c>
      <c r="L185" s="67"/>
    </row>
    <row r="186" spans="2:12" hidden="1">
      <c r="B186" s="63"/>
      <c r="C186" s="1001" t="s">
        <v>157</v>
      </c>
      <c r="D186" s="1001"/>
      <c r="E186" s="1001"/>
      <c r="F186" s="68"/>
      <c r="G186" s="68">
        <v>2.1</v>
      </c>
      <c r="H186" s="68"/>
      <c r="I186" s="68">
        <v>2.2000000000000002</v>
      </c>
      <c r="J186" s="68"/>
      <c r="K186" s="412">
        <f>TRUNC((G186*I186),2)</f>
        <v>4.62</v>
      </c>
      <c r="L186" s="67"/>
    </row>
    <row r="187" spans="2:12" hidden="1">
      <c r="B187" s="63"/>
      <c r="C187" s="1002" t="s">
        <v>116</v>
      </c>
      <c r="D187" s="1002"/>
      <c r="E187" s="1002"/>
      <c r="F187" s="1002"/>
      <c r="G187" s="1002"/>
      <c r="H187" s="1002"/>
      <c r="I187" s="1002"/>
      <c r="J187" s="1002"/>
      <c r="K187" s="66">
        <f>SUM(K184:K186)</f>
        <v>133.51999999999998</v>
      </c>
      <c r="L187" s="67"/>
    </row>
    <row r="188" spans="2:12">
      <c r="B188" s="63"/>
      <c r="C188" s="71"/>
      <c r="D188" s="71"/>
      <c r="E188" s="71"/>
      <c r="F188" s="71"/>
      <c r="G188" s="71"/>
      <c r="H188" s="71"/>
      <c r="I188" s="71"/>
      <c r="J188" s="71"/>
      <c r="K188" s="73"/>
      <c r="L188" s="67"/>
    </row>
    <row r="189" spans="2:12">
      <c r="B189" s="292" t="s">
        <v>12</v>
      </c>
      <c r="C189" s="1093" t="s">
        <v>5</v>
      </c>
      <c r="D189" s="1093"/>
      <c r="E189" s="1093"/>
      <c r="F189" s="1093"/>
      <c r="G189" s="1093"/>
      <c r="H189" s="1093"/>
      <c r="I189" s="1093"/>
      <c r="J189" s="1093"/>
      <c r="K189" s="293"/>
      <c r="L189" s="293"/>
    </row>
    <row r="190" spans="2:12">
      <c r="B190" s="417"/>
      <c r="C190" s="211"/>
      <c r="D190" s="211"/>
      <c r="E190" s="211"/>
      <c r="F190" s="211"/>
      <c r="G190" s="211"/>
      <c r="H190" s="211"/>
      <c r="I190" s="211"/>
      <c r="J190" s="211"/>
      <c r="K190" s="212"/>
      <c r="L190" s="90"/>
    </row>
    <row r="191" spans="2:12" ht="15" customHeight="1">
      <c r="B191" s="417" t="s">
        <v>1369</v>
      </c>
      <c r="C191" s="980" t="s">
        <v>707</v>
      </c>
      <c r="D191" s="981"/>
      <c r="E191" s="981"/>
      <c r="F191" s="981"/>
      <c r="G191" s="981"/>
      <c r="H191" s="981"/>
      <c r="I191" s="981"/>
      <c r="J191" s="982"/>
      <c r="K191" s="97" t="str">
        <f>'[6]PLANILHA ORÇAMENTÁRIA'!F51</f>
        <v>M2</v>
      </c>
      <c r="L191" s="97">
        <f>K194</f>
        <v>10</v>
      </c>
    </row>
    <row r="192" spans="2:12">
      <c r="B192" s="417"/>
      <c r="C192" s="1027" t="s">
        <v>20</v>
      </c>
      <c r="D192" s="1027"/>
      <c r="E192" s="1027"/>
      <c r="F192" s="92" t="s">
        <v>22</v>
      </c>
      <c r="G192" s="414" t="s">
        <v>111</v>
      </c>
      <c r="H192" s="92" t="s">
        <v>112</v>
      </c>
      <c r="I192" s="414" t="s">
        <v>113</v>
      </c>
      <c r="J192" s="414" t="s">
        <v>114</v>
      </c>
      <c r="K192" s="94" t="s">
        <v>25</v>
      </c>
      <c r="L192" s="90"/>
    </row>
    <row r="193" spans="2:12">
      <c r="B193" s="417"/>
      <c r="C193" s="984" t="s">
        <v>873</v>
      </c>
      <c r="D193" s="985"/>
      <c r="E193" s="986"/>
      <c r="F193" s="91">
        <v>1</v>
      </c>
      <c r="G193" s="91">
        <v>1</v>
      </c>
      <c r="H193" s="91">
        <v>2</v>
      </c>
      <c r="I193" s="91">
        <v>5</v>
      </c>
      <c r="J193" s="91">
        <v>0</v>
      </c>
      <c r="K193" s="418">
        <f>(H193*I193*G193*F193)-J193</f>
        <v>10</v>
      </c>
      <c r="L193" s="90"/>
    </row>
    <row r="194" spans="2:12">
      <c r="B194" s="417"/>
      <c r="C194" s="987" t="s">
        <v>116</v>
      </c>
      <c r="D194" s="987"/>
      <c r="E194" s="987"/>
      <c r="F194" s="987"/>
      <c r="G194" s="987"/>
      <c r="H194" s="987"/>
      <c r="I194" s="987"/>
      <c r="J194" s="987"/>
      <c r="K194" s="89">
        <f>SUM(K193:K193)</f>
        <v>10</v>
      </c>
      <c r="L194" s="90"/>
    </row>
    <row r="195" spans="2:12">
      <c r="B195" s="417"/>
      <c r="C195" s="211"/>
      <c r="D195" s="211"/>
      <c r="E195" s="211"/>
      <c r="F195" s="211"/>
      <c r="G195" s="211"/>
      <c r="H195" s="211"/>
      <c r="I195" s="211"/>
      <c r="J195" s="211"/>
      <c r="K195" s="212"/>
      <c r="L195" s="90"/>
    </row>
    <row r="196" spans="2:12" ht="15" customHeight="1">
      <c r="B196" s="417" t="s">
        <v>1370</v>
      </c>
      <c r="C196" s="1024" t="s">
        <v>749</v>
      </c>
      <c r="D196" s="1025"/>
      <c r="E196" s="1025"/>
      <c r="F196" s="1025"/>
      <c r="G196" s="1025"/>
      <c r="H196" s="1025"/>
      <c r="I196" s="1025"/>
      <c r="J196" s="1026"/>
      <c r="K196" s="97" t="s">
        <v>7</v>
      </c>
      <c r="L196" s="97">
        <f>K199</f>
        <v>48.4</v>
      </c>
    </row>
    <row r="197" spans="2:12">
      <c r="B197" s="417"/>
      <c r="C197" s="983" t="s">
        <v>20</v>
      </c>
      <c r="D197" s="983"/>
      <c r="E197" s="983"/>
      <c r="F197" s="87" t="s">
        <v>22</v>
      </c>
      <c r="G197" s="413" t="s">
        <v>111</v>
      </c>
      <c r="H197" s="87" t="s">
        <v>112</v>
      </c>
      <c r="I197" s="413" t="s">
        <v>113</v>
      </c>
      <c r="J197" s="413" t="s">
        <v>114</v>
      </c>
      <c r="K197" s="89" t="s">
        <v>25</v>
      </c>
      <c r="L197" s="90"/>
    </row>
    <row r="198" spans="2:12">
      <c r="B198" s="417"/>
      <c r="C198" s="984" t="s">
        <v>874</v>
      </c>
      <c r="D198" s="985"/>
      <c r="E198" s="986"/>
      <c r="F198" s="91">
        <v>1</v>
      </c>
      <c r="G198" s="91">
        <v>1</v>
      </c>
      <c r="H198" s="91">
        <v>24.2</v>
      </c>
      <c r="I198" s="91">
        <v>2</v>
      </c>
      <c r="J198" s="91">
        <v>0</v>
      </c>
      <c r="K198" s="89">
        <f>(H198*G198*F198*I198)-J198</f>
        <v>48.4</v>
      </c>
      <c r="L198" s="90"/>
    </row>
    <row r="199" spans="2:12">
      <c r="B199" s="417"/>
      <c r="C199" s="987" t="s">
        <v>116</v>
      </c>
      <c r="D199" s="987"/>
      <c r="E199" s="987"/>
      <c r="F199" s="987"/>
      <c r="G199" s="987"/>
      <c r="H199" s="987"/>
      <c r="I199" s="987"/>
      <c r="J199" s="987"/>
      <c r="K199" s="89">
        <f>SUM(K198:K198)</f>
        <v>48.4</v>
      </c>
      <c r="L199" s="90"/>
    </row>
    <row r="200" spans="2:12">
      <c r="B200" s="417"/>
      <c r="C200" s="211"/>
      <c r="D200" s="211"/>
      <c r="E200" s="211"/>
      <c r="F200" s="211"/>
      <c r="G200" s="211"/>
      <c r="H200" s="211"/>
      <c r="I200" s="211"/>
      <c r="J200" s="211"/>
      <c r="K200" s="212"/>
      <c r="L200" s="90"/>
    </row>
    <row r="201" spans="2:12">
      <c r="B201" s="417" t="s">
        <v>1371</v>
      </c>
      <c r="C201" s="1024" t="s">
        <v>750</v>
      </c>
      <c r="D201" s="1025"/>
      <c r="E201" s="1025"/>
      <c r="F201" s="1025"/>
      <c r="G201" s="1025"/>
      <c r="H201" s="1025"/>
      <c r="I201" s="1025"/>
      <c r="J201" s="1026"/>
      <c r="K201" s="97" t="s">
        <v>21</v>
      </c>
      <c r="L201" s="97">
        <f>K204</f>
        <v>1</v>
      </c>
    </row>
    <row r="202" spans="2:12">
      <c r="B202" s="417"/>
      <c r="C202" s="983" t="s">
        <v>20</v>
      </c>
      <c r="D202" s="983"/>
      <c r="E202" s="983"/>
      <c r="F202" s="87" t="s">
        <v>22</v>
      </c>
      <c r="G202" s="413" t="s">
        <v>111</v>
      </c>
      <c r="H202" s="87" t="s">
        <v>112</v>
      </c>
      <c r="I202" s="413" t="s">
        <v>113</v>
      </c>
      <c r="J202" s="413" t="s">
        <v>114</v>
      </c>
      <c r="K202" s="89" t="s">
        <v>25</v>
      </c>
      <c r="L202" s="90"/>
    </row>
    <row r="203" spans="2:12">
      <c r="B203" s="417"/>
      <c r="C203" s="984" t="s">
        <v>875</v>
      </c>
      <c r="D203" s="985"/>
      <c r="E203" s="986"/>
      <c r="F203" s="91">
        <v>1</v>
      </c>
      <c r="G203" s="91">
        <v>1</v>
      </c>
      <c r="H203" s="91">
        <v>1</v>
      </c>
      <c r="I203" s="91">
        <v>1</v>
      </c>
      <c r="J203" s="91">
        <v>0</v>
      </c>
      <c r="K203" s="89">
        <f>(H203*G203*F203*I203)-J203</f>
        <v>1</v>
      </c>
      <c r="L203" s="90"/>
    </row>
    <row r="204" spans="2:12">
      <c r="B204" s="417"/>
      <c r="C204" s="987" t="s">
        <v>116</v>
      </c>
      <c r="D204" s="987"/>
      <c r="E204" s="987"/>
      <c r="F204" s="987"/>
      <c r="G204" s="987"/>
      <c r="H204" s="987"/>
      <c r="I204" s="987"/>
      <c r="J204" s="987"/>
      <c r="K204" s="89">
        <f>SUM(K203:K203)</f>
        <v>1</v>
      </c>
      <c r="L204" s="90"/>
    </row>
    <row r="205" spans="2:12">
      <c r="B205" s="417"/>
      <c r="C205" s="211"/>
      <c r="D205" s="211"/>
      <c r="E205" s="211"/>
      <c r="F205" s="211"/>
      <c r="G205" s="211"/>
      <c r="H205" s="211"/>
      <c r="I205" s="211"/>
      <c r="J205" s="211"/>
      <c r="K205" s="212"/>
      <c r="L205" s="90"/>
    </row>
    <row r="206" spans="2:12" ht="26.25" customHeight="1">
      <c r="B206" s="417" t="s">
        <v>1372</v>
      </c>
      <c r="C206" s="980" t="s">
        <v>752</v>
      </c>
      <c r="D206" s="981"/>
      <c r="E206" s="981"/>
      <c r="F206" s="981"/>
      <c r="G206" s="981"/>
      <c r="H206" s="981"/>
      <c r="I206" s="981"/>
      <c r="J206" s="982"/>
      <c r="K206" s="97" t="s">
        <v>7</v>
      </c>
      <c r="L206" s="97">
        <f>K209</f>
        <v>2.52</v>
      </c>
    </row>
    <row r="207" spans="2:12">
      <c r="B207" s="417"/>
      <c r="C207" s="983" t="s">
        <v>20</v>
      </c>
      <c r="D207" s="983"/>
      <c r="E207" s="983"/>
      <c r="F207" s="87" t="s">
        <v>22</v>
      </c>
      <c r="G207" s="413" t="s">
        <v>111</v>
      </c>
      <c r="H207" s="87" t="s">
        <v>112</v>
      </c>
      <c r="I207" s="413" t="s">
        <v>113</v>
      </c>
      <c r="J207" s="413" t="s">
        <v>114</v>
      </c>
      <c r="K207" s="89" t="s">
        <v>25</v>
      </c>
      <c r="L207" s="90"/>
    </row>
    <row r="208" spans="2:12" ht="15" customHeight="1">
      <c r="B208" s="417"/>
      <c r="C208" s="984" t="s">
        <v>678</v>
      </c>
      <c r="D208" s="985"/>
      <c r="E208" s="986"/>
      <c r="F208" s="91">
        <v>1</v>
      </c>
      <c r="G208" s="91">
        <v>1</v>
      </c>
      <c r="H208" s="91">
        <v>2.52</v>
      </c>
      <c r="I208" s="91">
        <v>1</v>
      </c>
      <c r="J208" s="91">
        <v>0</v>
      </c>
      <c r="K208" s="89">
        <f>(G208*H208*I208*F208)-J208</f>
        <v>2.52</v>
      </c>
      <c r="L208" s="90"/>
    </row>
    <row r="209" spans="2:12">
      <c r="B209" s="417"/>
      <c r="C209" s="987" t="s">
        <v>116</v>
      </c>
      <c r="D209" s="987"/>
      <c r="E209" s="987"/>
      <c r="F209" s="987"/>
      <c r="G209" s="987"/>
      <c r="H209" s="987"/>
      <c r="I209" s="987"/>
      <c r="J209" s="987"/>
      <c r="K209" s="89">
        <f>SUM(K208:K208)</f>
        <v>2.52</v>
      </c>
      <c r="L209" s="90"/>
    </row>
    <row r="210" spans="2:12">
      <c r="B210" s="417"/>
      <c r="C210" s="211"/>
      <c r="D210" s="211"/>
      <c r="E210" s="211"/>
      <c r="F210" s="211"/>
      <c r="G210" s="211"/>
      <c r="H210" s="211"/>
      <c r="I210" s="211"/>
      <c r="J210" s="211"/>
      <c r="K210" s="212"/>
      <c r="L210" s="90"/>
    </row>
    <row r="211" spans="2:12" ht="26.25" customHeight="1">
      <c r="B211" s="417" t="s">
        <v>1373</v>
      </c>
      <c r="C211" s="980" t="s">
        <v>753</v>
      </c>
      <c r="D211" s="981"/>
      <c r="E211" s="981"/>
      <c r="F211" s="981"/>
      <c r="G211" s="981"/>
      <c r="H211" s="981"/>
      <c r="I211" s="981"/>
      <c r="J211" s="982"/>
      <c r="K211" s="97" t="s">
        <v>7</v>
      </c>
      <c r="L211" s="97">
        <f>K214</f>
        <v>20</v>
      </c>
    </row>
    <row r="212" spans="2:12">
      <c r="B212" s="417"/>
      <c r="C212" s="983" t="s">
        <v>20</v>
      </c>
      <c r="D212" s="983"/>
      <c r="E212" s="983"/>
      <c r="F212" s="87" t="s">
        <v>22</v>
      </c>
      <c r="G212" s="413" t="s">
        <v>111</v>
      </c>
      <c r="H212" s="87" t="s">
        <v>112</v>
      </c>
      <c r="I212" s="413" t="s">
        <v>113</v>
      </c>
      <c r="J212" s="413" t="s">
        <v>114</v>
      </c>
      <c r="K212" s="89" t="s">
        <v>25</v>
      </c>
      <c r="L212" s="90"/>
    </row>
    <row r="213" spans="2:12">
      <c r="B213" s="417"/>
      <c r="C213" s="984" t="s">
        <v>674</v>
      </c>
      <c r="D213" s="985"/>
      <c r="E213" s="986"/>
      <c r="F213" s="91">
        <v>1</v>
      </c>
      <c r="G213" s="91">
        <v>1</v>
      </c>
      <c r="H213" s="91">
        <v>2</v>
      </c>
      <c r="I213" s="91">
        <v>10</v>
      </c>
      <c r="J213" s="91">
        <v>0</v>
      </c>
      <c r="K213" s="89">
        <f>(G213*H213*I213*F213)-J213</f>
        <v>20</v>
      </c>
      <c r="L213" s="90"/>
    </row>
    <row r="214" spans="2:12">
      <c r="B214" s="417"/>
      <c r="C214" s="987" t="s">
        <v>116</v>
      </c>
      <c r="D214" s="987"/>
      <c r="E214" s="987"/>
      <c r="F214" s="987"/>
      <c r="G214" s="987"/>
      <c r="H214" s="987"/>
      <c r="I214" s="987"/>
      <c r="J214" s="987"/>
      <c r="K214" s="89">
        <f>SUM(K213:K213)</f>
        <v>20</v>
      </c>
      <c r="L214" s="90"/>
    </row>
    <row r="215" spans="2:12">
      <c r="B215" s="793"/>
      <c r="C215" s="211"/>
      <c r="D215" s="211"/>
      <c r="E215" s="211"/>
      <c r="F215" s="211"/>
      <c r="G215" s="211"/>
      <c r="H215" s="211"/>
      <c r="I215" s="211"/>
      <c r="J215" s="211"/>
      <c r="K215" s="212"/>
      <c r="L215" s="90"/>
    </row>
    <row r="216" spans="2:12" ht="36" customHeight="1">
      <c r="B216" s="793" t="s">
        <v>1374</v>
      </c>
      <c r="C216" s="980" t="str">
        <f>'ESCOLA MUNICIPAL DE QUEBEC E Q'!C94</f>
        <v>EXECUÇÃO DE DEPÓSITO EM CANTEIRO DE OBRA EM CHAPA DE MADEIRA COMPENSADA, NÃO INCLUSO MOBILIÁRIO. AF_04/2016</v>
      </c>
      <c r="D216" s="981"/>
      <c r="E216" s="981"/>
      <c r="F216" s="981"/>
      <c r="G216" s="981"/>
      <c r="H216" s="981"/>
      <c r="I216" s="981"/>
      <c r="J216" s="982"/>
      <c r="K216" s="97" t="s">
        <v>7</v>
      </c>
      <c r="L216" s="97">
        <f>K219</f>
        <v>20</v>
      </c>
    </row>
    <row r="217" spans="2:12">
      <c r="B217" s="793"/>
      <c r="C217" s="983" t="s">
        <v>20</v>
      </c>
      <c r="D217" s="983"/>
      <c r="E217" s="983"/>
      <c r="F217" s="87" t="s">
        <v>22</v>
      </c>
      <c r="G217" s="790" t="s">
        <v>111</v>
      </c>
      <c r="H217" s="87" t="s">
        <v>112</v>
      </c>
      <c r="I217" s="790" t="s">
        <v>113</v>
      </c>
      <c r="J217" s="790" t="s">
        <v>114</v>
      </c>
      <c r="K217" s="89" t="s">
        <v>25</v>
      </c>
      <c r="L217" s="90"/>
    </row>
    <row r="218" spans="2:12">
      <c r="B218" s="793"/>
      <c r="C218" s="984" t="s">
        <v>674</v>
      </c>
      <c r="D218" s="985"/>
      <c r="E218" s="986"/>
      <c r="F218" s="91">
        <v>1</v>
      </c>
      <c r="G218" s="91">
        <v>1</v>
      </c>
      <c r="H218" s="91">
        <v>2</v>
      </c>
      <c r="I218" s="91">
        <v>10</v>
      </c>
      <c r="J218" s="91">
        <v>0</v>
      </c>
      <c r="K218" s="89">
        <f>(G218*H218*I218*F218)-J218</f>
        <v>20</v>
      </c>
      <c r="L218" s="90"/>
    </row>
    <row r="219" spans="2:12">
      <c r="B219" s="793"/>
      <c r="C219" s="987" t="s">
        <v>116</v>
      </c>
      <c r="D219" s="987"/>
      <c r="E219" s="987"/>
      <c r="F219" s="987"/>
      <c r="G219" s="987"/>
      <c r="H219" s="987"/>
      <c r="I219" s="987"/>
      <c r="J219" s="987"/>
      <c r="K219" s="89">
        <f>SUM(K218:K218)</f>
        <v>20</v>
      </c>
      <c r="L219" s="90"/>
    </row>
    <row r="220" spans="2:12">
      <c r="B220" s="793"/>
      <c r="C220" s="211"/>
      <c r="D220" s="211"/>
      <c r="E220" s="211"/>
      <c r="F220" s="211"/>
      <c r="G220" s="211"/>
      <c r="H220" s="211"/>
      <c r="I220" s="211"/>
      <c r="J220" s="211"/>
      <c r="K220" s="212"/>
      <c r="L220" s="90"/>
    </row>
    <row r="221" spans="2:12" ht="30.75" customHeight="1">
      <c r="B221" s="417" t="s">
        <v>1375</v>
      </c>
      <c r="C221" s="980" t="s">
        <v>756</v>
      </c>
      <c r="D221" s="981"/>
      <c r="E221" s="981"/>
      <c r="F221" s="981"/>
      <c r="G221" s="981"/>
      <c r="H221" s="981"/>
      <c r="I221" s="981"/>
      <c r="J221" s="982"/>
      <c r="K221" s="97" t="s">
        <v>77</v>
      </c>
      <c r="L221" s="97">
        <f>K224</f>
        <v>116</v>
      </c>
    </row>
    <row r="222" spans="2:12">
      <c r="B222" s="417"/>
      <c r="C222" s="983" t="s">
        <v>20</v>
      </c>
      <c r="D222" s="983"/>
      <c r="E222" s="983"/>
      <c r="F222" s="87" t="s">
        <v>22</v>
      </c>
      <c r="G222" s="413" t="s">
        <v>877</v>
      </c>
      <c r="H222" s="87" t="s">
        <v>878</v>
      </c>
      <c r="I222" s="413" t="s">
        <v>879</v>
      </c>
      <c r="J222" s="413" t="s">
        <v>880</v>
      </c>
      <c r="K222" s="89" t="s">
        <v>25</v>
      </c>
      <c r="L222" s="90"/>
    </row>
    <row r="223" spans="2:12">
      <c r="B223" s="417"/>
      <c r="C223" s="984" t="s">
        <v>876</v>
      </c>
      <c r="D223" s="985"/>
      <c r="E223" s="986"/>
      <c r="F223" s="91">
        <v>1</v>
      </c>
      <c r="G223" s="91">
        <v>22</v>
      </c>
      <c r="H223" s="91">
        <v>22</v>
      </c>
      <c r="I223" s="91">
        <v>36</v>
      </c>
      <c r="J223" s="91">
        <v>36</v>
      </c>
      <c r="K223" s="89">
        <f>SUM(G223:J223)</f>
        <v>116</v>
      </c>
      <c r="L223" s="90"/>
    </row>
    <row r="224" spans="2:12">
      <c r="B224" s="417"/>
      <c r="C224" s="987" t="s">
        <v>116</v>
      </c>
      <c r="D224" s="987"/>
      <c r="E224" s="987"/>
      <c r="F224" s="987"/>
      <c r="G224" s="987"/>
      <c r="H224" s="987"/>
      <c r="I224" s="987"/>
      <c r="J224" s="987"/>
      <c r="K224" s="89">
        <f>SUM(K223:K223)</f>
        <v>116</v>
      </c>
      <c r="L224" s="90"/>
    </row>
    <row r="225" spans="2:12">
      <c r="B225" s="417"/>
      <c r="C225" s="211"/>
      <c r="D225" s="211"/>
      <c r="E225" s="211"/>
      <c r="F225" s="211"/>
      <c r="G225" s="211"/>
      <c r="H225" s="211"/>
      <c r="I225" s="211"/>
      <c r="J225" s="211"/>
      <c r="K225" s="212"/>
      <c r="L225" s="90"/>
    </row>
    <row r="226" spans="2:12" ht="30" customHeight="1">
      <c r="B226" s="417" t="s">
        <v>1376</v>
      </c>
      <c r="C226" s="980" t="s">
        <v>724</v>
      </c>
      <c r="D226" s="981"/>
      <c r="E226" s="981"/>
      <c r="F226" s="981"/>
      <c r="G226" s="981"/>
      <c r="H226" s="981"/>
      <c r="I226" s="981"/>
      <c r="J226" s="982"/>
      <c r="K226" s="97" t="s">
        <v>7</v>
      </c>
      <c r="L226" s="97">
        <f>K229</f>
        <v>792</v>
      </c>
    </row>
    <row r="227" spans="2:12">
      <c r="B227" s="417"/>
      <c r="C227" s="983" t="s">
        <v>20</v>
      </c>
      <c r="D227" s="983"/>
      <c r="E227" s="983"/>
      <c r="F227" s="87" t="s">
        <v>22</v>
      </c>
      <c r="G227" s="413" t="s">
        <v>111</v>
      </c>
      <c r="H227" s="87" t="s">
        <v>112</v>
      </c>
      <c r="I227" s="413" t="s">
        <v>113</v>
      </c>
      <c r="J227" s="413" t="s">
        <v>114</v>
      </c>
      <c r="K227" s="89" t="s">
        <v>25</v>
      </c>
      <c r="L227" s="90"/>
    </row>
    <row r="228" spans="2:12">
      <c r="B228" s="417"/>
      <c r="C228" s="984" t="s">
        <v>881</v>
      </c>
      <c r="D228" s="985"/>
      <c r="E228" s="986"/>
      <c r="F228" s="91">
        <v>1</v>
      </c>
      <c r="G228" s="91">
        <v>1</v>
      </c>
      <c r="H228" s="91">
        <v>2</v>
      </c>
      <c r="I228" s="91">
        <v>396</v>
      </c>
      <c r="J228" s="91">
        <v>0</v>
      </c>
      <c r="K228" s="89">
        <f>(G228*H228*I228*F228)-J228</f>
        <v>792</v>
      </c>
      <c r="L228" s="90"/>
    </row>
    <row r="229" spans="2:12">
      <c r="B229" s="417"/>
      <c r="C229" s="987" t="s">
        <v>116</v>
      </c>
      <c r="D229" s="987"/>
      <c r="E229" s="987"/>
      <c r="F229" s="987"/>
      <c r="G229" s="987"/>
      <c r="H229" s="987"/>
      <c r="I229" s="987"/>
      <c r="J229" s="987"/>
      <c r="K229" s="89">
        <f>SUM(K228:K228)</f>
        <v>792</v>
      </c>
      <c r="L229" s="90"/>
    </row>
    <row r="230" spans="2:12">
      <c r="B230" s="417"/>
      <c r="C230" s="211"/>
      <c r="D230" s="211"/>
      <c r="E230" s="211"/>
      <c r="F230" s="211"/>
      <c r="G230" s="211"/>
      <c r="H230" s="211"/>
      <c r="I230" s="211"/>
      <c r="J230" s="211"/>
      <c r="K230" s="212"/>
      <c r="L230" s="90"/>
    </row>
    <row r="231" spans="2:12">
      <c r="B231" s="292" t="s">
        <v>435</v>
      </c>
      <c r="C231" s="1093" t="s">
        <v>758</v>
      </c>
      <c r="D231" s="1093"/>
      <c r="E231" s="1093"/>
      <c r="F231" s="1093"/>
      <c r="G231" s="1093"/>
      <c r="H231" s="1093"/>
      <c r="I231" s="1093"/>
      <c r="J231" s="1093"/>
      <c r="K231" s="293"/>
      <c r="L231" s="293"/>
    </row>
    <row r="232" spans="2:12">
      <c r="B232" s="417"/>
      <c r="C232" s="211"/>
      <c r="D232" s="211"/>
      <c r="E232" s="211"/>
      <c r="F232" s="211"/>
      <c r="G232" s="211"/>
      <c r="H232" s="211"/>
      <c r="I232" s="211"/>
      <c r="J232" s="211"/>
      <c r="K232" s="212"/>
      <c r="L232" s="90"/>
    </row>
    <row r="233" spans="2:12">
      <c r="B233" s="417" t="s">
        <v>1377</v>
      </c>
      <c r="C233" s="1024" t="s">
        <v>759</v>
      </c>
      <c r="D233" s="1025"/>
      <c r="E233" s="1025"/>
      <c r="F233" s="1025"/>
      <c r="G233" s="1025"/>
      <c r="H233" s="1025"/>
      <c r="I233" s="1025"/>
      <c r="J233" s="1026"/>
      <c r="K233" s="97" t="s">
        <v>15</v>
      </c>
      <c r="L233" s="97">
        <f>K236</f>
        <v>58.08</v>
      </c>
    </row>
    <row r="234" spans="2:12">
      <c r="B234" s="417"/>
      <c r="C234" s="983" t="s">
        <v>20</v>
      </c>
      <c r="D234" s="983"/>
      <c r="E234" s="983"/>
      <c r="F234" s="87" t="s">
        <v>22</v>
      </c>
      <c r="G234" s="413" t="s">
        <v>111</v>
      </c>
      <c r="H234" s="87" t="s">
        <v>112</v>
      </c>
      <c r="I234" s="413" t="s">
        <v>113</v>
      </c>
      <c r="J234" s="413" t="s">
        <v>114</v>
      </c>
      <c r="K234" s="89" t="s">
        <v>25</v>
      </c>
      <c r="L234" s="90"/>
    </row>
    <row r="235" spans="2:12" ht="15" customHeight="1">
      <c r="B235" s="417"/>
      <c r="C235" s="984" t="s">
        <v>882</v>
      </c>
      <c r="D235" s="985"/>
      <c r="E235" s="986"/>
      <c r="F235" s="91">
        <v>1</v>
      </c>
      <c r="G235" s="91">
        <v>1</v>
      </c>
      <c r="H235" s="91">
        <v>1</v>
      </c>
      <c r="I235" s="91">
        <v>58.08</v>
      </c>
      <c r="J235" s="91">
        <v>0</v>
      </c>
      <c r="K235" s="89">
        <f>(G235*H235*I235*F235)-J235</f>
        <v>58.08</v>
      </c>
      <c r="L235" s="90"/>
    </row>
    <row r="236" spans="2:12">
      <c r="B236" s="417"/>
      <c r="C236" s="987" t="s">
        <v>116</v>
      </c>
      <c r="D236" s="987"/>
      <c r="E236" s="987"/>
      <c r="F236" s="987"/>
      <c r="G236" s="987"/>
      <c r="H236" s="987"/>
      <c r="I236" s="987"/>
      <c r="J236" s="987"/>
      <c r="K236" s="89">
        <f>SUM(K235:K235)</f>
        <v>58.08</v>
      </c>
      <c r="L236" s="90"/>
    </row>
    <row r="237" spans="2:12">
      <c r="B237" s="417"/>
      <c r="C237" s="211"/>
      <c r="D237" s="211"/>
      <c r="E237" s="211"/>
      <c r="F237" s="211"/>
      <c r="G237" s="211"/>
      <c r="H237" s="211"/>
      <c r="I237" s="211"/>
      <c r="J237" s="211"/>
      <c r="K237" s="212"/>
      <c r="L237" s="90"/>
    </row>
    <row r="238" spans="2:12" ht="25.5" customHeight="1">
      <c r="B238" s="417" t="s">
        <v>1378</v>
      </c>
      <c r="C238" s="1024" t="s">
        <v>720</v>
      </c>
      <c r="D238" s="1025"/>
      <c r="E238" s="1025"/>
      <c r="F238" s="1025"/>
      <c r="G238" s="1025"/>
      <c r="H238" s="1025"/>
      <c r="I238" s="1025"/>
      <c r="J238" s="1026"/>
      <c r="K238" s="97" t="s">
        <v>7</v>
      </c>
      <c r="L238" s="97">
        <f>K241</f>
        <v>41.98</v>
      </c>
    </row>
    <row r="239" spans="2:12">
      <c r="B239" s="417"/>
      <c r="C239" s="983" t="s">
        <v>20</v>
      </c>
      <c r="D239" s="983"/>
      <c r="E239" s="983"/>
      <c r="F239" s="87" t="s">
        <v>22</v>
      </c>
      <c r="G239" s="413" t="s">
        <v>111</v>
      </c>
      <c r="H239" s="87" t="s">
        <v>112</v>
      </c>
      <c r="I239" s="413" t="s">
        <v>113</v>
      </c>
      <c r="J239" s="413" t="s">
        <v>114</v>
      </c>
      <c r="K239" s="89" t="s">
        <v>25</v>
      </c>
      <c r="L239" s="90"/>
    </row>
    <row r="240" spans="2:12">
      <c r="B240" s="417"/>
      <c r="C240" s="984" t="s">
        <v>883</v>
      </c>
      <c r="D240" s="985"/>
      <c r="E240" s="986"/>
      <c r="F240" s="91">
        <v>1</v>
      </c>
      <c r="G240" s="91">
        <v>2</v>
      </c>
      <c r="H240" s="91">
        <v>1</v>
      </c>
      <c r="I240" s="91">
        <v>20.99</v>
      </c>
      <c r="J240" s="91">
        <v>0</v>
      </c>
      <c r="K240" s="89">
        <f>(G240*H240*I240*F240)-J240</f>
        <v>41.98</v>
      </c>
      <c r="L240" s="90"/>
    </row>
    <row r="241" spans="2:12">
      <c r="B241" s="417"/>
      <c r="C241" s="987" t="s">
        <v>116</v>
      </c>
      <c r="D241" s="987"/>
      <c r="E241" s="987"/>
      <c r="F241" s="987"/>
      <c r="G241" s="987"/>
      <c r="H241" s="987"/>
      <c r="I241" s="987"/>
      <c r="J241" s="987"/>
      <c r="K241" s="89">
        <f>SUM(K240:K240)</f>
        <v>41.98</v>
      </c>
      <c r="L241" s="90"/>
    </row>
    <row r="242" spans="2:12">
      <c r="B242" s="417"/>
      <c r="C242" s="211"/>
      <c r="D242" s="211"/>
      <c r="E242" s="211"/>
      <c r="F242" s="211"/>
      <c r="G242" s="211"/>
      <c r="H242" s="211"/>
      <c r="I242" s="211"/>
      <c r="J242" s="211"/>
      <c r="K242" s="212"/>
      <c r="L242" s="90"/>
    </row>
    <row r="243" spans="2:12">
      <c r="B243" s="417" t="s">
        <v>1379</v>
      </c>
      <c r="C243" s="1024" t="s">
        <v>709</v>
      </c>
      <c r="D243" s="1025"/>
      <c r="E243" s="1025"/>
      <c r="F243" s="1025"/>
      <c r="G243" s="1025"/>
      <c r="H243" s="1025"/>
      <c r="I243" s="1025"/>
      <c r="J243" s="1026"/>
      <c r="K243" s="97" t="s">
        <v>15</v>
      </c>
      <c r="L243" s="97">
        <f>K246</f>
        <v>35.369999999999997</v>
      </c>
    </row>
    <row r="244" spans="2:12">
      <c r="B244" s="417"/>
      <c r="C244" s="983" t="s">
        <v>20</v>
      </c>
      <c r="D244" s="983"/>
      <c r="E244" s="983"/>
      <c r="F244" s="87" t="s">
        <v>22</v>
      </c>
      <c r="G244" s="413" t="s">
        <v>111</v>
      </c>
      <c r="H244" s="87" t="s">
        <v>112</v>
      </c>
      <c r="I244" s="413" t="s">
        <v>113</v>
      </c>
      <c r="J244" s="413" t="s">
        <v>114</v>
      </c>
      <c r="K244" s="89" t="s">
        <v>25</v>
      </c>
      <c r="L244" s="90"/>
    </row>
    <row r="245" spans="2:12" ht="25.5" customHeight="1">
      <c r="B245" s="417"/>
      <c r="C245" s="984" t="s">
        <v>884</v>
      </c>
      <c r="D245" s="985"/>
      <c r="E245" s="986"/>
      <c r="F245" s="91">
        <v>1</v>
      </c>
      <c r="G245" s="91">
        <v>1</v>
      </c>
      <c r="H245" s="91">
        <v>3</v>
      </c>
      <c r="I245" s="91">
        <v>11.79</v>
      </c>
      <c r="J245" s="91">
        <v>0</v>
      </c>
      <c r="K245" s="89">
        <f>(G245*H245*I245*F245)-J245</f>
        <v>35.369999999999997</v>
      </c>
      <c r="L245" s="90"/>
    </row>
    <row r="246" spans="2:12">
      <c r="B246" s="417"/>
      <c r="C246" s="987" t="s">
        <v>116</v>
      </c>
      <c r="D246" s="987"/>
      <c r="E246" s="987"/>
      <c r="F246" s="987"/>
      <c r="G246" s="987"/>
      <c r="H246" s="987"/>
      <c r="I246" s="987"/>
      <c r="J246" s="987"/>
      <c r="K246" s="89">
        <f>SUM(K245:K245)</f>
        <v>35.369999999999997</v>
      </c>
      <c r="L246" s="90"/>
    </row>
    <row r="247" spans="2:12">
      <c r="B247" s="417"/>
      <c r="C247" s="211"/>
      <c r="D247" s="211"/>
      <c r="E247" s="211"/>
      <c r="F247" s="211"/>
      <c r="G247" s="211"/>
      <c r="H247" s="211"/>
      <c r="I247" s="211"/>
      <c r="J247" s="211"/>
      <c r="K247" s="212"/>
      <c r="L247" s="90"/>
    </row>
    <row r="248" spans="2:12" hidden="1">
      <c r="B248" s="417"/>
      <c r="C248" s="983" t="s">
        <v>20</v>
      </c>
      <c r="D248" s="983"/>
      <c r="E248" s="983"/>
      <c r="F248" s="87" t="s">
        <v>22</v>
      </c>
      <c r="G248" s="413" t="s">
        <v>111</v>
      </c>
      <c r="H248" s="87" t="s">
        <v>112</v>
      </c>
      <c r="I248" s="413" t="s">
        <v>154</v>
      </c>
      <c r="J248" s="413" t="s">
        <v>114</v>
      </c>
      <c r="K248" s="89" t="s">
        <v>25</v>
      </c>
      <c r="L248" s="90"/>
    </row>
    <row r="249" spans="2:12" hidden="1">
      <c r="B249" s="417"/>
      <c r="C249" s="1028" t="s">
        <v>159</v>
      </c>
      <c r="D249" s="1028"/>
      <c r="E249" s="1028"/>
      <c r="F249" s="91">
        <v>1</v>
      </c>
      <c r="G249" s="91">
        <v>5.05</v>
      </c>
      <c r="H249" s="91"/>
      <c r="I249" s="91">
        <f>6.6*2</f>
        <v>13.2</v>
      </c>
      <c r="J249" s="91">
        <v>3.88</v>
      </c>
      <c r="K249" s="418">
        <f>TRUNC(((G249*I249)*F249)-J249,2)</f>
        <v>62.78</v>
      </c>
      <c r="L249" s="90"/>
    </row>
    <row r="250" spans="2:12" hidden="1">
      <c r="B250" s="417"/>
      <c r="C250" s="1028" t="s">
        <v>156</v>
      </c>
      <c r="D250" s="1028"/>
      <c r="E250" s="1028"/>
      <c r="F250" s="91">
        <v>1</v>
      </c>
      <c r="G250" s="91">
        <v>5.05</v>
      </c>
      <c r="H250" s="91"/>
      <c r="I250" s="91">
        <v>9</v>
      </c>
      <c r="J250" s="91"/>
      <c r="K250" s="418">
        <f>TRUNC(((G250*I250)*F250),2)</f>
        <v>45.45</v>
      </c>
      <c r="L250" s="90"/>
    </row>
    <row r="251" spans="2:12" hidden="1">
      <c r="B251" s="417"/>
      <c r="C251" s="1028" t="s">
        <v>160</v>
      </c>
      <c r="D251" s="1028"/>
      <c r="E251" s="1028"/>
      <c r="F251" s="91">
        <v>2</v>
      </c>
      <c r="G251" s="91">
        <v>2.6</v>
      </c>
      <c r="H251" s="91"/>
      <c r="I251" s="91">
        <f>4.2+3.15+2.15+(1.05*2)</f>
        <v>11.6</v>
      </c>
      <c r="J251" s="91"/>
      <c r="K251" s="418">
        <f>TRUNC(((G251*I251)*F251),2)</f>
        <v>60.32</v>
      </c>
      <c r="L251" s="90"/>
    </row>
    <row r="252" spans="2:12" hidden="1">
      <c r="B252" s="417"/>
      <c r="C252" s="1028" t="s">
        <v>161</v>
      </c>
      <c r="D252" s="1028"/>
      <c r="E252" s="1028"/>
      <c r="F252" s="91">
        <v>2</v>
      </c>
      <c r="G252" s="91">
        <v>2.1</v>
      </c>
      <c r="H252" s="91"/>
      <c r="I252" s="91">
        <v>2.2000000000000002</v>
      </c>
      <c r="J252" s="91"/>
      <c r="K252" s="418">
        <f>TRUNC(((G252*I252)*F252),2)</f>
        <v>9.24</v>
      </c>
      <c r="L252" s="90"/>
    </row>
    <row r="253" spans="2:12" hidden="1">
      <c r="B253" s="417"/>
      <c r="C253" s="987" t="s">
        <v>116</v>
      </c>
      <c r="D253" s="987"/>
      <c r="E253" s="987"/>
      <c r="F253" s="987"/>
      <c r="G253" s="987"/>
      <c r="H253" s="987"/>
      <c r="I253" s="987"/>
      <c r="J253" s="987"/>
      <c r="K253" s="89">
        <f>SUM(K249:K252)</f>
        <v>177.79000000000002</v>
      </c>
      <c r="L253" s="90"/>
    </row>
    <row r="254" spans="2:12" hidden="1">
      <c r="B254" s="219"/>
      <c r="C254" s="219"/>
      <c r="D254" s="219"/>
      <c r="E254" s="219"/>
      <c r="F254" s="219"/>
      <c r="G254" s="219"/>
      <c r="H254" s="219"/>
      <c r="I254" s="219"/>
      <c r="J254" s="219"/>
      <c r="K254" s="219"/>
      <c r="L254" s="219"/>
    </row>
    <row r="255" spans="2:12" ht="24" hidden="1" customHeight="1">
      <c r="B255" s="85" t="str">
        <f>'[6]PLANILHA ORÇAMENTÁRIA'!D49</f>
        <v>8.2</v>
      </c>
      <c r="C255" s="1032" t="str">
        <f>'[6]PLANILHA ORÇAMENTÁRIA'!E49</f>
        <v>EMBOÇO, PARA RECEBIMENTO DE CERÂMICA, EM ARGAMASSA TRAÇO 1:2:8, PREPARO MECÂNICO COM BETONEIRA 400L, APLICADO MANUALMENTE EM FACES INTERNAS DE PAREDES, PARA AMBIENTE COM ÁREA MAIOR QUE 10M2, ESPESSURA DE 10MM, COM EXECUÇÃO DE TALISCAS. AF_06/2014</v>
      </c>
      <c r="D255" s="1032"/>
      <c r="E255" s="1032"/>
      <c r="F255" s="1032"/>
      <c r="G255" s="1032"/>
      <c r="H255" s="1032"/>
      <c r="I255" s="1032"/>
      <c r="J255" s="1032"/>
      <c r="K255" s="294" t="str">
        <f>'[6]PLANILHA ORÇAMENTÁRIA'!F49</f>
        <v>M2</v>
      </c>
      <c r="L255" s="295">
        <f>K261</f>
        <v>177.79000000000002</v>
      </c>
    </row>
    <row r="256" spans="2:12" hidden="1">
      <c r="B256" s="417"/>
      <c r="C256" s="983" t="s">
        <v>20</v>
      </c>
      <c r="D256" s="983"/>
      <c r="E256" s="983"/>
      <c r="F256" s="87" t="s">
        <v>22</v>
      </c>
      <c r="G256" s="413" t="s">
        <v>111</v>
      </c>
      <c r="H256" s="87" t="s">
        <v>112</v>
      </c>
      <c r="I256" s="413" t="s">
        <v>154</v>
      </c>
      <c r="J256" s="413" t="s">
        <v>114</v>
      </c>
      <c r="K256" s="89" t="s">
        <v>25</v>
      </c>
      <c r="L256" s="90"/>
    </row>
    <row r="257" spans="2:12" ht="15" hidden="1" customHeight="1">
      <c r="B257" s="417"/>
      <c r="C257" s="1028" t="s">
        <v>159</v>
      </c>
      <c r="D257" s="1028"/>
      <c r="E257" s="1028"/>
      <c r="F257" s="91">
        <v>1</v>
      </c>
      <c r="G257" s="91">
        <v>5.05</v>
      </c>
      <c r="H257" s="91"/>
      <c r="I257" s="91">
        <f>6.6*2</f>
        <v>13.2</v>
      </c>
      <c r="J257" s="91">
        <v>3.88</v>
      </c>
      <c r="K257" s="418">
        <f>TRUNC(((G257*I257)*F257)-J257,2)</f>
        <v>62.78</v>
      </c>
      <c r="L257" s="90"/>
    </row>
    <row r="258" spans="2:12" hidden="1">
      <c r="B258" s="417"/>
      <c r="C258" s="1028" t="s">
        <v>156</v>
      </c>
      <c r="D258" s="1028"/>
      <c r="E258" s="1028"/>
      <c r="F258" s="91">
        <v>1</v>
      </c>
      <c r="G258" s="91">
        <v>5.05</v>
      </c>
      <c r="H258" s="91"/>
      <c r="I258" s="91">
        <v>9</v>
      </c>
      <c r="J258" s="91"/>
      <c r="K258" s="418">
        <f>TRUNC(((G258*I258)*F258),2)</f>
        <v>45.45</v>
      </c>
      <c r="L258" s="90"/>
    </row>
    <row r="259" spans="2:12" ht="15" hidden="1" customHeight="1">
      <c r="B259" s="417"/>
      <c r="C259" s="1028" t="s">
        <v>160</v>
      </c>
      <c r="D259" s="1028"/>
      <c r="E259" s="1028"/>
      <c r="F259" s="91">
        <v>2</v>
      </c>
      <c r="G259" s="91">
        <v>2.6</v>
      </c>
      <c r="H259" s="91"/>
      <c r="I259" s="91">
        <f>4.2+3.15+2.15+(1.05*2)</f>
        <v>11.6</v>
      </c>
      <c r="J259" s="91"/>
      <c r="K259" s="418">
        <f>TRUNC(((G259*I259)*F259),2)</f>
        <v>60.32</v>
      </c>
      <c r="L259" s="90"/>
    </row>
    <row r="260" spans="2:12" ht="15" hidden="1" customHeight="1">
      <c r="B260" s="417"/>
      <c r="C260" s="1028" t="s">
        <v>161</v>
      </c>
      <c r="D260" s="1028"/>
      <c r="E260" s="1028"/>
      <c r="F260" s="91">
        <v>2</v>
      </c>
      <c r="G260" s="91">
        <v>2.1</v>
      </c>
      <c r="H260" s="91"/>
      <c r="I260" s="91">
        <v>2.2000000000000002</v>
      </c>
      <c r="J260" s="91"/>
      <c r="K260" s="418">
        <f>TRUNC(((G260*I260)*F260),2)</f>
        <v>9.24</v>
      </c>
      <c r="L260" s="90"/>
    </row>
    <row r="261" spans="2:12" hidden="1">
      <c r="B261" s="417"/>
      <c r="C261" s="987" t="s">
        <v>116</v>
      </c>
      <c r="D261" s="987"/>
      <c r="E261" s="987"/>
      <c r="F261" s="987"/>
      <c r="G261" s="987"/>
      <c r="H261" s="987"/>
      <c r="I261" s="987"/>
      <c r="J261" s="987"/>
      <c r="K261" s="89">
        <f>SUM(K257:K260)</f>
        <v>177.79000000000002</v>
      </c>
      <c r="L261" s="90"/>
    </row>
    <row r="262" spans="2:12" hidden="1">
      <c r="B262" s="219"/>
      <c r="C262" s="219"/>
      <c r="D262" s="219"/>
      <c r="E262" s="219"/>
      <c r="F262" s="219"/>
      <c r="G262" s="219"/>
      <c r="H262" s="219"/>
      <c r="I262" s="219"/>
      <c r="J262" s="219"/>
      <c r="K262" s="219"/>
      <c r="L262" s="219"/>
    </row>
    <row r="263" spans="2:12" hidden="1">
      <c r="B263" s="417"/>
      <c r="C263" s="987" t="s">
        <v>116</v>
      </c>
      <c r="D263" s="987"/>
      <c r="E263" s="987"/>
      <c r="F263" s="987"/>
      <c r="G263" s="987"/>
      <c r="H263" s="987"/>
      <c r="I263" s="987"/>
      <c r="J263" s="987"/>
      <c r="K263" s="89" t="e">
        <f>SUM(#REF!)</f>
        <v>#REF!</v>
      </c>
      <c r="L263" s="90"/>
    </row>
    <row r="264" spans="2:12" hidden="1">
      <c r="B264" s="219"/>
      <c r="C264" s="219"/>
      <c r="D264" s="219"/>
      <c r="E264" s="219"/>
      <c r="F264" s="219"/>
      <c r="G264" s="219"/>
      <c r="H264" s="219"/>
      <c r="I264" s="219"/>
      <c r="J264" s="219"/>
      <c r="K264" s="219"/>
      <c r="L264" s="219"/>
    </row>
    <row r="265" spans="2:12" ht="15" hidden="1" customHeight="1">
      <c r="B265" s="417"/>
      <c r="C265" s="984" t="s">
        <v>162</v>
      </c>
      <c r="D265" s="985"/>
      <c r="E265" s="986"/>
      <c r="F265" s="91"/>
      <c r="G265" s="91"/>
      <c r="H265" s="91">
        <v>1.8</v>
      </c>
      <c r="I265" s="91">
        <v>14.3</v>
      </c>
      <c r="J265" s="91"/>
      <c r="K265" s="296">
        <f>H265*I265</f>
        <v>25.740000000000002</v>
      </c>
      <c r="L265" s="90"/>
    </row>
    <row r="266" spans="2:12" ht="15" hidden="1" customHeight="1">
      <c r="B266" s="417"/>
      <c r="C266" s="984" t="s">
        <v>162</v>
      </c>
      <c r="D266" s="985"/>
      <c r="E266" s="986"/>
      <c r="F266" s="91">
        <v>2</v>
      </c>
      <c r="G266" s="91"/>
      <c r="H266" s="91">
        <v>1.6</v>
      </c>
      <c r="I266" s="91">
        <v>4</v>
      </c>
      <c r="J266" s="91"/>
      <c r="K266" s="296">
        <f>F266*H266*I266</f>
        <v>12.8</v>
      </c>
      <c r="L266" s="90"/>
    </row>
    <row r="267" spans="2:12" ht="15" hidden="1" customHeight="1">
      <c r="B267" s="417"/>
      <c r="C267" s="984" t="s">
        <v>163</v>
      </c>
      <c r="D267" s="985"/>
      <c r="E267" s="986"/>
      <c r="F267" s="91"/>
      <c r="G267" s="91"/>
      <c r="H267" s="91"/>
      <c r="I267" s="91"/>
      <c r="J267" s="91">
        <v>109.24</v>
      </c>
      <c r="K267" s="296">
        <f>-J267</f>
        <v>-109.24</v>
      </c>
      <c r="L267" s="90"/>
    </row>
    <row r="268" spans="2:12" hidden="1">
      <c r="B268" s="417"/>
      <c r="C268" s="1028" t="s">
        <v>164</v>
      </c>
      <c r="D268" s="1028"/>
      <c r="E268" s="1028"/>
      <c r="F268" s="91"/>
      <c r="G268" s="91"/>
      <c r="H268" s="91">
        <v>1.05</v>
      </c>
      <c r="I268" s="91">
        <v>1.85</v>
      </c>
      <c r="J268" s="91"/>
      <c r="K268" s="418">
        <f>TRUNC(H268*I268,2)</f>
        <v>1.94</v>
      </c>
      <c r="L268" s="90"/>
    </row>
    <row r="269" spans="2:12" hidden="1">
      <c r="B269" s="417"/>
      <c r="C269" s="983" t="s">
        <v>20</v>
      </c>
      <c r="D269" s="983"/>
      <c r="E269" s="983"/>
      <c r="F269" s="87" t="s">
        <v>22</v>
      </c>
      <c r="G269" s="413" t="s">
        <v>111</v>
      </c>
      <c r="H269" s="87" t="s">
        <v>112</v>
      </c>
      <c r="I269" s="413" t="s">
        <v>113</v>
      </c>
      <c r="J269" s="413" t="s">
        <v>114</v>
      </c>
      <c r="K269" s="89" t="s">
        <v>25</v>
      </c>
      <c r="L269" s="90"/>
    </row>
    <row r="270" spans="2:12" ht="15" hidden="1" customHeight="1">
      <c r="B270" s="417"/>
      <c r="C270" s="1028" t="s">
        <v>165</v>
      </c>
      <c r="D270" s="1028"/>
      <c r="E270" s="1028"/>
      <c r="F270" s="91"/>
      <c r="G270" s="91"/>
      <c r="H270" s="91">
        <v>6.4740000000000002</v>
      </c>
      <c r="I270" s="91">
        <v>7.5</v>
      </c>
      <c r="J270" s="91">
        <v>1.75</v>
      </c>
      <c r="K270" s="418">
        <f>TRUNC(H270*I270-J270,2)</f>
        <v>46.8</v>
      </c>
      <c r="L270" s="90"/>
    </row>
    <row r="271" spans="2:12" ht="22.5" hidden="1" customHeight="1">
      <c r="B271" s="85" t="str">
        <f>'[6]PLANILHA ORÇAMENTÁRIA'!D68</f>
        <v>10.2</v>
      </c>
      <c r="C271" s="1032" t="str">
        <f>'[6]PLANILHA ORÇAMENTÁRIA'!E68</f>
        <v>FECHADURA DE EMBUTIR COM CILINDRO, EXTERNA, COMPLETA, ACABAMENTO PADRÃO POPULAR, INCLUSO EXECUÇÃO DE FURO - FORNECIMENTO E INSTALAÇÃO. AF_08/2015</v>
      </c>
      <c r="D271" s="1032"/>
      <c r="E271" s="1032"/>
      <c r="F271" s="1032"/>
      <c r="G271" s="1032"/>
      <c r="H271" s="1032"/>
      <c r="I271" s="1032"/>
      <c r="J271" s="1032"/>
      <c r="K271" s="294" t="str">
        <f>'[6]PLANILHA ORÇAMENTÁRIA'!F68</f>
        <v>UND</v>
      </c>
      <c r="L271" s="295" t="e">
        <f>#REF!</f>
        <v>#REF!</v>
      </c>
    </row>
    <row r="272" spans="2:12" hidden="1">
      <c r="B272" s="417"/>
      <c r="C272" s="983" t="s">
        <v>20</v>
      </c>
      <c r="D272" s="983"/>
      <c r="E272" s="983"/>
      <c r="F272" s="87" t="s">
        <v>22</v>
      </c>
      <c r="G272" s="413" t="s">
        <v>111</v>
      </c>
      <c r="H272" s="413" t="s">
        <v>114</v>
      </c>
      <c r="I272" s="413" t="s">
        <v>113</v>
      </c>
      <c r="J272" s="413" t="s">
        <v>136</v>
      </c>
      <c r="K272" s="89" t="s">
        <v>25</v>
      </c>
      <c r="L272" s="90"/>
    </row>
    <row r="273" spans="2:12" ht="27" hidden="1" customHeight="1">
      <c r="B273" s="417"/>
      <c r="C273" s="1028" t="s">
        <v>166</v>
      </c>
      <c r="D273" s="1028"/>
      <c r="E273" s="1028"/>
      <c r="F273" s="91">
        <v>3</v>
      </c>
      <c r="G273" s="91"/>
      <c r="H273" s="91"/>
      <c r="I273" s="91"/>
      <c r="J273" s="91"/>
      <c r="K273" s="418"/>
      <c r="L273" s="90"/>
    </row>
    <row r="274" spans="2:12" ht="15" hidden="1" customHeight="1">
      <c r="B274" s="85" t="str">
        <f>'[6]PLANILHA ORÇAMENTÁRIA'!D72</f>
        <v>11.2</v>
      </c>
      <c r="C274" s="1032" t="str">
        <f>'[6]PLANILHA ORÇAMENTÁRIA'!E72</f>
        <v>CAIXA D'ÁGUA EM POLIETILENO, 500 LITROS, COM ACESSÓRIOS.</v>
      </c>
      <c r="D274" s="1032"/>
      <c r="E274" s="1032"/>
      <c r="F274" s="1032"/>
      <c r="G274" s="1032"/>
      <c r="H274" s="1032"/>
      <c r="I274" s="1032"/>
      <c r="J274" s="1032"/>
      <c r="K274" s="294" t="str">
        <f>'[6]PLANILHA ORÇAMENTÁRIA'!F72</f>
        <v>UND</v>
      </c>
      <c r="L274" s="295" t="e">
        <f>#REF!</f>
        <v>#REF!</v>
      </c>
    </row>
    <row r="275" spans="2:12" hidden="1">
      <c r="B275" s="417"/>
      <c r="C275" s="983" t="s">
        <v>20</v>
      </c>
      <c r="D275" s="983"/>
      <c r="E275" s="983"/>
      <c r="F275" s="87" t="s">
        <v>22</v>
      </c>
      <c r="G275" s="413" t="s">
        <v>111</v>
      </c>
      <c r="H275" s="413" t="s">
        <v>114</v>
      </c>
      <c r="I275" s="413" t="s">
        <v>113</v>
      </c>
      <c r="J275" s="413" t="s">
        <v>136</v>
      </c>
      <c r="K275" s="89" t="s">
        <v>25</v>
      </c>
      <c r="L275" s="90"/>
    </row>
    <row r="276" spans="2:12" hidden="1">
      <c r="B276" s="417"/>
      <c r="C276" s="1028"/>
      <c r="D276" s="1028"/>
      <c r="E276" s="1028"/>
      <c r="F276" s="91">
        <v>2</v>
      </c>
      <c r="G276" s="91"/>
      <c r="H276" s="91"/>
      <c r="I276" s="91"/>
      <c r="J276" s="91"/>
      <c r="K276" s="418">
        <f>F276</f>
        <v>2</v>
      </c>
      <c r="L276" s="90"/>
    </row>
    <row r="277" spans="2:12" hidden="1">
      <c r="B277" s="417"/>
      <c r="C277" s="987" t="s">
        <v>116</v>
      </c>
      <c r="D277" s="987"/>
      <c r="E277" s="987"/>
      <c r="F277" s="987"/>
      <c r="G277" s="987"/>
      <c r="H277" s="987"/>
      <c r="I277" s="987"/>
      <c r="J277" s="987"/>
      <c r="K277" s="89" t="e">
        <f>SUM(#REF!)</f>
        <v>#REF!</v>
      </c>
      <c r="L277" s="90"/>
    </row>
    <row r="278" spans="2:12" hidden="1">
      <c r="B278" s="417"/>
      <c r="C278" s="211"/>
      <c r="D278" s="211"/>
      <c r="E278" s="211"/>
      <c r="F278" s="211"/>
      <c r="G278" s="211"/>
      <c r="H278" s="211"/>
      <c r="I278" s="211"/>
      <c r="J278" s="211"/>
      <c r="K278" s="212"/>
      <c r="L278" s="90"/>
    </row>
    <row r="279" spans="2:12" ht="22.5" hidden="1" customHeight="1">
      <c r="B279" s="85" t="str">
        <f>'[6]PLANILHA ORÇAMENTÁRIA'!D76</f>
        <v>11.6</v>
      </c>
      <c r="C279" s="1032" t="str">
        <f>'[6]PLANILHA ORÇAMENTÁRIA'!E76</f>
        <v>SIFÃO DO TIPO GARRAFA/COPO EM PVC 1.1/4 X 1.1/2" - FORNECIMENTO E INSTALAÇÃO. AF_12/2013</v>
      </c>
      <c r="D279" s="1032"/>
      <c r="E279" s="1032"/>
      <c r="F279" s="1032"/>
      <c r="G279" s="1032"/>
      <c r="H279" s="1032"/>
      <c r="I279" s="1032"/>
      <c r="J279" s="1032"/>
      <c r="K279" s="294" t="str">
        <f>'[6]PLANILHA ORÇAMENTÁRIA'!F76</f>
        <v>UND</v>
      </c>
      <c r="L279" s="295" t="e">
        <f>#REF!</f>
        <v>#REF!</v>
      </c>
    </row>
    <row r="280" spans="2:12" hidden="1">
      <c r="B280" s="417"/>
      <c r="C280" s="983" t="s">
        <v>20</v>
      </c>
      <c r="D280" s="983"/>
      <c r="E280" s="983"/>
      <c r="F280" s="87" t="s">
        <v>22</v>
      </c>
      <c r="G280" s="413" t="s">
        <v>111</v>
      </c>
      <c r="H280" s="413" t="s">
        <v>114</v>
      </c>
      <c r="I280" s="413" t="s">
        <v>113</v>
      </c>
      <c r="J280" s="413" t="s">
        <v>136</v>
      </c>
      <c r="K280" s="89" t="s">
        <v>25</v>
      </c>
      <c r="L280" s="90"/>
    </row>
    <row r="281" spans="2:12" hidden="1">
      <c r="B281" s="417"/>
      <c r="C281" s="1028"/>
      <c r="D281" s="1028"/>
      <c r="E281" s="1028"/>
      <c r="F281" s="91">
        <v>2</v>
      </c>
      <c r="G281" s="91"/>
      <c r="H281" s="91"/>
      <c r="I281" s="91"/>
      <c r="J281" s="91"/>
      <c r="K281" s="418">
        <f>F281</f>
        <v>2</v>
      </c>
      <c r="L281" s="90"/>
    </row>
    <row r="282" spans="2:12" hidden="1">
      <c r="B282" s="417"/>
      <c r="C282" s="987" t="s">
        <v>116</v>
      </c>
      <c r="D282" s="987"/>
      <c r="E282" s="987"/>
      <c r="F282" s="987"/>
      <c r="G282" s="987"/>
      <c r="H282" s="987"/>
      <c r="I282" s="987"/>
      <c r="J282" s="987"/>
      <c r="K282" s="89">
        <f>SUM(K281:K281)</f>
        <v>2</v>
      </c>
      <c r="L282" s="90"/>
    </row>
    <row r="283" spans="2:12" hidden="1">
      <c r="B283" s="417"/>
      <c r="C283" s="211"/>
      <c r="D283" s="211"/>
      <c r="E283" s="211"/>
      <c r="F283" s="211"/>
      <c r="G283" s="211"/>
      <c r="H283" s="211"/>
      <c r="I283" s="211"/>
      <c r="J283" s="211"/>
      <c r="K283" s="212"/>
      <c r="L283" s="90"/>
    </row>
    <row r="284" spans="2:12" ht="27.75" hidden="1" customHeight="1">
      <c r="B284" s="85" t="str">
        <f>'[6]PLANILHA ORÇAMENTÁRIA'!D80</f>
        <v>11.10</v>
      </c>
      <c r="C284" s="1032" t="str">
        <f>'[6]PLANILHA ORÇAMENTÁRIA'!E80</f>
        <v>TORNEIRA CROMADA DE MESA, 1/2" OU 3/4", PARA LAVATÓRIO, PADRÃO POPULAR - FORNECIMENTO E INSTALAÇÃO. AF_12/2013</v>
      </c>
      <c r="D284" s="1032"/>
      <c r="E284" s="1032"/>
      <c r="F284" s="1032"/>
      <c r="G284" s="1032"/>
      <c r="H284" s="1032"/>
      <c r="I284" s="1032"/>
      <c r="J284" s="1032"/>
      <c r="K284" s="294" t="str">
        <f>'[6]PLANILHA ORÇAMENTÁRIA'!F80</f>
        <v>UND</v>
      </c>
      <c r="L284" s="295" t="e">
        <f>#REF!</f>
        <v>#REF!</v>
      </c>
    </row>
    <row r="285" spans="2:12" hidden="1">
      <c r="B285" s="417"/>
      <c r="C285" s="1028"/>
      <c r="D285" s="1028"/>
      <c r="E285" s="1028"/>
      <c r="F285" s="91">
        <v>2</v>
      </c>
      <c r="G285" s="91"/>
      <c r="H285" s="91"/>
      <c r="I285" s="91"/>
      <c r="J285" s="91"/>
      <c r="K285" s="418">
        <f>F285</f>
        <v>2</v>
      </c>
      <c r="L285" s="90"/>
    </row>
    <row r="286" spans="2:12" hidden="1">
      <c r="B286" s="417"/>
      <c r="C286" s="987" t="s">
        <v>116</v>
      </c>
      <c r="D286" s="987"/>
      <c r="E286" s="987"/>
      <c r="F286" s="987"/>
      <c r="G286" s="987"/>
      <c r="H286" s="987"/>
      <c r="I286" s="987"/>
      <c r="J286" s="987"/>
      <c r="K286" s="89">
        <f>SUM(K285:K285)</f>
        <v>2</v>
      </c>
      <c r="L286" s="90"/>
    </row>
    <row r="287" spans="2:12" hidden="1">
      <c r="B287" s="417"/>
      <c r="C287" s="1028"/>
      <c r="D287" s="1028"/>
      <c r="E287" s="1028"/>
      <c r="F287" s="91">
        <v>1</v>
      </c>
      <c r="G287" s="91"/>
      <c r="H287" s="91"/>
      <c r="I287" s="91"/>
      <c r="J287" s="91"/>
      <c r="K287" s="418">
        <f>F287</f>
        <v>1</v>
      </c>
      <c r="L287" s="90"/>
    </row>
    <row r="288" spans="2:12" hidden="1">
      <c r="B288" s="417"/>
      <c r="C288" s="987" t="s">
        <v>116</v>
      </c>
      <c r="D288" s="987"/>
      <c r="E288" s="987"/>
      <c r="F288" s="987"/>
      <c r="G288" s="987"/>
      <c r="H288" s="987"/>
      <c r="I288" s="987"/>
      <c r="J288" s="987"/>
      <c r="K288" s="89">
        <f>SUM(K287:K287)</f>
        <v>1</v>
      </c>
      <c r="L288" s="90"/>
    </row>
    <row r="289" spans="2:12" hidden="1">
      <c r="B289" s="417"/>
      <c r="C289" s="211"/>
      <c r="D289" s="211"/>
      <c r="E289" s="211"/>
      <c r="F289" s="211"/>
      <c r="G289" s="211"/>
      <c r="H289" s="211"/>
      <c r="I289" s="211"/>
      <c r="J289" s="211"/>
      <c r="K289" s="212"/>
      <c r="L289" s="90"/>
    </row>
    <row r="290" spans="2:12" ht="31.5" hidden="1" customHeight="1">
      <c r="B290" s="85" t="str">
        <f>'[6]PLANILHA ORÇAMENTÁRIA'!D83</f>
        <v>11.13</v>
      </c>
      <c r="C290" s="1032" t="str">
        <f>'[6]PLANILHA ORÇAMENTÁRIA'!E83</f>
        <v>JOELHO 45 GRAUS, PVC, SERIE NORMAL, ESGOTO PREDIAL, DN 40 MM, JUNTA SOLDÁVEL, FORNECIDO E INSTALADO EM RAMAL DE DESCARGA OU RAMAL DE ESGOTO SANITÁRIO. AF_12/2014.</v>
      </c>
      <c r="D290" s="1032"/>
      <c r="E290" s="1032"/>
      <c r="F290" s="1032"/>
      <c r="G290" s="1032"/>
      <c r="H290" s="1032"/>
      <c r="I290" s="1032"/>
      <c r="J290" s="1032"/>
      <c r="K290" s="294" t="str">
        <f>'[6]PLANILHA ORÇAMENTÁRIA'!F83</f>
        <v>UND</v>
      </c>
      <c r="L290" s="295">
        <f>K293</f>
        <v>3</v>
      </c>
    </row>
    <row r="291" spans="2:12" hidden="1">
      <c r="B291" s="417"/>
      <c r="C291" s="983" t="s">
        <v>20</v>
      </c>
      <c r="D291" s="983"/>
      <c r="E291" s="983"/>
      <c r="F291" s="87" t="s">
        <v>22</v>
      </c>
      <c r="G291" s="413" t="s">
        <v>111</v>
      </c>
      <c r="H291" s="413" t="s">
        <v>114</v>
      </c>
      <c r="I291" s="413" t="s">
        <v>113</v>
      </c>
      <c r="J291" s="413" t="s">
        <v>136</v>
      </c>
      <c r="K291" s="89" t="s">
        <v>25</v>
      </c>
      <c r="L291" s="90"/>
    </row>
    <row r="292" spans="2:12" hidden="1">
      <c r="B292" s="417"/>
      <c r="C292" s="1028"/>
      <c r="D292" s="1028"/>
      <c r="E292" s="1028"/>
      <c r="F292" s="91">
        <v>3</v>
      </c>
      <c r="G292" s="91"/>
      <c r="H292" s="91"/>
      <c r="I292" s="91"/>
      <c r="J292" s="91"/>
      <c r="K292" s="418">
        <f>F292</f>
        <v>3</v>
      </c>
      <c r="L292" s="90"/>
    </row>
    <row r="293" spans="2:12" hidden="1">
      <c r="B293" s="417"/>
      <c r="C293" s="987" t="s">
        <v>116</v>
      </c>
      <c r="D293" s="987"/>
      <c r="E293" s="987"/>
      <c r="F293" s="987"/>
      <c r="G293" s="987"/>
      <c r="H293" s="987"/>
      <c r="I293" s="987"/>
      <c r="J293" s="987"/>
      <c r="K293" s="89">
        <f>SUM(K292:K292)</f>
        <v>3</v>
      </c>
      <c r="L293" s="90"/>
    </row>
    <row r="294" spans="2:12" hidden="1">
      <c r="B294" s="219"/>
      <c r="C294" s="219"/>
      <c r="D294" s="219"/>
      <c r="E294" s="219"/>
      <c r="F294" s="219"/>
      <c r="G294" s="219"/>
      <c r="H294" s="219"/>
      <c r="I294" s="219"/>
      <c r="J294" s="219"/>
      <c r="K294" s="219"/>
      <c r="L294" s="219"/>
    </row>
    <row r="295" spans="2:12" ht="29.25" hidden="1" customHeight="1">
      <c r="B295" s="85" t="str">
        <f>'[6]PLANILHA ORÇAMENTÁRIA'!D84</f>
        <v>11.14</v>
      </c>
      <c r="C295" s="1032" t="str">
        <f>'[6]PLANILHA ORÇAMENTÁRIA'!E84</f>
        <v>JOELHO 90 GRAUS, PVC, SERIE NORMAL, ESGOTO PREDIAL, DN 40 MM, JUNTA SOLDÁVEL, FORNECIDO E INSTALADO EM RAMAL DE DESCARGA OU RAMAL DE ESGOTO SANITÁRIO. AF_12/2014.</v>
      </c>
      <c r="D295" s="1032"/>
      <c r="E295" s="1032"/>
      <c r="F295" s="1032"/>
      <c r="G295" s="1032"/>
      <c r="H295" s="1032"/>
      <c r="I295" s="1032"/>
      <c r="J295" s="1032"/>
      <c r="K295" s="294" t="str">
        <f>'[6]PLANILHA ORÇAMENTÁRIA'!F84</f>
        <v>UND</v>
      </c>
      <c r="L295" s="295">
        <f>K298</f>
        <v>3</v>
      </c>
    </row>
    <row r="296" spans="2:12" hidden="1">
      <c r="B296" s="417"/>
      <c r="C296" s="983" t="s">
        <v>20</v>
      </c>
      <c r="D296" s="983"/>
      <c r="E296" s="983"/>
      <c r="F296" s="87" t="s">
        <v>22</v>
      </c>
      <c r="G296" s="413" t="s">
        <v>111</v>
      </c>
      <c r="H296" s="413" t="s">
        <v>114</v>
      </c>
      <c r="I296" s="413" t="s">
        <v>113</v>
      </c>
      <c r="J296" s="413" t="s">
        <v>136</v>
      </c>
      <c r="K296" s="89" t="s">
        <v>25</v>
      </c>
      <c r="L296" s="90"/>
    </row>
    <row r="297" spans="2:12" hidden="1">
      <c r="B297" s="417"/>
      <c r="C297" s="1028"/>
      <c r="D297" s="1028"/>
      <c r="E297" s="1028"/>
      <c r="F297" s="91">
        <v>3</v>
      </c>
      <c r="G297" s="91"/>
      <c r="H297" s="91"/>
      <c r="I297" s="91"/>
      <c r="J297" s="91"/>
      <c r="K297" s="418">
        <f>F297</f>
        <v>3</v>
      </c>
      <c r="L297" s="90"/>
    </row>
    <row r="298" spans="2:12" hidden="1">
      <c r="B298" s="417"/>
      <c r="C298" s="987" t="s">
        <v>116</v>
      </c>
      <c r="D298" s="987"/>
      <c r="E298" s="987"/>
      <c r="F298" s="987"/>
      <c r="G298" s="987"/>
      <c r="H298" s="987"/>
      <c r="I298" s="987"/>
      <c r="J298" s="987"/>
      <c r="K298" s="89">
        <f>SUM(K297:K297)</f>
        <v>3</v>
      </c>
      <c r="L298" s="90"/>
    </row>
    <row r="299" spans="2:12" hidden="1">
      <c r="B299" s="219"/>
      <c r="C299" s="219"/>
      <c r="D299" s="219"/>
      <c r="E299" s="219"/>
      <c r="F299" s="219"/>
      <c r="G299" s="219"/>
      <c r="H299" s="219"/>
      <c r="I299" s="219"/>
      <c r="J299" s="219"/>
      <c r="K299" s="219"/>
      <c r="L299" s="219"/>
    </row>
    <row r="300" spans="2:12" ht="25.5" hidden="1" customHeight="1">
      <c r="B300" s="85" t="str">
        <f>'[6]PLANILHA ORÇAMENTÁRIA'!D85</f>
        <v>11.15</v>
      </c>
      <c r="C300" s="1032" t="str">
        <f>'[6]PLANILHA ORÇAMENTÁRIA'!E85</f>
        <v>TUBO PVC, SERIE NORMAL, ESGOTO PREDIAL, DN 40 MM, FORNECIDO E INSTALADO EM RAMAL DE DESCARGA OU RAMAL DE ESGOTO SANITÁRIO. AF_12/2014.</v>
      </c>
      <c r="D300" s="1032"/>
      <c r="E300" s="1032"/>
      <c r="F300" s="1032"/>
      <c r="G300" s="1032"/>
      <c r="H300" s="1032"/>
      <c r="I300" s="1032"/>
      <c r="J300" s="1032"/>
      <c r="K300" s="294" t="str">
        <f>'[6]PLANILHA ORÇAMENTÁRIA'!F85</f>
        <v>M</v>
      </c>
      <c r="L300" s="295">
        <f>K303</f>
        <v>6</v>
      </c>
    </row>
    <row r="301" spans="2:12" hidden="1">
      <c r="B301" s="417"/>
      <c r="C301" s="983" t="s">
        <v>20</v>
      </c>
      <c r="D301" s="983"/>
      <c r="E301" s="983"/>
      <c r="F301" s="87" t="s">
        <v>22</v>
      </c>
      <c r="G301" s="413" t="s">
        <v>111</v>
      </c>
      <c r="H301" s="413" t="s">
        <v>114</v>
      </c>
      <c r="I301" s="413" t="s">
        <v>113</v>
      </c>
      <c r="J301" s="413" t="s">
        <v>136</v>
      </c>
      <c r="K301" s="89" t="s">
        <v>25</v>
      </c>
      <c r="L301" s="90"/>
    </row>
    <row r="302" spans="2:12" hidden="1">
      <c r="B302" s="417"/>
      <c r="C302" s="1028"/>
      <c r="D302" s="1028"/>
      <c r="E302" s="1028"/>
      <c r="F302" s="91">
        <v>6</v>
      </c>
      <c r="G302" s="91"/>
      <c r="H302" s="91"/>
      <c r="I302" s="91"/>
      <c r="J302" s="91"/>
      <c r="K302" s="418">
        <f>F302</f>
        <v>6</v>
      </c>
      <c r="L302" s="90"/>
    </row>
    <row r="303" spans="2:12" hidden="1">
      <c r="B303" s="417"/>
      <c r="C303" s="987" t="s">
        <v>116</v>
      </c>
      <c r="D303" s="987"/>
      <c r="E303" s="987"/>
      <c r="F303" s="987"/>
      <c r="G303" s="987"/>
      <c r="H303" s="987"/>
      <c r="I303" s="987"/>
      <c r="J303" s="987"/>
      <c r="K303" s="89">
        <f>SUM(K302:K302)</f>
        <v>6</v>
      </c>
      <c r="L303" s="90"/>
    </row>
    <row r="304" spans="2:12" hidden="1">
      <c r="B304" s="219"/>
      <c r="C304" s="219"/>
      <c r="D304" s="219"/>
      <c r="E304" s="219"/>
      <c r="F304" s="219"/>
      <c r="G304" s="219"/>
      <c r="H304" s="219"/>
      <c r="I304" s="219"/>
      <c r="J304" s="219"/>
      <c r="K304" s="219"/>
      <c r="L304" s="219"/>
    </row>
    <row r="305" spans="2:12" ht="25.5" hidden="1" customHeight="1">
      <c r="B305" s="85" t="str">
        <f>'[6]PLANILHA ORÇAMENTÁRIA'!D86</f>
        <v>11.16</v>
      </c>
      <c r="C305" s="1032" t="str">
        <f>'[6]PLANILHA ORÇAMENTÁRIA'!E86</f>
        <v>LUVA SIMPLES, PVC, SERIE NORMAL, ESGOTO PREDIAL, DN 40 MM, JUNTA SOLDÁVEL, FORNECIDO E INSTALADO EM RAMAL DE DESCARGA OU RAMAL DE ESGOTO SANITÁRIO. AF_12/2014</v>
      </c>
      <c r="D305" s="1032"/>
      <c r="E305" s="1032"/>
      <c r="F305" s="1032"/>
      <c r="G305" s="1032"/>
      <c r="H305" s="1032"/>
      <c r="I305" s="1032"/>
      <c r="J305" s="1032"/>
      <c r="K305" s="294" t="str">
        <f>'[6]PLANILHA ORÇAMENTÁRIA'!F86</f>
        <v>UND</v>
      </c>
      <c r="L305" s="295">
        <f>K308</f>
        <v>3</v>
      </c>
    </row>
    <row r="306" spans="2:12" hidden="1">
      <c r="B306" s="417"/>
      <c r="C306" s="983" t="s">
        <v>20</v>
      </c>
      <c r="D306" s="983"/>
      <c r="E306" s="983"/>
      <c r="F306" s="87" t="s">
        <v>22</v>
      </c>
      <c r="G306" s="413" t="s">
        <v>111</v>
      </c>
      <c r="H306" s="413" t="s">
        <v>114</v>
      </c>
      <c r="I306" s="413" t="s">
        <v>113</v>
      </c>
      <c r="J306" s="413" t="s">
        <v>136</v>
      </c>
      <c r="K306" s="89" t="s">
        <v>25</v>
      </c>
      <c r="L306" s="90"/>
    </row>
    <row r="307" spans="2:12" hidden="1">
      <c r="B307" s="417"/>
      <c r="C307" s="1028"/>
      <c r="D307" s="1028"/>
      <c r="E307" s="1028"/>
      <c r="F307" s="91">
        <v>3</v>
      </c>
      <c r="G307" s="91"/>
      <c r="H307" s="91"/>
      <c r="I307" s="91"/>
      <c r="J307" s="91"/>
      <c r="K307" s="418">
        <f>F307</f>
        <v>3</v>
      </c>
      <c r="L307" s="90"/>
    </row>
    <row r="308" spans="2:12" hidden="1">
      <c r="B308" s="417"/>
      <c r="C308" s="987" t="s">
        <v>116</v>
      </c>
      <c r="D308" s="987"/>
      <c r="E308" s="987"/>
      <c r="F308" s="987"/>
      <c r="G308" s="987"/>
      <c r="H308" s="987"/>
      <c r="I308" s="987"/>
      <c r="J308" s="987"/>
      <c r="K308" s="89">
        <f>SUM(K307:K307)</f>
        <v>3</v>
      </c>
      <c r="L308" s="90"/>
    </row>
    <row r="309" spans="2:12" hidden="1">
      <c r="B309" s="219"/>
      <c r="C309" s="219"/>
      <c r="D309" s="219"/>
      <c r="E309" s="219"/>
      <c r="F309" s="219"/>
      <c r="G309" s="219"/>
      <c r="H309" s="219"/>
      <c r="I309" s="219"/>
      <c r="J309" s="219"/>
      <c r="K309" s="219"/>
      <c r="L309" s="219"/>
    </row>
    <row r="310" spans="2:12" ht="27.75" hidden="1" customHeight="1">
      <c r="B310" s="85" t="str">
        <f>'[6]PLANILHA ORÇAMENTÁRIA'!D87</f>
        <v>11.17</v>
      </c>
      <c r="C310" s="1032" t="str">
        <f>'[6]PLANILHA ORÇAMENTÁRIA'!E87</f>
        <v>TUBO PVC, SERIE NORMAL, ESGOTO PREDIAL, DN 50 MM, FORNECIDO E INSTALADO EM RAMAL DE DESCARGA OU RAMAL DE ESGOTO SANITÁRIO. AF_12/2014.</v>
      </c>
      <c r="D310" s="1032"/>
      <c r="E310" s="1032"/>
      <c r="F310" s="1032"/>
      <c r="G310" s="1032"/>
      <c r="H310" s="1032"/>
      <c r="I310" s="1032"/>
      <c r="J310" s="1032"/>
      <c r="K310" s="294" t="str">
        <f>'[6]PLANILHA ORÇAMENTÁRIA'!F87</f>
        <v>M</v>
      </c>
      <c r="L310" s="295">
        <f>K313</f>
        <v>6</v>
      </c>
    </row>
    <row r="311" spans="2:12" hidden="1">
      <c r="B311" s="417"/>
      <c r="C311" s="983" t="s">
        <v>20</v>
      </c>
      <c r="D311" s="983"/>
      <c r="E311" s="983"/>
      <c r="F311" s="87" t="s">
        <v>22</v>
      </c>
      <c r="G311" s="413" t="s">
        <v>111</v>
      </c>
      <c r="H311" s="413" t="s">
        <v>114</v>
      </c>
      <c r="I311" s="413" t="s">
        <v>113</v>
      </c>
      <c r="J311" s="413" t="s">
        <v>136</v>
      </c>
      <c r="K311" s="89" t="s">
        <v>25</v>
      </c>
      <c r="L311" s="90"/>
    </row>
    <row r="312" spans="2:12" hidden="1">
      <c r="B312" s="417"/>
      <c r="C312" s="1028"/>
      <c r="D312" s="1028"/>
      <c r="E312" s="1028"/>
      <c r="F312" s="91">
        <v>6</v>
      </c>
      <c r="G312" s="91"/>
      <c r="H312" s="91"/>
      <c r="I312" s="91"/>
      <c r="J312" s="91"/>
      <c r="K312" s="418">
        <f>F312</f>
        <v>6</v>
      </c>
      <c r="L312" s="90"/>
    </row>
    <row r="313" spans="2:12" hidden="1">
      <c r="B313" s="417"/>
      <c r="C313" s="987" t="s">
        <v>116</v>
      </c>
      <c r="D313" s="987"/>
      <c r="E313" s="987"/>
      <c r="F313" s="987"/>
      <c r="G313" s="987"/>
      <c r="H313" s="987"/>
      <c r="I313" s="987"/>
      <c r="J313" s="987"/>
      <c r="K313" s="89">
        <f>SUM(K312:K312)</f>
        <v>6</v>
      </c>
      <c r="L313" s="90"/>
    </row>
    <row r="314" spans="2:12" hidden="1">
      <c r="B314" s="219"/>
      <c r="C314" s="219"/>
      <c r="D314" s="219"/>
      <c r="E314" s="219"/>
      <c r="F314" s="219"/>
      <c r="G314" s="219"/>
      <c r="H314" s="219"/>
      <c r="I314" s="219"/>
      <c r="J314" s="219"/>
      <c r="K314" s="219"/>
      <c r="L314" s="219"/>
    </row>
    <row r="315" spans="2:12" ht="27" hidden="1" customHeight="1">
      <c r="B315" s="85" t="str">
        <f>'[6]PLANILHA ORÇAMENTÁRIA'!D88</f>
        <v>11.18</v>
      </c>
      <c r="C315" s="1032" t="str">
        <f>'[6]PLANILHA ORÇAMENTÁRIA'!E88</f>
        <v>JOELHO 45 GRAUS, PVC, SERIE NORMAL, ESGOTO PREDIAL, DN 100 MM, JUNTA ELÁSTICA, FORNECIDO E INSTALADO EM RAMAL DE DESCARGA OU RAMAL DE ESGOTO SANITÁRIO. AF_12/2014.</v>
      </c>
      <c r="D315" s="1032"/>
      <c r="E315" s="1032"/>
      <c r="F315" s="1032"/>
      <c r="G315" s="1032"/>
      <c r="H315" s="1032"/>
      <c r="I315" s="1032"/>
      <c r="J315" s="1032"/>
      <c r="K315" s="294" t="str">
        <f>'[6]PLANILHA ORÇAMENTÁRIA'!F88</f>
        <v>UND</v>
      </c>
      <c r="L315" s="295">
        <f>K318</f>
        <v>2</v>
      </c>
    </row>
    <row r="316" spans="2:12" hidden="1">
      <c r="B316" s="417"/>
      <c r="C316" s="983" t="s">
        <v>20</v>
      </c>
      <c r="D316" s="983"/>
      <c r="E316" s="983"/>
      <c r="F316" s="87" t="s">
        <v>22</v>
      </c>
      <c r="G316" s="413" t="s">
        <v>111</v>
      </c>
      <c r="H316" s="413" t="s">
        <v>114</v>
      </c>
      <c r="I316" s="413" t="s">
        <v>113</v>
      </c>
      <c r="J316" s="413" t="s">
        <v>136</v>
      </c>
      <c r="K316" s="89" t="s">
        <v>25</v>
      </c>
      <c r="L316" s="90"/>
    </row>
    <row r="317" spans="2:12" hidden="1">
      <c r="B317" s="417"/>
      <c r="C317" s="1028"/>
      <c r="D317" s="1028"/>
      <c r="E317" s="1028"/>
      <c r="F317" s="91">
        <v>2</v>
      </c>
      <c r="G317" s="91"/>
      <c r="H317" s="91"/>
      <c r="I317" s="91"/>
      <c r="J317" s="91"/>
      <c r="K317" s="418">
        <f>F317</f>
        <v>2</v>
      </c>
      <c r="L317" s="90"/>
    </row>
    <row r="318" spans="2:12" hidden="1">
      <c r="B318" s="417"/>
      <c r="C318" s="987" t="s">
        <v>116</v>
      </c>
      <c r="D318" s="987"/>
      <c r="E318" s="987"/>
      <c r="F318" s="987"/>
      <c r="G318" s="987"/>
      <c r="H318" s="987"/>
      <c r="I318" s="987"/>
      <c r="J318" s="987"/>
      <c r="K318" s="89">
        <f>SUM(K317:K317)</f>
        <v>2</v>
      </c>
      <c r="L318" s="90"/>
    </row>
    <row r="319" spans="2:12" hidden="1">
      <c r="B319" s="219"/>
      <c r="C319" s="219"/>
      <c r="D319" s="219"/>
      <c r="E319" s="219"/>
      <c r="F319" s="219"/>
      <c r="G319" s="219"/>
      <c r="H319" s="219"/>
      <c r="I319" s="219"/>
      <c r="J319" s="219"/>
      <c r="K319" s="219"/>
      <c r="L319" s="219"/>
    </row>
    <row r="320" spans="2:12" ht="25.5" hidden="1" customHeight="1">
      <c r="B320" s="85" t="str">
        <f>'[6]PLANILHA ORÇAMENTÁRIA'!D89</f>
        <v>11.19</v>
      </c>
      <c r="C320" s="1032" t="str">
        <f>'[6]PLANILHA ORÇAMENTÁRIA'!E89</f>
        <v>JOELHO 90 GRAUS, PVC, SERIE NORMAL, ESGOTO PREDIAL, DN 100 MM, JUNTA ELÁSTICA, FORNECIDO E INSTALADO EM RAMAL DE DESCARGA OU RAMAL DE ESGOTO SANITÁRIO. AF_12/2014.</v>
      </c>
      <c r="D320" s="1032"/>
      <c r="E320" s="1032"/>
      <c r="F320" s="1032"/>
      <c r="G320" s="1032"/>
      <c r="H320" s="1032"/>
      <c r="I320" s="1032"/>
      <c r="J320" s="1032"/>
      <c r="K320" s="294" t="str">
        <f>'[6]PLANILHA ORÇAMENTÁRIA'!F89</f>
        <v>UND</v>
      </c>
      <c r="L320" s="295">
        <f>K323</f>
        <v>2</v>
      </c>
    </row>
    <row r="321" spans="2:12" hidden="1">
      <c r="B321" s="417"/>
      <c r="C321" s="983" t="s">
        <v>20</v>
      </c>
      <c r="D321" s="983"/>
      <c r="E321" s="983"/>
      <c r="F321" s="87" t="s">
        <v>22</v>
      </c>
      <c r="G321" s="413" t="s">
        <v>111</v>
      </c>
      <c r="H321" s="413" t="s">
        <v>114</v>
      </c>
      <c r="I321" s="413" t="s">
        <v>113</v>
      </c>
      <c r="J321" s="413" t="s">
        <v>136</v>
      </c>
      <c r="K321" s="89" t="s">
        <v>25</v>
      </c>
      <c r="L321" s="90"/>
    </row>
    <row r="322" spans="2:12" hidden="1">
      <c r="B322" s="417"/>
      <c r="C322" s="1028"/>
      <c r="D322" s="1028"/>
      <c r="E322" s="1028"/>
      <c r="F322" s="91">
        <v>2</v>
      </c>
      <c r="G322" s="91"/>
      <c r="H322" s="91"/>
      <c r="I322" s="91"/>
      <c r="J322" s="91"/>
      <c r="K322" s="418">
        <f>F322</f>
        <v>2</v>
      </c>
      <c r="L322" s="90"/>
    </row>
    <row r="323" spans="2:12" hidden="1">
      <c r="B323" s="417"/>
      <c r="C323" s="987" t="s">
        <v>116</v>
      </c>
      <c r="D323" s="987"/>
      <c r="E323" s="987"/>
      <c r="F323" s="987"/>
      <c r="G323" s="987"/>
      <c r="H323" s="987"/>
      <c r="I323" s="987"/>
      <c r="J323" s="987"/>
      <c r="K323" s="89">
        <f>SUM(K322:K322)</f>
        <v>2</v>
      </c>
      <c r="L323" s="90"/>
    </row>
    <row r="324" spans="2:12" hidden="1">
      <c r="B324" s="219"/>
      <c r="C324" s="219"/>
      <c r="D324" s="219"/>
      <c r="E324" s="219"/>
      <c r="F324" s="219"/>
      <c r="G324" s="219"/>
      <c r="H324" s="219"/>
      <c r="I324" s="219"/>
      <c r="J324" s="219"/>
      <c r="K324" s="219"/>
      <c r="L324" s="219"/>
    </row>
    <row r="325" spans="2:12" ht="25.5" hidden="1" customHeight="1">
      <c r="B325" s="85" t="str">
        <f>'[6]PLANILHA ORÇAMENTÁRIA'!D90</f>
        <v>11.20</v>
      </c>
      <c r="C325" s="1032" t="str">
        <f>'[6]PLANILHA ORÇAMENTÁRIA'!E90</f>
        <v>TUBO PVC, SERIE NORMAL, ESGOTO PREDIAL, DN 100 MM, FORNECIDO E INSTALADO EM RAMAL DE DESCARGA OU RAMAL DE ESGOTO SANITÁRIO. AF_12/2014</v>
      </c>
      <c r="D325" s="1032"/>
      <c r="E325" s="1032"/>
      <c r="F325" s="1032"/>
      <c r="G325" s="1032"/>
      <c r="H325" s="1032"/>
      <c r="I325" s="1032"/>
      <c r="J325" s="1032"/>
      <c r="K325" s="294" t="str">
        <f>'[6]PLANILHA ORÇAMENTÁRIA'!F90</f>
        <v>M</v>
      </c>
      <c r="L325" s="295">
        <f>K328</f>
        <v>12</v>
      </c>
    </row>
    <row r="326" spans="2:12" hidden="1">
      <c r="B326" s="417"/>
      <c r="C326" s="983" t="s">
        <v>20</v>
      </c>
      <c r="D326" s="983"/>
      <c r="E326" s="983"/>
      <c r="F326" s="87" t="s">
        <v>22</v>
      </c>
      <c r="G326" s="413" t="s">
        <v>111</v>
      </c>
      <c r="H326" s="413" t="s">
        <v>114</v>
      </c>
      <c r="I326" s="413" t="s">
        <v>113</v>
      </c>
      <c r="J326" s="413" t="s">
        <v>136</v>
      </c>
      <c r="K326" s="89" t="s">
        <v>25</v>
      </c>
      <c r="L326" s="90"/>
    </row>
    <row r="327" spans="2:12" hidden="1">
      <c r="B327" s="417"/>
      <c r="C327" s="1028"/>
      <c r="D327" s="1028"/>
      <c r="E327" s="1028"/>
      <c r="F327" s="91">
        <v>12</v>
      </c>
      <c r="G327" s="91"/>
      <c r="H327" s="91"/>
      <c r="I327" s="91"/>
      <c r="J327" s="91"/>
      <c r="K327" s="418">
        <f>F327</f>
        <v>12</v>
      </c>
      <c r="L327" s="90"/>
    </row>
    <row r="328" spans="2:12" hidden="1">
      <c r="B328" s="417"/>
      <c r="C328" s="987" t="s">
        <v>116</v>
      </c>
      <c r="D328" s="987"/>
      <c r="E328" s="987"/>
      <c r="F328" s="987"/>
      <c r="G328" s="987"/>
      <c r="H328" s="987"/>
      <c r="I328" s="987"/>
      <c r="J328" s="987"/>
      <c r="K328" s="89">
        <f>SUM(K327:K327)</f>
        <v>12</v>
      </c>
      <c r="L328" s="90"/>
    </row>
    <row r="329" spans="2:12" hidden="1">
      <c r="B329" s="219"/>
      <c r="C329" s="219"/>
      <c r="D329" s="219"/>
      <c r="E329" s="219"/>
      <c r="F329" s="219"/>
      <c r="G329" s="219"/>
      <c r="H329" s="219"/>
      <c r="I329" s="219"/>
      <c r="J329" s="219"/>
      <c r="K329" s="219"/>
      <c r="L329" s="219"/>
    </row>
    <row r="330" spans="2:12" ht="24" hidden="1" customHeight="1">
      <c r="B330" s="85" t="str">
        <f>'[6]PLANILHA ORÇAMENTÁRIA'!D91</f>
        <v>11.21</v>
      </c>
      <c r="C330" s="1032" t="str">
        <f>'[6]PLANILHA ORÇAMENTÁRIA'!E91</f>
        <v>LUVA SIMPLES, PVC, SERIE NORMAL, ESGOTO PREDIAL, DN 100 MM, JUNTA ELÁSTICA, FORNECIDO E INSTALADO EM RAMAL DE DESCARGA OU RAMAL DE ESGOTO SANITÁRIO. AF_12/2014</v>
      </c>
      <c r="D330" s="1032"/>
      <c r="E330" s="1032"/>
      <c r="F330" s="1032"/>
      <c r="G330" s="1032"/>
      <c r="H330" s="1032"/>
      <c r="I330" s="1032"/>
      <c r="J330" s="1032"/>
      <c r="K330" s="294" t="str">
        <f>'[6]PLANILHA ORÇAMENTÁRIA'!F91</f>
        <v>UND</v>
      </c>
      <c r="L330" s="295">
        <f>K333</f>
        <v>2</v>
      </c>
    </row>
    <row r="331" spans="2:12" hidden="1">
      <c r="B331" s="417"/>
      <c r="C331" s="983" t="s">
        <v>20</v>
      </c>
      <c r="D331" s="983"/>
      <c r="E331" s="983"/>
      <c r="F331" s="87" t="s">
        <v>22</v>
      </c>
      <c r="G331" s="413" t="s">
        <v>111</v>
      </c>
      <c r="H331" s="413" t="s">
        <v>114</v>
      </c>
      <c r="I331" s="413" t="s">
        <v>113</v>
      </c>
      <c r="J331" s="413" t="s">
        <v>136</v>
      </c>
      <c r="K331" s="89" t="s">
        <v>25</v>
      </c>
      <c r="L331" s="90"/>
    </row>
    <row r="332" spans="2:12" hidden="1">
      <c r="B332" s="417"/>
      <c r="C332" s="1028"/>
      <c r="D332" s="1028"/>
      <c r="E332" s="1028"/>
      <c r="F332" s="91">
        <v>2</v>
      </c>
      <c r="G332" s="91"/>
      <c r="H332" s="91"/>
      <c r="I332" s="91"/>
      <c r="J332" s="91"/>
      <c r="K332" s="418">
        <f>F332</f>
        <v>2</v>
      </c>
      <c r="L332" s="90"/>
    </row>
    <row r="333" spans="2:12" hidden="1">
      <c r="B333" s="417"/>
      <c r="C333" s="987" t="s">
        <v>116</v>
      </c>
      <c r="D333" s="987"/>
      <c r="E333" s="987"/>
      <c r="F333" s="987"/>
      <c r="G333" s="987"/>
      <c r="H333" s="987"/>
      <c r="I333" s="987"/>
      <c r="J333" s="987"/>
      <c r="K333" s="89">
        <f>SUM(K332:K332)</f>
        <v>2</v>
      </c>
      <c r="L333" s="90"/>
    </row>
    <row r="334" spans="2:12" hidden="1">
      <c r="B334" s="219"/>
      <c r="C334" s="219"/>
      <c r="D334" s="219"/>
      <c r="E334" s="219"/>
      <c r="F334" s="219"/>
      <c r="G334" s="219"/>
      <c r="H334" s="219"/>
      <c r="I334" s="219"/>
      <c r="J334" s="219"/>
      <c r="K334" s="219"/>
      <c r="L334" s="219"/>
    </row>
    <row r="335" spans="2:12" ht="46.5" hidden="1" customHeight="1">
      <c r="B335" s="85" t="str">
        <f>'[6]PLANILHA ORÇAMENTÁRIA'!D92</f>
        <v>11.22</v>
      </c>
      <c r="C335" s="1032" t="str">
        <f>'[6]PLANILHA ORÇAMENTÁRIA'!E92</f>
        <v>COLETOR PREDIAL DE ESGOTO, DA CAIXA ATÉ A REDE (DISTÂNCIA = 8 M, LARGURA DA VALA = 0,65 M), INCLUINDO ESCAVAÇÃO MECANIZADA, PREPARO DE FUNDO DE VALA E REATERRO COM COMPACTAÇÃO MECANIZADA, TUBO PVC P/ REDE COLETORA ESGOTO JEI DN 100 MM E CONEXÕES - FORNECIMENTO E INSTALAÇÃO. AF_03/2016</v>
      </c>
      <c r="D335" s="1032"/>
      <c r="E335" s="1032"/>
      <c r="F335" s="1032"/>
      <c r="G335" s="1032"/>
      <c r="H335" s="1032"/>
      <c r="I335" s="1032"/>
      <c r="J335" s="1032"/>
      <c r="K335" s="294" t="str">
        <f>'[6]PLANILHA ORÇAMENTÁRIA'!F92</f>
        <v>UND</v>
      </c>
      <c r="L335" s="295">
        <f>K338</f>
        <v>1</v>
      </c>
    </row>
    <row r="336" spans="2:12" hidden="1">
      <c r="B336" s="417"/>
      <c r="C336" s="983" t="s">
        <v>20</v>
      </c>
      <c r="D336" s="983"/>
      <c r="E336" s="983"/>
      <c r="F336" s="87" t="s">
        <v>22</v>
      </c>
      <c r="G336" s="413" t="s">
        <v>111</v>
      </c>
      <c r="H336" s="413" t="s">
        <v>114</v>
      </c>
      <c r="I336" s="413" t="s">
        <v>113</v>
      </c>
      <c r="J336" s="413" t="s">
        <v>136</v>
      </c>
      <c r="K336" s="89" t="s">
        <v>25</v>
      </c>
      <c r="L336" s="90"/>
    </row>
    <row r="337" spans="2:12" hidden="1">
      <c r="B337" s="417"/>
      <c r="C337" s="1028"/>
      <c r="D337" s="1028"/>
      <c r="E337" s="1028"/>
      <c r="F337" s="91">
        <v>1</v>
      </c>
      <c r="G337" s="91"/>
      <c r="H337" s="91"/>
      <c r="I337" s="91"/>
      <c r="J337" s="91"/>
      <c r="K337" s="418">
        <f>F337</f>
        <v>1</v>
      </c>
      <c r="L337" s="90"/>
    </row>
    <row r="338" spans="2:12" hidden="1">
      <c r="B338" s="417"/>
      <c r="C338" s="987" t="s">
        <v>116</v>
      </c>
      <c r="D338" s="987"/>
      <c r="E338" s="987"/>
      <c r="F338" s="987"/>
      <c r="G338" s="987"/>
      <c r="H338" s="987"/>
      <c r="I338" s="987"/>
      <c r="J338" s="987"/>
      <c r="K338" s="89">
        <f>SUM(K337:K337)</f>
        <v>1</v>
      </c>
      <c r="L338" s="90"/>
    </row>
    <row r="339" spans="2:12" hidden="1">
      <c r="B339" s="219"/>
      <c r="C339" s="219"/>
      <c r="D339" s="219"/>
      <c r="E339" s="219"/>
      <c r="F339" s="219"/>
      <c r="G339" s="219"/>
      <c r="H339" s="219"/>
      <c r="I339" s="219"/>
      <c r="J339" s="219"/>
      <c r="K339" s="219"/>
      <c r="L339" s="219"/>
    </row>
    <row r="340" spans="2:12" hidden="1">
      <c r="B340" s="292" t="str">
        <f>'[6]PLANILHA ORÇAMENTÁRIA'!D93</f>
        <v>12.0</v>
      </c>
      <c r="C340" s="1093" t="str">
        <f>'[6]PLANILHA ORÇAMENTÁRIA'!E93</f>
        <v>INSTALAÇÕES ELÉTRICAS</v>
      </c>
      <c r="D340" s="1093"/>
      <c r="E340" s="1093"/>
      <c r="F340" s="1093"/>
      <c r="G340" s="1093"/>
      <c r="H340" s="1093"/>
      <c r="I340" s="1093"/>
      <c r="J340" s="1093"/>
      <c r="K340" s="293"/>
      <c r="L340" s="293"/>
    </row>
    <row r="341" spans="2:12" ht="27.75" hidden="1" customHeight="1">
      <c r="B341" s="85" t="str">
        <f>'[6]PLANILHA ORÇAMENTÁRIA'!D94</f>
        <v>12.1</v>
      </c>
      <c r="C341" s="1032" t="str">
        <f>'[6]PLANILHA ORÇAMENTÁRIA'!E94</f>
        <v>PONTO DE ILUMINAÇÃO RESIDENCIAL INCLUINDO INTERRUPTOR SIMPLES, CAIXA ELÉTRICA, ELETRODUTO, CABO, RASGO, QUEBRA E CHUMBAMENTO (EXCLUINDO LUMINÁRIA E LÂMPADA). AF_01/2016</v>
      </c>
      <c r="D341" s="1032"/>
      <c r="E341" s="1032"/>
      <c r="F341" s="1032"/>
      <c r="G341" s="1032"/>
      <c r="H341" s="1032"/>
      <c r="I341" s="1032"/>
      <c r="J341" s="1032"/>
      <c r="K341" s="294" t="str">
        <f>'[6]PLANILHA ORÇAMENTÁRIA'!F94</f>
        <v>UND</v>
      </c>
      <c r="L341" s="295">
        <f>K344</f>
        <v>7</v>
      </c>
    </row>
    <row r="342" spans="2:12" hidden="1">
      <c r="B342" s="417"/>
      <c r="C342" s="983" t="s">
        <v>20</v>
      </c>
      <c r="D342" s="983"/>
      <c r="E342" s="983"/>
      <c r="F342" s="87" t="s">
        <v>22</v>
      </c>
      <c r="G342" s="413" t="s">
        <v>111</v>
      </c>
      <c r="H342" s="413" t="s">
        <v>114</v>
      </c>
      <c r="I342" s="413" t="s">
        <v>113</v>
      </c>
      <c r="J342" s="413" t="s">
        <v>136</v>
      </c>
      <c r="K342" s="89" t="s">
        <v>25</v>
      </c>
      <c r="L342" s="90"/>
    </row>
    <row r="343" spans="2:12" hidden="1">
      <c r="B343" s="417"/>
      <c r="C343" s="1028"/>
      <c r="D343" s="1028"/>
      <c r="E343" s="1028"/>
      <c r="F343" s="91">
        <f>'[6]PLANILHA ORÇAMENTÁRIA'!G94</f>
        <v>7</v>
      </c>
      <c r="G343" s="91"/>
      <c r="H343" s="91"/>
      <c r="I343" s="91"/>
      <c r="J343" s="91"/>
      <c r="K343" s="418">
        <f>F343</f>
        <v>7</v>
      </c>
      <c r="L343" s="90"/>
    </row>
    <row r="344" spans="2:12" hidden="1">
      <c r="B344" s="417"/>
      <c r="C344" s="987" t="s">
        <v>116</v>
      </c>
      <c r="D344" s="987"/>
      <c r="E344" s="987"/>
      <c r="F344" s="987"/>
      <c r="G344" s="987"/>
      <c r="H344" s="987"/>
      <c r="I344" s="987"/>
      <c r="J344" s="987"/>
      <c r="K344" s="89">
        <f>SUM(K343:K343)</f>
        <v>7</v>
      </c>
      <c r="L344" s="90"/>
    </row>
    <row r="345" spans="2:12" hidden="1">
      <c r="B345" s="297"/>
      <c r="C345" s="297"/>
      <c r="D345" s="297"/>
      <c r="E345" s="297"/>
      <c r="F345" s="297"/>
      <c r="G345" s="297"/>
      <c r="H345" s="297"/>
      <c r="I345" s="297"/>
      <c r="J345" s="297"/>
      <c r="K345" s="297"/>
      <c r="L345" s="297"/>
    </row>
    <row r="346" spans="2:12" ht="29.25" hidden="1" customHeight="1">
      <c r="B346" s="85" t="str">
        <f>'[6]PLANILHA ORÇAMENTÁRIA'!D95</f>
        <v>12.2</v>
      </c>
      <c r="C346" s="1032" t="str">
        <f>'[6]PLANILHA ORÇAMENTÁRIA'!E95</f>
        <v>PONTO DE TOMADA RESIDENCIAL INCLUINDO TOMADA (2 MÓDULOS) 10A/250V, CAIXA ELÉTRICA, ELETRODUTO, CABO, RASGO, QUEBRA E CHUMBAMENTO. AF_01/2016</v>
      </c>
      <c r="D346" s="1032"/>
      <c r="E346" s="1032"/>
      <c r="F346" s="1032"/>
      <c r="G346" s="1032"/>
      <c r="H346" s="1032"/>
      <c r="I346" s="1032"/>
      <c r="J346" s="1032"/>
      <c r="K346" s="294" t="str">
        <f>'[6]PLANILHA ORÇAMENTÁRIA'!F95</f>
        <v>UND</v>
      </c>
      <c r="L346" s="295">
        <f>K349</f>
        <v>3</v>
      </c>
    </row>
    <row r="347" spans="2:12" hidden="1">
      <c r="B347" s="417"/>
      <c r="C347" s="983" t="s">
        <v>20</v>
      </c>
      <c r="D347" s="983"/>
      <c r="E347" s="983"/>
      <c r="F347" s="87" t="s">
        <v>22</v>
      </c>
      <c r="G347" s="413" t="s">
        <v>111</v>
      </c>
      <c r="H347" s="413" t="s">
        <v>114</v>
      </c>
      <c r="I347" s="413" t="s">
        <v>113</v>
      </c>
      <c r="J347" s="413" t="s">
        <v>136</v>
      </c>
      <c r="K347" s="89" t="s">
        <v>25</v>
      </c>
      <c r="L347" s="90"/>
    </row>
    <row r="348" spans="2:12" hidden="1">
      <c r="B348" s="417"/>
      <c r="C348" s="1028"/>
      <c r="D348" s="1028"/>
      <c r="E348" s="1028"/>
      <c r="F348" s="91">
        <f>'[6]PLANILHA ORÇAMENTÁRIA'!G95</f>
        <v>3</v>
      </c>
      <c r="G348" s="91"/>
      <c r="H348" s="91"/>
      <c r="I348" s="91"/>
      <c r="J348" s="91"/>
      <c r="K348" s="418">
        <f>F348</f>
        <v>3</v>
      </c>
      <c r="L348" s="90"/>
    </row>
    <row r="349" spans="2:12" hidden="1">
      <c r="B349" s="417"/>
      <c r="C349" s="987" t="s">
        <v>116</v>
      </c>
      <c r="D349" s="987"/>
      <c r="E349" s="987"/>
      <c r="F349" s="987"/>
      <c r="G349" s="987"/>
      <c r="H349" s="987"/>
      <c r="I349" s="987"/>
      <c r="J349" s="987"/>
      <c r="K349" s="89">
        <f>SUM(K348:K348)</f>
        <v>3</v>
      </c>
      <c r="L349" s="90"/>
    </row>
    <row r="350" spans="2:12" hidden="1">
      <c r="B350" s="297"/>
      <c r="C350" s="297"/>
      <c r="D350" s="297"/>
      <c r="E350" s="297"/>
      <c r="F350" s="297"/>
      <c r="G350" s="297"/>
      <c r="H350" s="297"/>
      <c r="I350" s="297"/>
      <c r="J350" s="297"/>
      <c r="K350" s="297"/>
      <c r="L350" s="297"/>
    </row>
    <row r="351" spans="2:12" ht="27.75" hidden="1" customHeight="1">
      <c r="B351" s="85" t="str">
        <f>'[6]PLANILHA ORÇAMENTÁRIA'!D96</f>
        <v>12.3</v>
      </c>
      <c r="C351" s="1032" t="str">
        <f>'[6]PLANILHA ORÇAMENTÁRIA'!E96</f>
        <v>POSTE DE ACO CONICO CONTINUO CURVO DUPLO, FLANGEADO, COM JANELA DE INSPECAO H=9M - FORNECIMENTO E INSTALACAO</v>
      </c>
      <c r="D351" s="1032"/>
      <c r="E351" s="1032"/>
      <c r="F351" s="1032"/>
      <c r="G351" s="1032"/>
      <c r="H351" s="1032"/>
      <c r="I351" s="1032"/>
      <c r="J351" s="1032"/>
      <c r="K351" s="294" t="str">
        <f>'[6]PLANILHA ORÇAMENTÁRIA'!F96</f>
        <v>UND</v>
      </c>
      <c r="L351" s="295">
        <f>K354</f>
        <v>4</v>
      </c>
    </row>
    <row r="352" spans="2:12" hidden="1">
      <c r="B352" s="417"/>
      <c r="C352" s="983" t="s">
        <v>20</v>
      </c>
      <c r="D352" s="983"/>
      <c r="E352" s="983"/>
      <c r="F352" s="87" t="s">
        <v>22</v>
      </c>
      <c r="G352" s="413" t="s">
        <v>111</v>
      </c>
      <c r="H352" s="413" t="s">
        <v>114</v>
      </c>
      <c r="I352" s="413" t="s">
        <v>113</v>
      </c>
      <c r="J352" s="413" t="s">
        <v>136</v>
      </c>
      <c r="K352" s="89" t="s">
        <v>25</v>
      </c>
      <c r="L352" s="90"/>
    </row>
    <row r="353" spans="2:12" hidden="1">
      <c r="B353" s="417"/>
      <c r="C353" s="1028"/>
      <c r="D353" s="1028"/>
      <c r="E353" s="1028"/>
      <c r="F353" s="91">
        <f>'[6]PLANILHA ORÇAMENTÁRIA'!G96</f>
        <v>4</v>
      </c>
      <c r="G353" s="91"/>
      <c r="H353" s="91"/>
      <c r="I353" s="91"/>
      <c r="J353" s="91"/>
      <c r="K353" s="418">
        <f>F353</f>
        <v>4</v>
      </c>
      <c r="L353" s="90"/>
    </row>
    <row r="354" spans="2:12" hidden="1">
      <c r="B354" s="417"/>
      <c r="C354" s="987" t="s">
        <v>116</v>
      </c>
      <c r="D354" s="987"/>
      <c r="E354" s="987"/>
      <c r="F354" s="987"/>
      <c r="G354" s="987"/>
      <c r="H354" s="987"/>
      <c r="I354" s="987"/>
      <c r="J354" s="987"/>
      <c r="K354" s="89">
        <f>SUM(K353:K353)</f>
        <v>4</v>
      </c>
      <c r="L354" s="90"/>
    </row>
    <row r="355" spans="2:12" hidden="1">
      <c r="B355" s="297"/>
      <c r="C355" s="297"/>
      <c r="D355" s="297"/>
      <c r="E355" s="297"/>
      <c r="F355" s="297"/>
      <c r="G355" s="297"/>
      <c r="H355" s="297"/>
      <c r="I355" s="297"/>
      <c r="J355" s="297"/>
      <c r="K355" s="297"/>
      <c r="L355" s="297"/>
    </row>
    <row r="356" spans="2:12" ht="42.75" hidden="1" customHeight="1">
      <c r="B356" s="85" t="str">
        <f>'[6]PLANILHA ORÇAMENTÁRIA'!D97</f>
        <v>12.4</v>
      </c>
      <c r="C356" s="1032" t="str">
        <f>'[6]PLANILHA ORÇAMENTÁRIA'!E97</f>
        <v>QUADRO DE DISTRIBUICAO DE ENERGIA DE EMBUTIR, EM CHAPA METALICA, PARA 18 DISJUNTORES TERMOMAGNETICOS MONOPOLARES, COM BARRAMENTO TRIFASICO E NEUTRO, FORNECIMENTO E INSTALACAO</v>
      </c>
      <c r="D356" s="1032"/>
      <c r="E356" s="1032"/>
      <c r="F356" s="1032"/>
      <c r="G356" s="1032"/>
      <c r="H356" s="1032"/>
      <c r="I356" s="1032"/>
      <c r="J356" s="1032"/>
      <c r="K356" s="294" t="str">
        <f>'[6]PLANILHA ORÇAMENTÁRIA'!F97</f>
        <v>UND</v>
      </c>
      <c r="L356" s="295">
        <f>K359</f>
        <v>1</v>
      </c>
    </row>
    <row r="357" spans="2:12" hidden="1">
      <c r="B357" s="417"/>
      <c r="C357" s="983" t="s">
        <v>20</v>
      </c>
      <c r="D357" s="983"/>
      <c r="E357" s="983"/>
      <c r="F357" s="87" t="s">
        <v>22</v>
      </c>
      <c r="G357" s="413" t="s">
        <v>111</v>
      </c>
      <c r="H357" s="413" t="s">
        <v>114</v>
      </c>
      <c r="I357" s="413" t="s">
        <v>113</v>
      </c>
      <c r="J357" s="413" t="s">
        <v>136</v>
      </c>
      <c r="K357" s="89" t="s">
        <v>25</v>
      </c>
      <c r="L357" s="90"/>
    </row>
    <row r="358" spans="2:12" hidden="1">
      <c r="B358" s="417"/>
      <c r="C358" s="1028"/>
      <c r="D358" s="1028"/>
      <c r="E358" s="1028"/>
      <c r="F358" s="91">
        <f>'[6]PLANILHA ORÇAMENTÁRIA'!G97</f>
        <v>1</v>
      </c>
      <c r="G358" s="91"/>
      <c r="H358" s="91"/>
      <c r="I358" s="91"/>
      <c r="J358" s="91"/>
      <c r="K358" s="418">
        <f>F358</f>
        <v>1</v>
      </c>
      <c r="L358" s="90"/>
    </row>
    <row r="359" spans="2:12" hidden="1">
      <c r="B359" s="417"/>
      <c r="C359" s="987" t="s">
        <v>116</v>
      </c>
      <c r="D359" s="987"/>
      <c r="E359" s="987"/>
      <c r="F359" s="987"/>
      <c r="G359" s="987"/>
      <c r="H359" s="987"/>
      <c r="I359" s="987"/>
      <c r="J359" s="987"/>
      <c r="K359" s="89">
        <f>SUM(K358:K358)</f>
        <v>1</v>
      </c>
      <c r="L359" s="90"/>
    </row>
    <row r="360" spans="2:12" hidden="1">
      <c r="B360" s="297"/>
      <c r="C360" s="297"/>
      <c r="D360" s="297"/>
      <c r="E360" s="297"/>
      <c r="F360" s="297"/>
      <c r="G360" s="297"/>
      <c r="H360" s="297"/>
      <c r="I360" s="297"/>
      <c r="J360" s="297"/>
      <c r="K360" s="297"/>
      <c r="L360" s="297"/>
    </row>
    <row r="361" spans="2:12" ht="28.5" hidden="1" customHeight="1">
      <c r="B361" s="85" t="str">
        <f>'[6]PLANILHA ORÇAMENTÁRIA'!D98</f>
        <v>12.5</v>
      </c>
      <c r="C361" s="1032" t="str">
        <f>'[6]PLANILHA ORÇAMENTÁRIA'!E98</f>
        <v>DISJUNTOR TERMOMAGNETICO MONOPOLAR PADRAO NEMA (AMERICANO) 10 A 30A 240V, FORNECIMENTO E INSTALACAO</v>
      </c>
      <c r="D361" s="1032"/>
      <c r="E361" s="1032"/>
      <c r="F361" s="1032"/>
      <c r="G361" s="1032"/>
      <c r="H361" s="1032"/>
      <c r="I361" s="1032"/>
      <c r="J361" s="1032"/>
      <c r="K361" s="294" t="str">
        <f>'[6]PLANILHA ORÇAMENTÁRIA'!F98</f>
        <v>UND</v>
      </c>
      <c r="L361" s="295">
        <f>K364</f>
        <v>3</v>
      </c>
    </row>
    <row r="362" spans="2:12" hidden="1">
      <c r="B362" s="417"/>
      <c r="C362" s="983" t="s">
        <v>20</v>
      </c>
      <c r="D362" s="983"/>
      <c r="E362" s="983"/>
      <c r="F362" s="87" t="s">
        <v>22</v>
      </c>
      <c r="G362" s="413" t="s">
        <v>111</v>
      </c>
      <c r="H362" s="413" t="s">
        <v>114</v>
      </c>
      <c r="I362" s="413" t="s">
        <v>113</v>
      </c>
      <c r="J362" s="413" t="s">
        <v>136</v>
      </c>
      <c r="K362" s="89" t="s">
        <v>25</v>
      </c>
      <c r="L362" s="90"/>
    </row>
    <row r="363" spans="2:12" hidden="1">
      <c r="B363" s="417"/>
      <c r="C363" s="1028"/>
      <c r="D363" s="1028"/>
      <c r="E363" s="1028"/>
      <c r="F363" s="91">
        <f>'[6]PLANILHA ORÇAMENTÁRIA'!G98</f>
        <v>3</v>
      </c>
      <c r="G363" s="91"/>
      <c r="H363" s="91"/>
      <c r="I363" s="91"/>
      <c r="J363" s="91"/>
      <c r="K363" s="418">
        <f>F363</f>
        <v>3</v>
      </c>
      <c r="L363" s="90"/>
    </row>
    <row r="364" spans="2:12" hidden="1">
      <c r="B364" s="417"/>
      <c r="C364" s="987" t="s">
        <v>116</v>
      </c>
      <c r="D364" s="987"/>
      <c r="E364" s="987"/>
      <c r="F364" s="987"/>
      <c r="G364" s="987"/>
      <c r="H364" s="987"/>
      <c r="I364" s="987"/>
      <c r="J364" s="987"/>
      <c r="K364" s="89">
        <f>SUM(K363:K363)</f>
        <v>3</v>
      </c>
      <c r="L364" s="90"/>
    </row>
    <row r="365" spans="2:12" hidden="1">
      <c r="B365" s="417"/>
      <c r="C365" s="211"/>
      <c r="D365" s="211"/>
      <c r="E365" s="211"/>
      <c r="F365" s="211"/>
      <c r="G365" s="211"/>
      <c r="H365" s="211"/>
      <c r="I365" s="211"/>
      <c r="J365" s="211"/>
      <c r="K365" s="212"/>
      <c r="L365" s="90"/>
    </row>
    <row r="366" spans="2:12" ht="15" hidden="1" customHeight="1">
      <c r="B366" s="85" t="str">
        <f>'[6]PLANILHA ORÇAMENTÁRIA'!D99</f>
        <v>12.6</v>
      </c>
      <c r="C366" s="1032" t="str">
        <f>'[6]PLANILHA ORÇAMENTÁRIA'!E99</f>
        <v>DISJUNTOR TERMOMAGNETICO BIPOLAR PADRAO NEMA (AMERICANO) 10 A 50A 240V, FORNECIMENTO E INSTALACAO</v>
      </c>
      <c r="D366" s="1032"/>
      <c r="E366" s="1032"/>
      <c r="F366" s="1032"/>
      <c r="G366" s="1032"/>
      <c r="H366" s="1032"/>
      <c r="I366" s="1032"/>
      <c r="J366" s="1032"/>
      <c r="K366" s="294" t="str">
        <f>'[6]PLANILHA ORÇAMENTÁRIA'!F99</f>
        <v>UND</v>
      </c>
      <c r="L366" s="295">
        <f>K369</f>
        <v>1</v>
      </c>
    </row>
    <row r="367" spans="2:12" hidden="1">
      <c r="B367" s="417"/>
      <c r="C367" s="983" t="s">
        <v>20</v>
      </c>
      <c r="D367" s="983"/>
      <c r="E367" s="983"/>
      <c r="F367" s="87" t="s">
        <v>22</v>
      </c>
      <c r="G367" s="413" t="s">
        <v>111</v>
      </c>
      <c r="H367" s="413" t="s">
        <v>114</v>
      </c>
      <c r="I367" s="413" t="s">
        <v>113</v>
      </c>
      <c r="J367" s="413" t="s">
        <v>136</v>
      </c>
      <c r="K367" s="89" t="s">
        <v>25</v>
      </c>
      <c r="L367" s="90"/>
    </row>
    <row r="368" spans="2:12" hidden="1">
      <c r="B368" s="417"/>
      <c r="C368" s="1028"/>
      <c r="D368" s="1028"/>
      <c r="E368" s="1028"/>
      <c r="F368" s="91">
        <f>'[6]PLANILHA ORÇAMENTÁRIA'!G99</f>
        <v>1</v>
      </c>
      <c r="G368" s="91"/>
      <c r="H368" s="91"/>
      <c r="I368" s="91"/>
      <c r="J368" s="91"/>
      <c r="K368" s="418">
        <f>F368</f>
        <v>1</v>
      </c>
      <c r="L368" s="90"/>
    </row>
    <row r="369" spans="2:12" hidden="1">
      <c r="B369" s="417"/>
      <c r="C369" s="987" t="s">
        <v>116</v>
      </c>
      <c r="D369" s="987"/>
      <c r="E369" s="987"/>
      <c r="F369" s="987"/>
      <c r="G369" s="987"/>
      <c r="H369" s="987"/>
      <c r="I369" s="987"/>
      <c r="J369" s="987"/>
      <c r="K369" s="89">
        <f>SUM(K368:K368)</f>
        <v>1</v>
      </c>
      <c r="L369" s="90"/>
    </row>
    <row r="370" spans="2:12" hidden="1">
      <c r="B370" s="417"/>
      <c r="C370" s="211"/>
      <c r="D370" s="211"/>
      <c r="E370" s="211"/>
      <c r="F370" s="211"/>
      <c r="G370" s="211"/>
      <c r="H370" s="211"/>
      <c r="I370" s="211"/>
      <c r="J370" s="211"/>
      <c r="K370" s="212"/>
      <c r="L370" s="90"/>
    </row>
    <row r="371" spans="2:12" ht="30.75" hidden="1" customHeight="1">
      <c r="B371" s="85" t="str">
        <f>'[6]PLANILHA ORÇAMENTÁRIA'!D100</f>
        <v>12.7</v>
      </c>
      <c r="C371" s="1032" t="str">
        <f>'[6]PLANILHA ORÇAMENTÁRIA'!E100</f>
        <v>DISJUNTOR TERMOMAGNETICO TRIPOLAR PADRAO NEMA (AMERICANO) 10 A 50A 240V, FORNECIMENTO E INSTALACAO</v>
      </c>
      <c r="D371" s="1032"/>
      <c r="E371" s="1032"/>
      <c r="F371" s="1032"/>
      <c r="G371" s="1032"/>
      <c r="H371" s="1032"/>
      <c r="I371" s="1032"/>
      <c r="J371" s="1032"/>
      <c r="K371" s="294" t="str">
        <f>'[6]PLANILHA ORÇAMENTÁRIA'!F100</f>
        <v>UND</v>
      </c>
      <c r="L371" s="295">
        <f>K374</f>
        <v>1</v>
      </c>
    </row>
    <row r="372" spans="2:12" hidden="1">
      <c r="B372" s="417"/>
      <c r="C372" s="983" t="s">
        <v>20</v>
      </c>
      <c r="D372" s="983"/>
      <c r="E372" s="983"/>
      <c r="F372" s="87" t="s">
        <v>22</v>
      </c>
      <c r="G372" s="413" t="s">
        <v>111</v>
      </c>
      <c r="H372" s="413" t="s">
        <v>114</v>
      </c>
      <c r="I372" s="413" t="s">
        <v>113</v>
      </c>
      <c r="J372" s="413" t="s">
        <v>136</v>
      </c>
      <c r="K372" s="89" t="s">
        <v>25</v>
      </c>
      <c r="L372" s="90"/>
    </row>
    <row r="373" spans="2:12" hidden="1">
      <c r="B373" s="417"/>
      <c r="C373" s="1028"/>
      <c r="D373" s="1028"/>
      <c r="E373" s="1028"/>
      <c r="F373" s="91">
        <f>'[6]PLANILHA ORÇAMENTÁRIA'!G100</f>
        <v>1</v>
      </c>
      <c r="G373" s="91"/>
      <c r="H373" s="91"/>
      <c r="I373" s="91"/>
      <c r="J373" s="91"/>
      <c r="K373" s="418">
        <f>F373</f>
        <v>1</v>
      </c>
      <c r="L373" s="90"/>
    </row>
    <row r="374" spans="2:12" hidden="1">
      <c r="B374" s="417"/>
      <c r="C374" s="987" t="s">
        <v>116</v>
      </c>
      <c r="D374" s="987"/>
      <c r="E374" s="987"/>
      <c r="F374" s="987"/>
      <c r="G374" s="987"/>
      <c r="H374" s="987"/>
      <c r="I374" s="987"/>
      <c r="J374" s="987"/>
      <c r="K374" s="89">
        <f>SUM(K373:K373)</f>
        <v>1</v>
      </c>
      <c r="L374" s="90"/>
    </row>
    <row r="375" spans="2:12" hidden="1">
      <c r="B375" s="417"/>
      <c r="C375" s="211"/>
      <c r="D375" s="211"/>
      <c r="E375" s="211"/>
      <c r="F375" s="211"/>
      <c r="G375" s="211"/>
      <c r="H375" s="211"/>
      <c r="I375" s="211"/>
      <c r="J375" s="211"/>
      <c r="K375" s="212"/>
      <c r="L375" s="90"/>
    </row>
    <row r="376" spans="2:12" ht="15" hidden="1" customHeight="1">
      <c r="B376" s="85" t="str">
        <f>'[6]PLANILHA ORÇAMENTÁRIA'!D101</f>
        <v>12.8</v>
      </c>
      <c r="C376" s="1032" t="str">
        <f>'[6]PLANILHA ORÇAMENTÁRIA'!E101</f>
        <v>LUMINÁRIA TIPO PLAFON, DE SOBREPOR, COM 1 LÂMPADA LED - FORNECIMENTO E INSTALAÇÃO. AF_11/2017</v>
      </c>
      <c r="D376" s="1032"/>
      <c r="E376" s="1032"/>
      <c r="F376" s="1032"/>
      <c r="G376" s="1032"/>
      <c r="H376" s="1032"/>
      <c r="I376" s="1032"/>
      <c r="J376" s="1032"/>
      <c r="K376" s="294" t="str">
        <f>'[6]PLANILHA ORÇAMENTÁRIA'!F101</f>
        <v>UND</v>
      </c>
      <c r="L376" s="295">
        <f>K379</f>
        <v>3</v>
      </c>
    </row>
    <row r="377" spans="2:12" hidden="1">
      <c r="B377" s="417"/>
      <c r="C377" s="983" t="s">
        <v>20</v>
      </c>
      <c r="D377" s="983"/>
      <c r="E377" s="983"/>
      <c r="F377" s="87" t="s">
        <v>22</v>
      </c>
      <c r="G377" s="413" t="s">
        <v>111</v>
      </c>
      <c r="H377" s="413" t="s">
        <v>114</v>
      </c>
      <c r="I377" s="413" t="s">
        <v>113</v>
      </c>
      <c r="J377" s="413" t="s">
        <v>136</v>
      </c>
      <c r="K377" s="89" t="s">
        <v>25</v>
      </c>
      <c r="L377" s="90"/>
    </row>
    <row r="378" spans="2:12" hidden="1">
      <c r="B378" s="417"/>
      <c r="C378" s="1028"/>
      <c r="D378" s="1028"/>
      <c r="E378" s="1028"/>
      <c r="F378" s="91">
        <f>'[6]PLANILHA ORÇAMENTÁRIA'!G101</f>
        <v>3</v>
      </c>
      <c r="G378" s="91"/>
      <c r="H378" s="91"/>
      <c r="I378" s="91"/>
      <c r="J378" s="91"/>
      <c r="K378" s="418">
        <f>F378</f>
        <v>3</v>
      </c>
      <c r="L378" s="90"/>
    </row>
    <row r="379" spans="2:12" hidden="1">
      <c r="B379" s="417"/>
      <c r="C379" s="987" t="s">
        <v>116</v>
      </c>
      <c r="D379" s="987"/>
      <c r="E379" s="987"/>
      <c r="F379" s="987"/>
      <c r="G379" s="987"/>
      <c r="H379" s="987"/>
      <c r="I379" s="987"/>
      <c r="J379" s="987"/>
      <c r="K379" s="89">
        <f>SUM(K378:K378)</f>
        <v>3</v>
      </c>
      <c r="L379" s="90"/>
    </row>
    <row r="380" spans="2:12" hidden="1">
      <c r="B380" s="219"/>
      <c r="C380" s="219"/>
      <c r="D380" s="219"/>
      <c r="E380" s="219"/>
      <c r="F380" s="219"/>
      <c r="G380" s="219"/>
      <c r="H380" s="219"/>
      <c r="I380" s="219"/>
      <c r="J380" s="219"/>
      <c r="K380" s="219"/>
      <c r="L380" s="219"/>
    </row>
    <row r="381" spans="2:12" ht="21.75" hidden="1" customHeight="1">
      <c r="B381" s="85" t="str">
        <f>'[6]PLANILHA ORÇAMENTÁRIA'!D102</f>
        <v>12.9</v>
      </c>
      <c r="C381" s="1032" t="str">
        <f>'[6]PLANILHA ORÇAMENTÁRIA'!E102</f>
        <v>LUMINÁRIAS TIPO CALHA, DE SOBREPOR E LÂMPADAS EM LED 2X2X18W, COMPLETAS, FORNECIMENTO E INSTALAÇÃO</v>
      </c>
      <c r="D381" s="1032"/>
      <c r="E381" s="1032"/>
      <c r="F381" s="1032"/>
      <c r="G381" s="1032"/>
      <c r="H381" s="1032"/>
      <c r="I381" s="1032"/>
      <c r="J381" s="1032"/>
      <c r="K381" s="294" t="str">
        <f>'[6]PLANILHA ORÇAMENTÁRIA'!F102</f>
        <v>UND</v>
      </c>
      <c r="L381" s="295">
        <f>K384</f>
        <v>4</v>
      </c>
    </row>
    <row r="382" spans="2:12" hidden="1">
      <c r="B382" s="417"/>
      <c r="C382" s="983" t="s">
        <v>20</v>
      </c>
      <c r="D382" s="983"/>
      <c r="E382" s="983"/>
      <c r="F382" s="87" t="s">
        <v>22</v>
      </c>
      <c r="G382" s="413" t="s">
        <v>111</v>
      </c>
      <c r="H382" s="413" t="s">
        <v>114</v>
      </c>
      <c r="I382" s="413" t="s">
        <v>113</v>
      </c>
      <c r="J382" s="413" t="s">
        <v>136</v>
      </c>
      <c r="K382" s="89" t="s">
        <v>25</v>
      </c>
      <c r="L382" s="90"/>
    </row>
    <row r="383" spans="2:12" hidden="1">
      <c r="B383" s="417"/>
      <c r="C383" s="1028"/>
      <c r="D383" s="1028"/>
      <c r="E383" s="1028"/>
      <c r="F383" s="91">
        <f>'[6]PLANILHA ORÇAMENTÁRIA'!G102</f>
        <v>4</v>
      </c>
      <c r="G383" s="91"/>
      <c r="H383" s="91"/>
      <c r="I383" s="91"/>
      <c r="J383" s="91"/>
      <c r="K383" s="418">
        <f>F383</f>
        <v>4</v>
      </c>
      <c r="L383" s="90"/>
    </row>
    <row r="384" spans="2:12" hidden="1">
      <c r="B384" s="417"/>
      <c r="C384" s="987" t="s">
        <v>116</v>
      </c>
      <c r="D384" s="987"/>
      <c r="E384" s="987"/>
      <c r="F384" s="987"/>
      <c r="G384" s="987"/>
      <c r="H384" s="987"/>
      <c r="I384" s="987"/>
      <c r="J384" s="987"/>
      <c r="K384" s="89">
        <f>SUM(K383:K383)</f>
        <v>4</v>
      </c>
      <c r="L384" s="90"/>
    </row>
    <row r="385" spans="2:12" hidden="1">
      <c r="B385" s="219"/>
      <c r="C385" s="219"/>
      <c r="D385" s="219"/>
      <c r="E385" s="219"/>
      <c r="F385" s="219"/>
      <c r="G385" s="219"/>
      <c r="H385" s="219"/>
      <c r="I385" s="219"/>
      <c r="J385" s="219"/>
      <c r="K385" s="219"/>
      <c r="L385" s="219"/>
    </row>
    <row r="386" spans="2:12" ht="27.75" hidden="1" customHeight="1">
      <c r="B386" s="85" t="str">
        <f>'[6]PLANILHA ORÇAMENTÁRIA'!D103</f>
        <v>12.10</v>
      </c>
      <c r="C386" s="1032" t="str">
        <f>'[6]PLANILHA ORÇAMENTÁRIA'!E103</f>
        <v>RELE FOTOELETRICO P/ COMANDO DE ILUMINACAO EXTERNA 220V/1000W - FORNECIMENTO E INSTALACAO</v>
      </c>
      <c r="D386" s="1032"/>
      <c r="E386" s="1032"/>
      <c r="F386" s="1032"/>
      <c r="G386" s="1032"/>
      <c r="H386" s="1032"/>
      <c r="I386" s="1032"/>
      <c r="J386" s="1032"/>
      <c r="K386" s="294" t="str">
        <f>'[6]PLANILHA ORÇAMENTÁRIA'!F103</f>
        <v>UND</v>
      </c>
      <c r="L386" s="295">
        <f>K389</f>
        <v>1</v>
      </c>
    </row>
    <row r="387" spans="2:12" hidden="1">
      <c r="B387" s="417"/>
      <c r="C387" s="983" t="s">
        <v>20</v>
      </c>
      <c r="D387" s="983"/>
      <c r="E387" s="983"/>
      <c r="F387" s="87" t="s">
        <v>22</v>
      </c>
      <c r="G387" s="413" t="s">
        <v>111</v>
      </c>
      <c r="H387" s="413" t="s">
        <v>114</v>
      </c>
      <c r="I387" s="413" t="s">
        <v>113</v>
      </c>
      <c r="J387" s="413" t="s">
        <v>136</v>
      </c>
      <c r="K387" s="89" t="s">
        <v>25</v>
      </c>
      <c r="L387" s="90"/>
    </row>
    <row r="388" spans="2:12" hidden="1">
      <c r="B388" s="417"/>
      <c r="C388" s="1028"/>
      <c r="D388" s="1028"/>
      <c r="E388" s="1028"/>
      <c r="F388" s="91">
        <f>'[6]PLANILHA ORÇAMENTÁRIA'!G103</f>
        <v>1</v>
      </c>
      <c r="G388" s="91"/>
      <c r="H388" s="91"/>
      <c r="I388" s="91"/>
      <c r="J388" s="91"/>
      <c r="K388" s="418">
        <f>F388</f>
        <v>1</v>
      </c>
      <c r="L388" s="90"/>
    </row>
    <row r="389" spans="2:12" hidden="1">
      <c r="B389" s="417"/>
      <c r="C389" s="987" t="s">
        <v>116</v>
      </c>
      <c r="D389" s="987"/>
      <c r="E389" s="987"/>
      <c r="F389" s="987"/>
      <c r="G389" s="987"/>
      <c r="H389" s="987"/>
      <c r="I389" s="987"/>
      <c r="J389" s="987"/>
      <c r="K389" s="89">
        <f>SUM(K388:K388)</f>
        <v>1</v>
      </c>
      <c r="L389" s="90"/>
    </row>
    <row r="390" spans="2:12" hidden="1">
      <c r="B390" s="219"/>
      <c r="C390" s="219"/>
      <c r="D390" s="219"/>
      <c r="E390" s="219"/>
      <c r="F390" s="219"/>
      <c r="G390" s="219"/>
      <c r="H390" s="219"/>
      <c r="I390" s="219"/>
      <c r="J390" s="219"/>
      <c r="K390" s="219"/>
      <c r="L390" s="219"/>
    </row>
    <row r="391" spans="2:12" ht="29.25" hidden="1" customHeight="1">
      <c r="B391" s="85" t="str">
        <f>'[6]PLANILHA ORÇAMENTÁRIA'!D104</f>
        <v>12.11</v>
      </c>
      <c r="C391" s="1032" t="str">
        <f>'[6]PLANILHA ORÇAMENTÁRIA'!E104</f>
        <v>ELETRODUTO RÍGIDO ROSCÁVEL, PVC, DN 32 MM (1"), PARA CIRCUITOS TERMINAIS, INSTALADO EM FORRO - FORNECIMENTO E INSTALAÇÃO. AF_12/2015</v>
      </c>
      <c r="D391" s="1032"/>
      <c r="E391" s="1032"/>
      <c r="F391" s="1032"/>
      <c r="G391" s="1032"/>
      <c r="H391" s="1032"/>
      <c r="I391" s="1032"/>
      <c r="J391" s="1032"/>
      <c r="K391" s="294" t="str">
        <f>'[6]PLANILHA ORÇAMENTÁRIA'!F104</f>
        <v>M</v>
      </c>
      <c r="L391" s="295">
        <f>K394</f>
        <v>70</v>
      </c>
    </row>
    <row r="392" spans="2:12" hidden="1">
      <c r="B392" s="417"/>
      <c r="C392" s="983" t="s">
        <v>20</v>
      </c>
      <c r="D392" s="983"/>
      <c r="E392" s="983"/>
      <c r="F392" s="87" t="s">
        <v>22</v>
      </c>
      <c r="G392" s="413" t="s">
        <v>111</v>
      </c>
      <c r="H392" s="413" t="s">
        <v>114</v>
      </c>
      <c r="I392" s="413" t="s">
        <v>113</v>
      </c>
      <c r="J392" s="413" t="s">
        <v>136</v>
      </c>
      <c r="K392" s="89" t="s">
        <v>25</v>
      </c>
      <c r="L392" s="90"/>
    </row>
    <row r="393" spans="2:12" hidden="1">
      <c r="B393" s="417"/>
      <c r="C393" s="1028"/>
      <c r="D393" s="1028"/>
      <c r="E393" s="1028"/>
      <c r="F393" s="91"/>
      <c r="G393" s="91"/>
      <c r="H393" s="91"/>
      <c r="I393" s="91">
        <f>'[6]PLANILHA ORÇAMENTÁRIA'!G104</f>
        <v>70</v>
      </c>
      <c r="J393" s="91"/>
      <c r="K393" s="418">
        <f>I393</f>
        <v>70</v>
      </c>
      <c r="L393" s="90"/>
    </row>
    <row r="394" spans="2:12" hidden="1">
      <c r="B394" s="417"/>
      <c r="C394" s="987" t="s">
        <v>116</v>
      </c>
      <c r="D394" s="987"/>
      <c r="E394" s="987"/>
      <c r="F394" s="987"/>
      <c r="G394" s="987"/>
      <c r="H394" s="987"/>
      <c r="I394" s="987"/>
      <c r="J394" s="987"/>
      <c r="K394" s="89">
        <f>SUM(K393:K393)</f>
        <v>70</v>
      </c>
      <c r="L394" s="90"/>
    </row>
    <row r="395" spans="2:12" hidden="1">
      <c r="B395" s="219"/>
      <c r="C395" s="219"/>
      <c r="D395" s="219"/>
      <c r="E395" s="219"/>
      <c r="F395" s="219"/>
      <c r="G395" s="219"/>
      <c r="H395" s="219"/>
      <c r="I395" s="219"/>
      <c r="J395" s="219"/>
      <c r="K395" s="219"/>
      <c r="L395" s="219"/>
    </row>
    <row r="396" spans="2:12" ht="15" hidden="1" customHeight="1">
      <c r="B396" s="85" t="str">
        <f>'[6]PLANILHA ORÇAMENTÁRIA'!D105</f>
        <v>12.12</v>
      </c>
      <c r="C396" s="1032" t="str">
        <f>'[6]PLANILHA ORÇAMENTÁRIA'!E105</f>
        <v>REFLETOR SIMPLES LED 150W DE POTÊNCIA, BRANCO FRIO, 6500K, AUTOVOLT, MARCA G-LIGHT OU SIMILAR</v>
      </c>
      <c r="D396" s="1032"/>
      <c r="E396" s="1032"/>
      <c r="F396" s="1032"/>
      <c r="G396" s="1032"/>
      <c r="H396" s="1032"/>
      <c r="I396" s="1032"/>
      <c r="J396" s="1032"/>
      <c r="K396" s="294" t="str">
        <f>'[6]PLANILHA ORÇAMENTÁRIA'!F105</f>
        <v>UND</v>
      </c>
      <c r="L396" s="295">
        <f>K399</f>
        <v>8</v>
      </c>
    </row>
    <row r="397" spans="2:12" hidden="1">
      <c r="B397" s="417"/>
      <c r="C397" s="983" t="s">
        <v>20</v>
      </c>
      <c r="D397" s="983"/>
      <c r="E397" s="983"/>
      <c r="F397" s="87" t="s">
        <v>22</v>
      </c>
      <c r="G397" s="413" t="s">
        <v>111</v>
      </c>
      <c r="H397" s="413" t="s">
        <v>114</v>
      </c>
      <c r="I397" s="413" t="s">
        <v>113</v>
      </c>
      <c r="J397" s="413" t="s">
        <v>136</v>
      </c>
      <c r="K397" s="89" t="s">
        <v>25</v>
      </c>
      <c r="L397" s="90"/>
    </row>
    <row r="398" spans="2:12" hidden="1">
      <c r="B398" s="417"/>
      <c r="C398" s="1028"/>
      <c r="D398" s="1028"/>
      <c r="E398" s="1028"/>
      <c r="F398" s="91">
        <f>'[6]PLANILHA ORÇAMENTÁRIA'!G105</f>
        <v>8</v>
      </c>
      <c r="G398" s="91"/>
      <c r="H398" s="91"/>
      <c r="I398" s="91"/>
      <c r="J398" s="91"/>
      <c r="K398" s="418">
        <f>F398</f>
        <v>8</v>
      </c>
      <c r="L398" s="90"/>
    </row>
    <row r="399" spans="2:12" hidden="1">
      <c r="B399" s="417"/>
      <c r="C399" s="987" t="s">
        <v>116</v>
      </c>
      <c r="D399" s="987"/>
      <c r="E399" s="987"/>
      <c r="F399" s="987"/>
      <c r="G399" s="987"/>
      <c r="H399" s="987"/>
      <c r="I399" s="987"/>
      <c r="J399" s="987"/>
      <c r="K399" s="89">
        <f>SUM(K398:K398)</f>
        <v>8</v>
      </c>
      <c r="L399" s="90"/>
    </row>
    <row r="400" spans="2:12" hidden="1">
      <c r="B400" s="219"/>
      <c r="C400" s="219"/>
      <c r="D400" s="219"/>
      <c r="E400" s="219"/>
      <c r="F400" s="219"/>
      <c r="G400" s="219"/>
      <c r="H400" s="219"/>
      <c r="I400" s="219"/>
      <c r="J400" s="219"/>
      <c r="K400" s="219"/>
      <c r="L400" s="219"/>
    </row>
    <row r="401" spans="2:12" ht="21.75" hidden="1" customHeight="1">
      <c r="B401" s="85" t="str">
        <f>'[6]PLANILHA ORÇAMENTÁRIA'!D106</f>
        <v>12.13</v>
      </c>
      <c r="C401" s="1032" t="str">
        <f>'[6]PLANILHA ORÇAMENTÁRIA'!E106</f>
        <v>CAIXA ENTERRADA ELÉTRICA RETANGULAR, EM ALVENARIA COM TIJOLOS CERÂMICOS MACIÇOS, FUNDO COM BRITA, DIMENSÕES INTERNAS: 0,3X0,3X0,3 M. AF_05/2018</v>
      </c>
      <c r="D401" s="1032"/>
      <c r="E401" s="1032"/>
      <c r="F401" s="1032"/>
      <c r="G401" s="1032"/>
      <c r="H401" s="1032"/>
      <c r="I401" s="1032"/>
      <c r="J401" s="1032"/>
      <c r="K401" s="294" t="str">
        <f>'[6]PLANILHA ORÇAMENTÁRIA'!F106</f>
        <v>UND</v>
      </c>
      <c r="L401" s="295">
        <f>K404</f>
        <v>0</v>
      </c>
    </row>
    <row r="402" spans="2:12" hidden="1">
      <c r="B402" s="417"/>
      <c r="C402" s="983" t="s">
        <v>20</v>
      </c>
      <c r="D402" s="983"/>
      <c r="E402" s="983"/>
      <c r="F402" s="87" t="s">
        <v>22</v>
      </c>
      <c r="G402" s="413" t="s">
        <v>111</v>
      </c>
      <c r="H402" s="413" t="s">
        <v>114</v>
      </c>
      <c r="I402" s="413" t="s">
        <v>113</v>
      </c>
      <c r="J402" s="413" t="s">
        <v>136</v>
      </c>
      <c r="K402" s="89" t="s">
        <v>25</v>
      </c>
      <c r="L402" s="90"/>
    </row>
    <row r="403" spans="2:12" hidden="1">
      <c r="B403" s="417"/>
      <c r="C403" s="1028"/>
      <c r="D403" s="1028"/>
      <c r="E403" s="1028"/>
      <c r="F403" s="91">
        <f>'[6]PLANILHA ORÇAMENTÁRIA'!G106</f>
        <v>4</v>
      </c>
      <c r="G403" s="91"/>
      <c r="H403" s="91"/>
      <c r="I403" s="91"/>
      <c r="J403" s="91"/>
      <c r="K403" s="418">
        <f>I403</f>
        <v>0</v>
      </c>
      <c r="L403" s="90"/>
    </row>
    <row r="404" spans="2:12" hidden="1">
      <c r="B404" s="417"/>
      <c r="C404" s="987" t="s">
        <v>116</v>
      </c>
      <c r="D404" s="987"/>
      <c r="E404" s="987"/>
      <c r="F404" s="987"/>
      <c r="G404" s="987"/>
      <c r="H404" s="987"/>
      <c r="I404" s="987"/>
      <c r="J404" s="987"/>
      <c r="K404" s="89">
        <f>SUM(K403:K403)</f>
        <v>0</v>
      </c>
      <c r="L404" s="90"/>
    </row>
    <row r="405" spans="2:12" hidden="1">
      <c r="B405" s="219"/>
      <c r="C405" s="219"/>
      <c r="D405" s="219"/>
      <c r="E405" s="219"/>
      <c r="F405" s="219"/>
      <c r="G405" s="219"/>
      <c r="H405" s="219"/>
      <c r="I405" s="219"/>
      <c r="J405" s="219"/>
      <c r="K405" s="219"/>
      <c r="L405" s="219"/>
    </row>
    <row r="406" spans="2:12" ht="24.75" hidden="1" customHeight="1">
      <c r="B406" s="85" t="str">
        <f>'[6]PLANILHA ORÇAMENTÁRIA'!D107</f>
        <v>12.14</v>
      </c>
      <c r="C406" s="1032" t="str">
        <f>'[6]PLANILHA ORÇAMENTÁRIA'!E107</f>
        <v>CABO DE COBRE FLEXÍVEL ISOLADO, 4 MM², ANTI-CHAMA 450/750 V, PARA CIRCUITOS TERMINAIS - FORNECIMENTO E INSTALAÇÃO. AF_12/2015</v>
      </c>
      <c r="D406" s="1032"/>
      <c r="E406" s="1032"/>
      <c r="F406" s="1032"/>
      <c r="G406" s="1032"/>
      <c r="H406" s="1032"/>
      <c r="I406" s="1032"/>
      <c r="J406" s="1032"/>
      <c r="K406" s="294" t="str">
        <f>'[6]PLANILHA ORÇAMENTÁRIA'!F107</f>
        <v>M</v>
      </c>
      <c r="L406" s="295">
        <f>K409</f>
        <v>160</v>
      </c>
    </row>
    <row r="407" spans="2:12" hidden="1">
      <c r="B407" s="417"/>
      <c r="C407" s="983" t="s">
        <v>20</v>
      </c>
      <c r="D407" s="983"/>
      <c r="E407" s="983"/>
      <c r="F407" s="87" t="s">
        <v>22</v>
      </c>
      <c r="G407" s="413" t="s">
        <v>111</v>
      </c>
      <c r="H407" s="413" t="s">
        <v>114</v>
      </c>
      <c r="I407" s="413" t="s">
        <v>113</v>
      </c>
      <c r="J407" s="413" t="s">
        <v>136</v>
      </c>
      <c r="K407" s="89" t="s">
        <v>25</v>
      </c>
      <c r="L407" s="90"/>
    </row>
    <row r="408" spans="2:12" hidden="1">
      <c r="B408" s="417"/>
      <c r="C408" s="1028"/>
      <c r="D408" s="1028"/>
      <c r="E408" s="1028"/>
      <c r="F408" s="91"/>
      <c r="G408" s="91"/>
      <c r="H408" s="91"/>
      <c r="I408" s="91">
        <f>'[6]PLANILHA ORÇAMENTÁRIA'!G107</f>
        <v>160</v>
      </c>
      <c r="J408" s="91"/>
      <c r="K408" s="418">
        <f>I408</f>
        <v>160</v>
      </c>
      <c r="L408" s="90"/>
    </row>
    <row r="409" spans="2:12" hidden="1">
      <c r="B409" s="417"/>
      <c r="C409" s="987" t="s">
        <v>116</v>
      </c>
      <c r="D409" s="987"/>
      <c r="E409" s="987"/>
      <c r="F409" s="987"/>
      <c r="G409" s="987"/>
      <c r="H409" s="987"/>
      <c r="I409" s="987"/>
      <c r="J409" s="987"/>
      <c r="K409" s="89">
        <f>SUM(K408:K408)</f>
        <v>160</v>
      </c>
      <c r="L409" s="90"/>
    </row>
    <row r="410" spans="2:12" hidden="1">
      <c r="B410" s="417"/>
      <c r="C410" s="211"/>
      <c r="D410" s="211"/>
      <c r="E410" s="211"/>
      <c r="F410" s="211"/>
      <c r="G410" s="211"/>
      <c r="H410" s="211"/>
      <c r="I410" s="211"/>
      <c r="J410" s="211"/>
      <c r="K410" s="212"/>
      <c r="L410" s="90"/>
    </row>
    <row r="411" spans="2:12" ht="32.25" hidden="1" customHeight="1">
      <c r="B411" s="85" t="str">
        <f>'[6]PLANILHA ORÇAMENTÁRIA'!D108</f>
        <v>12.15</v>
      </c>
      <c r="C411" s="1032" t="str">
        <f>'[6]PLANILHA ORÇAMENTÁRIA'!E108</f>
        <v>CABO DE COBRE FLEXÍVEL ISOLADO, 2,5 MM², ANTI-CHAMA 450/750 V, PARA CIRCUITOS TERMINAIS - FORNECIMENTO E INSTALAÇÃO. AF_12/2015</v>
      </c>
      <c r="D411" s="1032"/>
      <c r="E411" s="1032"/>
      <c r="F411" s="1032"/>
      <c r="G411" s="1032"/>
      <c r="H411" s="1032"/>
      <c r="I411" s="1032"/>
      <c r="J411" s="1032"/>
      <c r="K411" s="294" t="str">
        <f>'[6]PLANILHA ORÇAMENTÁRIA'!F108</f>
        <v>M</v>
      </c>
      <c r="L411" s="295">
        <f>K414</f>
        <v>160</v>
      </c>
    </row>
    <row r="412" spans="2:12" hidden="1">
      <c r="B412" s="417"/>
      <c r="C412" s="983" t="s">
        <v>20</v>
      </c>
      <c r="D412" s="983"/>
      <c r="E412" s="983"/>
      <c r="F412" s="87" t="s">
        <v>22</v>
      </c>
      <c r="G412" s="413" t="s">
        <v>111</v>
      </c>
      <c r="H412" s="413" t="s">
        <v>114</v>
      </c>
      <c r="I412" s="413" t="s">
        <v>113</v>
      </c>
      <c r="J412" s="413" t="s">
        <v>136</v>
      </c>
      <c r="K412" s="89" t="s">
        <v>25</v>
      </c>
      <c r="L412" s="90"/>
    </row>
    <row r="413" spans="2:12" hidden="1">
      <c r="B413" s="417"/>
      <c r="C413" s="1028"/>
      <c r="D413" s="1028"/>
      <c r="E413" s="1028"/>
      <c r="F413" s="91"/>
      <c r="G413" s="91"/>
      <c r="H413" s="91"/>
      <c r="I413" s="91">
        <f>'[6]PLANILHA ORÇAMENTÁRIA'!G108</f>
        <v>160</v>
      </c>
      <c r="J413" s="91"/>
      <c r="K413" s="418">
        <f>I413</f>
        <v>160</v>
      </c>
      <c r="L413" s="90"/>
    </row>
    <row r="414" spans="2:12" hidden="1">
      <c r="B414" s="417"/>
      <c r="C414" s="987" t="s">
        <v>116</v>
      </c>
      <c r="D414" s="987"/>
      <c r="E414" s="987"/>
      <c r="F414" s="987"/>
      <c r="G414" s="987"/>
      <c r="H414" s="987"/>
      <c r="I414" s="987"/>
      <c r="J414" s="987"/>
      <c r="K414" s="89">
        <f>SUM(K413:K413)</f>
        <v>160</v>
      </c>
      <c r="L414" s="90"/>
    </row>
    <row r="415" spans="2:12" hidden="1">
      <c r="B415" s="219"/>
      <c r="C415" s="219"/>
      <c r="D415" s="219"/>
      <c r="E415" s="219"/>
      <c r="F415" s="219"/>
      <c r="G415" s="219"/>
      <c r="H415" s="219"/>
      <c r="I415" s="219"/>
      <c r="J415" s="219"/>
      <c r="K415" s="219"/>
      <c r="L415" s="219"/>
    </row>
    <row r="416" spans="2:12" hidden="1">
      <c r="B416" s="292" t="str">
        <f>'[6]PLANILHA ORÇAMENTÁRIA'!D109</f>
        <v>13.0</v>
      </c>
      <c r="C416" s="1093" t="str">
        <f>'[6]PLANILHA ORÇAMENTÁRIA'!E109</f>
        <v>PINTURA</v>
      </c>
      <c r="D416" s="1093"/>
      <c r="E416" s="1093"/>
      <c r="F416" s="1093"/>
      <c r="G416" s="1093"/>
      <c r="H416" s="1093"/>
      <c r="I416" s="1093"/>
      <c r="J416" s="1093"/>
      <c r="K416" s="293"/>
      <c r="L416" s="293"/>
    </row>
    <row r="417" spans="2:12" ht="15" hidden="1" customHeight="1">
      <c r="B417" s="85" t="str">
        <f>'[6]PLANILHA ORÇAMENTÁRIA'!D110</f>
        <v>13.1</v>
      </c>
      <c r="C417" s="1032" t="str">
        <f>'[6]PLANILHA ORÇAMENTÁRIA'!E110</f>
        <v>APLICAÇÃO DE FUNDO SELADOR LÁTEX PVA EM TETO, UMA DEMÃO. AF_06/2014</v>
      </c>
      <c r="D417" s="1032"/>
      <c r="E417" s="1032"/>
      <c r="F417" s="1032"/>
      <c r="G417" s="1032"/>
      <c r="H417" s="1032"/>
      <c r="I417" s="1032"/>
      <c r="J417" s="1032"/>
      <c r="K417" s="294" t="str">
        <f>'[6]PLANILHA ORÇAMENTÁRIA'!F110</f>
        <v>M2</v>
      </c>
      <c r="L417" s="295">
        <f>K424</f>
        <v>23.02</v>
      </c>
    </row>
    <row r="418" spans="2:12" hidden="1">
      <c r="B418" s="417"/>
      <c r="C418" s="983" t="s">
        <v>20</v>
      </c>
      <c r="D418" s="983"/>
      <c r="E418" s="983"/>
      <c r="F418" s="87" t="s">
        <v>22</v>
      </c>
      <c r="G418" s="413" t="s">
        <v>111</v>
      </c>
      <c r="H418" s="87" t="s">
        <v>112</v>
      </c>
      <c r="I418" s="413" t="s">
        <v>113</v>
      </c>
      <c r="J418" s="413" t="s">
        <v>114</v>
      </c>
      <c r="K418" s="89" t="s">
        <v>25</v>
      </c>
      <c r="L418" s="90"/>
    </row>
    <row r="419" spans="2:12" hidden="1">
      <c r="B419" s="417"/>
      <c r="C419" s="1028" t="s">
        <v>167</v>
      </c>
      <c r="D419" s="1028"/>
      <c r="E419" s="1028"/>
      <c r="F419" s="91"/>
      <c r="G419" s="91"/>
      <c r="H419" s="91">
        <v>2</v>
      </c>
      <c r="I419" s="91">
        <v>4.2</v>
      </c>
      <c r="J419" s="91"/>
      <c r="K419" s="418">
        <f>TRUNC(H419*I419,2)</f>
        <v>8.4</v>
      </c>
      <c r="L419" s="90"/>
    </row>
    <row r="420" spans="2:12" hidden="1">
      <c r="B420" s="417"/>
      <c r="C420" s="1028" t="s">
        <v>168</v>
      </c>
      <c r="D420" s="1028"/>
      <c r="E420" s="1028"/>
      <c r="F420" s="91"/>
      <c r="G420" s="91"/>
      <c r="H420" s="91">
        <v>2</v>
      </c>
      <c r="I420" s="91">
        <v>3.13</v>
      </c>
      <c r="J420" s="91"/>
      <c r="K420" s="418">
        <f>TRUNC(H420*I420,2)</f>
        <v>6.26</v>
      </c>
      <c r="L420" s="90"/>
    </row>
    <row r="421" spans="2:12" hidden="1">
      <c r="B421" s="417"/>
      <c r="C421" s="1028" t="s">
        <v>169</v>
      </c>
      <c r="D421" s="1028"/>
      <c r="E421" s="1028"/>
      <c r="F421" s="91"/>
      <c r="G421" s="91"/>
      <c r="H421" s="91">
        <v>1</v>
      </c>
      <c r="I421" s="91">
        <v>1.05</v>
      </c>
      <c r="J421" s="91"/>
      <c r="K421" s="418">
        <f>TRUNC(H421*I421,2)</f>
        <v>1.05</v>
      </c>
      <c r="L421" s="90"/>
    </row>
    <row r="422" spans="2:12" hidden="1">
      <c r="B422" s="417"/>
      <c r="C422" s="1028" t="s">
        <v>170</v>
      </c>
      <c r="D422" s="1028"/>
      <c r="E422" s="1028"/>
      <c r="F422" s="91"/>
      <c r="G422" s="91"/>
      <c r="H422" s="91">
        <v>2</v>
      </c>
      <c r="I422" s="91">
        <v>3.13</v>
      </c>
      <c r="J422" s="91"/>
      <c r="K422" s="418">
        <f>TRUNC(H422*I422,2)</f>
        <v>6.26</v>
      </c>
      <c r="L422" s="90"/>
    </row>
    <row r="423" spans="2:12" hidden="1">
      <c r="B423" s="417"/>
      <c r="C423" s="1028" t="s">
        <v>171</v>
      </c>
      <c r="D423" s="1028"/>
      <c r="E423" s="1028"/>
      <c r="F423" s="91"/>
      <c r="G423" s="91"/>
      <c r="H423" s="91">
        <v>1</v>
      </c>
      <c r="I423" s="91">
        <v>1.05</v>
      </c>
      <c r="J423" s="91"/>
      <c r="K423" s="418">
        <f>TRUNC(H423*I423,2)</f>
        <v>1.05</v>
      </c>
      <c r="L423" s="90"/>
    </row>
    <row r="424" spans="2:12" hidden="1">
      <c r="B424" s="417"/>
      <c r="C424" s="987" t="s">
        <v>116</v>
      </c>
      <c r="D424" s="987"/>
      <c r="E424" s="987"/>
      <c r="F424" s="987"/>
      <c r="G424" s="987"/>
      <c r="H424" s="987"/>
      <c r="I424" s="987"/>
      <c r="J424" s="987"/>
      <c r="K424" s="89">
        <f>SUM(K419:K423)</f>
        <v>23.02</v>
      </c>
      <c r="L424" s="90"/>
    </row>
    <row r="425" spans="2:12" hidden="1">
      <c r="B425" s="219"/>
      <c r="C425" s="219"/>
      <c r="D425" s="219"/>
      <c r="E425" s="219"/>
      <c r="F425" s="219"/>
      <c r="G425" s="219"/>
      <c r="H425" s="219"/>
      <c r="I425" s="219"/>
      <c r="J425" s="219"/>
      <c r="K425" s="219"/>
      <c r="L425" s="219"/>
    </row>
    <row r="426" spans="2:12" ht="15" hidden="1" customHeight="1">
      <c r="B426" s="85" t="str">
        <f>'[6]PLANILHA ORÇAMENTÁRIA'!D111</f>
        <v>13.2</v>
      </c>
      <c r="C426" s="1032" t="str">
        <f>'[6]PLANILHA ORÇAMENTÁRIA'!E111</f>
        <v>APLICAÇÃO E LIXAMENTO DE MASSA LÁTEX EM TETO, DUAS DEMÃOS. AF_06/2014</v>
      </c>
      <c r="D426" s="1032"/>
      <c r="E426" s="1032"/>
      <c r="F426" s="1032"/>
      <c r="G426" s="1032"/>
      <c r="H426" s="1032"/>
      <c r="I426" s="1032"/>
      <c r="J426" s="1032"/>
      <c r="K426" s="294" t="str">
        <f>'[6]PLANILHA ORÇAMENTÁRIA'!F111</f>
        <v>M2</v>
      </c>
      <c r="L426" s="295">
        <f>K433</f>
        <v>23.02</v>
      </c>
    </row>
    <row r="427" spans="2:12" hidden="1">
      <c r="B427" s="417"/>
      <c r="C427" s="983" t="s">
        <v>20</v>
      </c>
      <c r="D427" s="983"/>
      <c r="E427" s="983"/>
      <c r="F427" s="87" t="s">
        <v>22</v>
      </c>
      <c r="G427" s="413" t="s">
        <v>111</v>
      </c>
      <c r="H427" s="87" t="s">
        <v>112</v>
      </c>
      <c r="I427" s="413" t="s">
        <v>113</v>
      </c>
      <c r="J427" s="413" t="s">
        <v>114</v>
      </c>
      <c r="K427" s="89" t="s">
        <v>25</v>
      </c>
      <c r="L427" s="90"/>
    </row>
    <row r="428" spans="2:12" hidden="1">
      <c r="B428" s="417"/>
      <c r="C428" s="1028" t="s">
        <v>167</v>
      </c>
      <c r="D428" s="1028"/>
      <c r="E428" s="1028"/>
      <c r="F428" s="91"/>
      <c r="G428" s="91"/>
      <c r="H428" s="91">
        <v>2</v>
      </c>
      <c r="I428" s="91">
        <v>4.2</v>
      </c>
      <c r="J428" s="91"/>
      <c r="K428" s="418">
        <f>TRUNC(H428*I428,2)</f>
        <v>8.4</v>
      </c>
      <c r="L428" s="90"/>
    </row>
    <row r="429" spans="2:12" hidden="1">
      <c r="B429" s="417"/>
      <c r="C429" s="1028" t="s">
        <v>168</v>
      </c>
      <c r="D429" s="1028"/>
      <c r="E429" s="1028"/>
      <c r="F429" s="91"/>
      <c r="G429" s="91"/>
      <c r="H429" s="91">
        <v>2</v>
      </c>
      <c r="I429" s="91">
        <v>3.13</v>
      </c>
      <c r="J429" s="91"/>
      <c r="K429" s="418">
        <f>TRUNC(H429*I429,2)</f>
        <v>6.26</v>
      </c>
      <c r="L429" s="90"/>
    </row>
    <row r="430" spans="2:12" hidden="1">
      <c r="B430" s="417"/>
      <c r="C430" s="1028" t="s">
        <v>169</v>
      </c>
      <c r="D430" s="1028"/>
      <c r="E430" s="1028"/>
      <c r="F430" s="91"/>
      <c r="G430" s="91"/>
      <c r="H430" s="91">
        <v>1</v>
      </c>
      <c r="I430" s="91">
        <v>1.05</v>
      </c>
      <c r="J430" s="91"/>
      <c r="K430" s="418">
        <f>TRUNC(H430*I430,2)</f>
        <v>1.05</v>
      </c>
      <c r="L430" s="90"/>
    </row>
    <row r="431" spans="2:12" hidden="1">
      <c r="B431" s="417"/>
      <c r="C431" s="1028" t="s">
        <v>170</v>
      </c>
      <c r="D431" s="1028"/>
      <c r="E431" s="1028"/>
      <c r="F431" s="91"/>
      <c r="G431" s="91"/>
      <c r="H431" s="91">
        <v>2</v>
      </c>
      <c r="I431" s="91">
        <v>3.13</v>
      </c>
      <c r="J431" s="91"/>
      <c r="K431" s="418">
        <f>TRUNC(H431*I431,2)</f>
        <v>6.26</v>
      </c>
      <c r="L431" s="90"/>
    </row>
    <row r="432" spans="2:12" hidden="1">
      <c r="B432" s="417"/>
      <c r="C432" s="1028" t="s">
        <v>171</v>
      </c>
      <c r="D432" s="1028"/>
      <c r="E432" s="1028"/>
      <c r="F432" s="91"/>
      <c r="G432" s="91"/>
      <c r="H432" s="91">
        <v>1</v>
      </c>
      <c r="I432" s="91">
        <v>1.05</v>
      </c>
      <c r="J432" s="91"/>
      <c r="K432" s="418">
        <f>TRUNC(H432*I432,2)</f>
        <v>1.05</v>
      </c>
      <c r="L432" s="90"/>
    </row>
    <row r="433" spans="2:12" hidden="1">
      <c r="B433" s="417"/>
      <c r="C433" s="987" t="s">
        <v>116</v>
      </c>
      <c r="D433" s="987"/>
      <c r="E433" s="987"/>
      <c r="F433" s="987"/>
      <c r="G433" s="987"/>
      <c r="H433" s="987"/>
      <c r="I433" s="987"/>
      <c r="J433" s="987"/>
      <c r="K433" s="89">
        <f>SUM(K428:K432)</f>
        <v>23.02</v>
      </c>
      <c r="L433" s="90"/>
    </row>
    <row r="434" spans="2:12" hidden="1">
      <c r="B434" s="219"/>
      <c r="C434" s="219"/>
      <c r="D434" s="219"/>
      <c r="E434" s="219"/>
      <c r="F434" s="219"/>
      <c r="G434" s="219"/>
      <c r="H434" s="219"/>
      <c r="I434" s="219"/>
      <c r="J434" s="219"/>
      <c r="K434" s="219"/>
      <c r="L434" s="219"/>
    </row>
    <row r="435" spans="2:12" ht="15" hidden="1" customHeight="1">
      <c r="B435" s="85" t="str">
        <f>'[6]PLANILHA ORÇAMENTÁRIA'!D112</f>
        <v>13.3</v>
      </c>
      <c r="C435" s="1032" t="str">
        <f>'[6]PLANILHA ORÇAMENTÁRIA'!E112</f>
        <v>APLICAÇÃO MANUAL DE PINTURA COM TINTA LÁTEX PVA EM TETO, DUAS DEMÃOS. AF_06/2014</v>
      </c>
      <c r="D435" s="1032"/>
      <c r="E435" s="1032"/>
      <c r="F435" s="1032"/>
      <c r="G435" s="1032"/>
      <c r="H435" s="1032"/>
      <c r="I435" s="1032"/>
      <c r="J435" s="1032"/>
      <c r="K435" s="294" t="str">
        <f>'[6]PLANILHA ORÇAMENTÁRIA'!F112</f>
        <v>M2</v>
      </c>
      <c r="L435" s="295">
        <f>K442</f>
        <v>23.02</v>
      </c>
    </row>
    <row r="436" spans="2:12" hidden="1">
      <c r="B436" s="417"/>
      <c r="C436" s="983" t="s">
        <v>20</v>
      </c>
      <c r="D436" s="983"/>
      <c r="E436" s="983"/>
      <c r="F436" s="87" t="s">
        <v>22</v>
      </c>
      <c r="G436" s="413" t="s">
        <v>111</v>
      </c>
      <c r="H436" s="87" t="s">
        <v>112</v>
      </c>
      <c r="I436" s="413" t="s">
        <v>113</v>
      </c>
      <c r="J436" s="413" t="s">
        <v>114</v>
      </c>
      <c r="K436" s="89" t="s">
        <v>25</v>
      </c>
      <c r="L436" s="90"/>
    </row>
    <row r="437" spans="2:12" hidden="1">
      <c r="B437" s="417"/>
      <c r="C437" s="1028" t="s">
        <v>167</v>
      </c>
      <c r="D437" s="1028"/>
      <c r="E437" s="1028"/>
      <c r="F437" s="91"/>
      <c r="G437" s="91"/>
      <c r="H437" s="91">
        <v>2</v>
      </c>
      <c r="I437" s="91">
        <v>4.2</v>
      </c>
      <c r="J437" s="91"/>
      <c r="K437" s="418">
        <f>TRUNC(H437*I437,2)</f>
        <v>8.4</v>
      </c>
      <c r="L437" s="90"/>
    </row>
    <row r="438" spans="2:12" hidden="1">
      <c r="B438" s="417"/>
      <c r="C438" s="1028" t="s">
        <v>168</v>
      </c>
      <c r="D438" s="1028"/>
      <c r="E438" s="1028"/>
      <c r="F438" s="91"/>
      <c r="G438" s="91"/>
      <c r="H438" s="91">
        <v>2</v>
      </c>
      <c r="I438" s="91">
        <v>3.13</v>
      </c>
      <c r="J438" s="91"/>
      <c r="K438" s="418">
        <f>TRUNC(H438*I438,2)</f>
        <v>6.26</v>
      </c>
      <c r="L438" s="90"/>
    </row>
    <row r="439" spans="2:12" hidden="1">
      <c r="B439" s="417"/>
      <c r="C439" s="1028" t="s">
        <v>169</v>
      </c>
      <c r="D439" s="1028"/>
      <c r="E439" s="1028"/>
      <c r="F439" s="91"/>
      <c r="G439" s="91"/>
      <c r="H439" s="91">
        <v>1</v>
      </c>
      <c r="I439" s="91">
        <v>1.05</v>
      </c>
      <c r="J439" s="91"/>
      <c r="K439" s="418">
        <f>TRUNC(H439*I439,2)</f>
        <v>1.05</v>
      </c>
      <c r="L439" s="90"/>
    </row>
    <row r="440" spans="2:12" hidden="1">
      <c r="B440" s="417"/>
      <c r="C440" s="1028" t="s">
        <v>170</v>
      </c>
      <c r="D440" s="1028"/>
      <c r="E440" s="1028"/>
      <c r="F440" s="91"/>
      <c r="G440" s="91"/>
      <c r="H440" s="91">
        <v>2</v>
      </c>
      <c r="I440" s="91">
        <v>3.13</v>
      </c>
      <c r="J440" s="91"/>
      <c r="K440" s="418">
        <f>TRUNC(H440*I440,2)</f>
        <v>6.26</v>
      </c>
      <c r="L440" s="90"/>
    </row>
    <row r="441" spans="2:12" hidden="1">
      <c r="B441" s="417"/>
      <c r="C441" s="1028" t="s">
        <v>171</v>
      </c>
      <c r="D441" s="1028"/>
      <c r="E441" s="1028"/>
      <c r="F441" s="91"/>
      <c r="G441" s="91"/>
      <c r="H441" s="91">
        <v>1</v>
      </c>
      <c r="I441" s="91">
        <v>1.05</v>
      </c>
      <c r="J441" s="91"/>
      <c r="K441" s="418">
        <f>TRUNC(H441*I441,2)</f>
        <v>1.05</v>
      </c>
      <c r="L441" s="90"/>
    </row>
    <row r="442" spans="2:12" hidden="1">
      <c r="B442" s="417"/>
      <c r="C442" s="987" t="s">
        <v>116</v>
      </c>
      <c r="D442" s="987"/>
      <c r="E442" s="987"/>
      <c r="F442" s="987"/>
      <c r="G442" s="987"/>
      <c r="H442" s="987"/>
      <c r="I442" s="987"/>
      <c r="J442" s="987"/>
      <c r="K442" s="89">
        <f>SUM(K437:K441)</f>
        <v>23.02</v>
      </c>
      <c r="L442" s="90"/>
    </row>
    <row r="443" spans="2:12" hidden="1">
      <c r="B443" s="219"/>
      <c r="C443" s="219"/>
      <c r="D443" s="219"/>
      <c r="E443" s="219"/>
      <c r="F443" s="219"/>
      <c r="G443" s="219"/>
      <c r="H443" s="219"/>
      <c r="I443" s="219"/>
      <c r="J443" s="219"/>
      <c r="K443" s="219"/>
      <c r="L443" s="219"/>
    </row>
    <row r="444" spans="2:12" hidden="1">
      <c r="B444" s="85" t="str">
        <f>'[6]PLANILHA ORÇAMENTÁRIA'!D113</f>
        <v>13.4</v>
      </c>
      <c r="C444" s="1032" t="str">
        <f>'[6]PLANILHA ORÇAMENTÁRIA'!E113</f>
        <v>APLICAÇÃO DE FUNDO SELADOR ACRÍLICO EM PAREDES, UMA DEMÃO. AF_06/2014</v>
      </c>
      <c r="D444" s="1032"/>
      <c r="E444" s="1032"/>
      <c r="F444" s="1032"/>
      <c r="G444" s="1032"/>
      <c r="H444" s="1032"/>
      <c r="I444" s="1032"/>
      <c r="J444" s="1032"/>
      <c r="K444" s="294" t="str">
        <f>'[6]PLANILHA ORÇAMENTÁRIA'!F113</f>
        <v>M2</v>
      </c>
      <c r="L444" s="295">
        <f>K448</f>
        <v>50.4</v>
      </c>
    </row>
    <row r="445" spans="2:12" hidden="1">
      <c r="B445" s="417"/>
      <c r="C445" s="983" t="s">
        <v>20</v>
      </c>
      <c r="D445" s="983"/>
      <c r="E445" s="983"/>
      <c r="F445" s="87" t="s">
        <v>22</v>
      </c>
      <c r="G445" s="413" t="s">
        <v>111</v>
      </c>
      <c r="H445" s="87" t="s">
        <v>112</v>
      </c>
      <c r="I445" s="413" t="s">
        <v>154</v>
      </c>
      <c r="J445" s="413" t="s">
        <v>114</v>
      </c>
      <c r="K445" s="89" t="s">
        <v>25</v>
      </c>
      <c r="L445" s="90"/>
    </row>
    <row r="446" spans="2:12" ht="25.5" hidden="1" customHeight="1">
      <c r="B446" s="417"/>
      <c r="C446" s="1028" t="s">
        <v>172</v>
      </c>
      <c r="D446" s="1028"/>
      <c r="E446" s="1028"/>
      <c r="F446" s="91">
        <v>1</v>
      </c>
      <c r="G446" s="91">
        <v>2.4</v>
      </c>
      <c r="H446" s="91"/>
      <c r="I446" s="91">
        <v>12.6</v>
      </c>
      <c r="J446" s="91"/>
      <c r="K446" s="418">
        <f>TRUNC(((G446*I446)*F446)-J446,2)</f>
        <v>30.24</v>
      </c>
      <c r="L446" s="90"/>
    </row>
    <row r="447" spans="2:12" hidden="1">
      <c r="B447" s="417"/>
      <c r="C447" s="1028" t="s">
        <v>173</v>
      </c>
      <c r="D447" s="1028"/>
      <c r="E447" s="1028"/>
      <c r="F447" s="91">
        <v>1</v>
      </c>
      <c r="G447" s="91">
        <v>2.4</v>
      </c>
      <c r="H447" s="91"/>
      <c r="I447" s="91">
        <v>8.4</v>
      </c>
      <c r="J447" s="91"/>
      <c r="K447" s="418">
        <f>TRUNC(((G447*I447)*F447),2)</f>
        <v>20.16</v>
      </c>
      <c r="L447" s="90"/>
    </row>
    <row r="448" spans="2:12" hidden="1">
      <c r="B448" s="219"/>
      <c r="C448" s="987" t="s">
        <v>116</v>
      </c>
      <c r="D448" s="987"/>
      <c r="E448" s="987"/>
      <c r="F448" s="987"/>
      <c r="G448" s="987"/>
      <c r="H448" s="987"/>
      <c r="I448" s="987"/>
      <c r="J448" s="987"/>
      <c r="K448" s="89">
        <f>SUM(K446:K447)</f>
        <v>50.4</v>
      </c>
      <c r="L448" s="219"/>
    </row>
    <row r="449" spans="2:12" hidden="1">
      <c r="B449" s="219"/>
      <c r="C449" s="219"/>
      <c r="D449" s="219"/>
      <c r="E449" s="219"/>
      <c r="F449" s="219"/>
      <c r="G449" s="219"/>
      <c r="H449" s="219"/>
      <c r="I449" s="219"/>
      <c r="J449" s="219"/>
      <c r="K449" s="219"/>
      <c r="L449" s="219"/>
    </row>
    <row r="450" spans="2:12" hidden="1">
      <c r="B450" s="85" t="str">
        <f>'[6]PLANILHA ORÇAMENTÁRIA'!D114</f>
        <v>13.5</v>
      </c>
      <c r="C450" s="1032" t="str">
        <f>'[6]PLANILHA ORÇAMENTÁRIA'!E114</f>
        <v>APLICAÇÃO E LIXAMENTO DE MASSA LÁTEX EM PAREDES, UMA DEMÃO. AF_06/2014</v>
      </c>
      <c r="D450" s="1032"/>
      <c r="E450" s="1032"/>
      <c r="F450" s="1032"/>
      <c r="G450" s="1032"/>
      <c r="H450" s="1032"/>
      <c r="I450" s="1032"/>
      <c r="J450" s="1032"/>
      <c r="K450" s="294" t="str">
        <f>'[6]PLANILHA ORÇAMENTÁRIA'!F114</f>
        <v>M2</v>
      </c>
      <c r="L450" s="295">
        <f>K454</f>
        <v>50.4</v>
      </c>
    </row>
    <row r="451" spans="2:12" hidden="1">
      <c r="B451" s="417"/>
      <c r="C451" s="983" t="s">
        <v>20</v>
      </c>
      <c r="D451" s="983"/>
      <c r="E451" s="983"/>
      <c r="F451" s="87" t="s">
        <v>22</v>
      </c>
      <c r="G451" s="413" t="s">
        <v>111</v>
      </c>
      <c r="H451" s="87" t="s">
        <v>112</v>
      </c>
      <c r="I451" s="413" t="s">
        <v>154</v>
      </c>
      <c r="J451" s="413" t="s">
        <v>114</v>
      </c>
      <c r="K451" s="89" t="s">
        <v>25</v>
      </c>
      <c r="L451" s="90"/>
    </row>
    <row r="452" spans="2:12" hidden="1">
      <c r="B452" s="417"/>
      <c r="C452" s="1028" t="s">
        <v>172</v>
      </c>
      <c r="D452" s="1028"/>
      <c r="E452" s="1028"/>
      <c r="F452" s="91">
        <v>1</v>
      </c>
      <c r="G452" s="91">
        <v>2.4</v>
      </c>
      <c r="H452" s="91"/>
      <c r="I452" s="91">
        <v>12.6</v>
      </c>
      <c r="J452" s="91"/>
      <c r="K452" s="418">
        <f>TRUNC(((G452*I452)*F452)-J452,2)</f>
        <v>30.24</v>
      </c>
      <c r="L452" s="90"/>
    </row>
    <row r="453" spans="2:12" hidden="1">
      <c r="B453" s="417"/>
      <c r="C453" s="1028" t="s">
        <v>173</v>
      </c>
      <c r="D453" s="1028"/>
      <c r="E453" s="1028"/>
      <c r="F453" s="91">
        <v>1</v>
      </c>
      <c r="G453" s="91">
        <v>2.4</v>
      </c>
      <c r="H453" s="91"/>
      <c r="I453" s="91">
        <v>8.4</v>
      </c>
      <c r="J453" s="91"/>
      <c r="K453" s="418">
        <f>TRUNC(((G453*I453)*F453),2)</f>
        <v>20.16</v>
      </c>
      <c r="L453" s="90"/>
    </row>
    <row r="454" spans="2:12" hidden="1">
      <c r="B454" s="219"/>
      <c r="C454" s="987" t="s">
        <v>116</v>
      </c>
      <c r="D454" s="987"/>
      <c r="E454" s="987"/>
      <c r="F454" s="987"/>
      <c r="G454" s="987"/>
      <c r="H454" s="987"/>
      <c r="I454" s="987"/>
      <c r="J454" s="987"/>
      <c r="K454" s="89">
        <f>SUM(K452:K453)</f>
        <v>50.4</v>
      </c>
      <c r="L454" s="219"/>
    </row>
    <row r="455" spans="2:12" hidden="1">
      <c r="B455" s="219"/>
      <c r="C455" s="219"/>
      <c r="D455" s="219"/>
      <c r="E455" s="219"/>
      <c r="F455" s="219"/>
      <c r="G455" s="219"/>
      <c r="H455" s="219"/>
      <c r="I455" s="219"/>
      <c r="J455" s="219"/>
      <c r="K455" s="219"/>
      <c r="L455" s="219"/>
    </row>
    <row r="456" spans="2:12" hidden="1">
      <c r="B456" s="85" t="str">
        <f>'[6]PLANILHA ORÇAMENTÁRIA'!D115</f>
        <v>13.6</v>
      </c>
      <c r="C456" s="1032" t="str">
        <f>'[6]PLANILHA ORÇAMENTÁRIA'!E115</f>
        <v>APLICAÇÃO MANUAL DE PINTURA COM TINTA LÁTEX ACRÍLICA EM PAREDES, DUAS DEMÃOS. AF_06/2014</v>
      </c>
      <c r="D456" s="1032"/>
      <c r="E456" s="1032"/>
      <c r="F456" s="1032"/>
      <c r="G456" s="1032"/>
      <c r="H456" s="1032"/>
      <c r="I456" s="1032"/>
      <c r="J456" s="1032"/>
      <c r="K456" s="294" t="str">
        <f>'[6]PLANILHA ORÇAMENTÁRIA'!F115</f>
        <v>M2</v>
      </c>
      <c r="L456" s="295">
        <f>K460</f>
        <v>50.4</v>
      </c>
    </row>
    <row r="457" spans="2:12" hidden="1">
      <c r="B457" s="417"/>
      <c r="C457" s="983" t="s">
        <v>20</v>
      </c>
      <c r="D457" s="983"/>
      <c r="E457" s="983"/>
      <c r="F457" s="87" t="s">
        <v>22</v>
      </c>
      <c r="G457" s="413" t="s">
        <v>111</v>
      </c>
      <c r="H457" s="87" t="s">
        <v>112</v>
      </c>
      <c r="I457" s="413" t="s">
        <v>154</v>
      </c>
      <c r="J457" s="413" t="s">
        <v>114</v>
      </c>
      <c r="K457" s="89" t="s">
        <v>25</v>
      </c>
      <c r="L457" s="90"/>
    </row>
    <row r="458" spans="2:12" hidden="1">
      <c r="B458" s="417"/>
      <c r="C458" s="1028" t="s">
        <v>172</v>
      </c>
      <c r="D458" s="1028"/>
      <c r="E458" s="1028"/>
      <c r="F458" s="91">
        <v>1</v>
      </c>
      <c r="G458" s="91">
        <v>2.4</v>
      </c>
      <c r="H458" s="91"/>
      <c r="I458" s="91">
        <v>12.6</v>
      </c>
      <c r="J458" s="91"/>
      <c r="K458" s="418">
        <f>TRUNC(((G458*I458)*F458)-J458,2)</f>
        <v>30.24</v>
      </c>
      <c r="L458" s="90"/>
    </row>
    <row r="459" spans="2:12" hidden="1">
      <c r="B459" s="417"/>
      <c r="C459" s="1028" t="s">
        <v>173</v>
      </c>
      <c r="D459" s="1028"/>
      <c r="E459" s="1028"/>
      <c r="F459" s="91">
        <v>1</v>
      </c>
      <c r="G459" s="91">
        <v>2.4</v>
      </c>
      <c r="H459" s="91"/>
      <c r="I459" s="91">
        <v>8.4</v>
      </c>
      <c r="J459" s="91"/>
      <c r="K459" s="418">
        <f>TRUNC(((G459*I459)*F459),2)</f>
        <v>20.16</v>
      </c>
      <c r="L459" s="90"/>
    </row>
    <row r="460" spans="2:12" hidden="1">
      <c r="B460" s="219"/>
      <c r="C460" s="987" t="s">
        <v>116</v>
      </c>
      <c r="D460" s="987"/>
      <c r="E460" s="987"/>
      <c r="F460" s="987"/>
      <c r="G460" s="987"/>
      <c r="H460" s="987"/>
      <c r="I460" s="987"/>
      <c r="J460" s="987"/>
      <c r="K460" s="89">
        <f>SUM(K458:K459)</f>
        <v>50.4</v>
      </c>
      <c r="L460" s="219"/>
    </row>
    <row r="461" spans="2:12" hidden="1">
      <c r="B461" s="219"/>
      <c r="C461" s="219"/>
      <c r="D461" s="219"/>
      <c r="E461" s="219"/>
      <c r="F461" s="219"/>
      <c r="G461" s="219"/>
      <c r="H461" s="219"/>
      <c r="I461" s="219"/>
      <c r="J461" s="219"/>
      <c r="K461" s="219"/>
      <c r="L461" s="219"/>
    </row>
    <row r="462" spans="2:12" hidden="1">
      <c r="B462" s="292" t="str">
        <f>'[6]PLANILHA ORÇAMENTÁRIA'!D116</f>
        <v>14.0</v>
      </c>
      <c r="C462" s="1093" t="str">
        <f>'[6]PLANILHA ORÇAMENTÁRIA'!E116</f>
        <v>APARELHOS DA ACADEMIA</v>
      </c>
      <c r="D462" s="1093"/>
      <c r="E462" s="1093"/>
      <c r="F462" s="1093"/>
      <c r="G462" s="1093"/>
      <c r="H462" s="1093"/>
      <c r="I462" s="1093"/>
      <c r="J462" s="1093"/>
      <c r="K462" s="293"/>
      <c r="L462" s="293"/>
    </row>
    <row r="463" spans="2:12" hidden="1">
      <c r="B463" s="292" t="str">
        <f>'[6]PLANILHA ORÇAMENTÁRIA'!D117</f>
        <v>14.1</v>
      </c>
      <c r="C463" s="1093" t="str">
        <f>'[6]PLANILHA ORÇAMENTÁRIA'!E117</f>
        <v>BARRA PARALELA</v>
      </c>
      <c r="D463" s="1093"/>
      <c r="E463" s="1093"/>
      <c r="F463" s="1093"/>
      <c r="G463" s="1093"/>
      <c r="H463" s="1093"/>
      <c r="I463" s="1093"/>
      <c r="J463" s="1093"/>
      <c r="K463" s="293"/>
      <c r="L463" s="293"/>
    </row>
    <row r="464" spans="2:12" ht="15" hidden="1" customHeight="1">
      <c r="B464" s="85" t="str">
        <f>'[6]PLANILHA ORÇAMENTÁRIA'!D118</f>
        <v>14.1.1</v>
      </c>
      <c r="C464" s="1032" t="str">
        <f>'[6]PLANILHA ORÇAMENTÁRIA'!E118</f>
        <v>ESCAVAÇÃO MANUAL DE VALA COM PROFUNDIDADE MENOR OU IGUAL A 1,30 M</v>
      </c>
      <c r="D464" s="1032"/>
      <c r="E464" s="1032"/>
      <c r="F464" s="1032"/>
      <c r="G464" s="1032"/>
      <c r="H464" s="1032"/>
      <c r="I464" s="1032"/>
      <c r="J464" s="1032"/>
      <c r="K464" s="294" t="str">
        <f>'[6]PLANILHA ORÇAMENTÁRIA'!F118</f>
        <v>M3</v>
      </c>
      <c r="L464" s="295">
        <f>K467</f>
        <v>9.9000000000000005E-2</v>
      </c>
    </row>
    <row r="465" spans="2:12" hidden="1">
      <c r="B465" s="417"/>
      <c r="C465" s="983" t="s">
        <v>20</v>
      </c>
      <c r="D465" s="983"/>
      <c r="E465" s="983"/>
      <c r="F465" s="87" t="s">
        <v>22</v>
      </c>
      <c r="G465" s="413" t="s">
        <v>111</v>
      </c>
      <c r="H465" s="87" t="s">
        <v>112</v>
      </c>
      <c r="I465" s="413" t="s">
        <v>113</v>
      </c>
      <c r="J465" s="413" t="s">
        <v>114</v>
      </c>
      <c r="K465" s="89" t="s">
        <v>25</v>
      </c>
      <c r="L465" s="90"/>
    </row>
    <row r="466" spans="2:12" hidden="1">
      <c r="B466" s="417"/>
      <c r="C466" s="1028" t="s">
        <v>174</v>
      </c>
      <c r="D466" s="1028"/>
      <c r="E466" s="1028"/>
      <c r="F466" s="91">
        <v>8</v>
      </c>
      <c r="G466" s="91">
        <v>0.55000000000000004</v>
      </c>
      <c r="H466" s="91">
        <v>0.15</v>
      </c>
      <c r="I466" s="91">
        <v>0.15</v>
      </c>
      <c r="J466" s="91"/>
      <c r="K466" s="296">
        <f>PRODUCT(F466:I466)</f>
        <v>9.9000000000000005E-2</v>
      </c>
      <c r="L466" s="90"/>
    </row>
    <row r="467" spans="2:12" hidden="1">
      <c r="B467" s="417"/>
      <c r="C467" s="987" t="s">
        <v>116</v>
      </c>
      <c r="D467" s="987"/>
      <c r="E467" s="987"/>
      <c r="F467" s="987"/>
      <c r="G467" s="987"/>
      <c r="H467" s="987"/>
      <c r="I467" s="987"/>
      <c r="J467" s="987"/>
      <c r="K467" s="298">
        <f>SUM(K466:K466)</f>
        <v>9.9000000000000005E-2</v>
      </c>
      <c r="L467" s="90"/>
    </row>
    <row r="468" spans="2:12" hidden="1">
      <c r="B468" s="417"/>
      <c r="C468" s="211"/>
      <c r="D468" s="211"/>
      <c r="E468" s="211"/>
      <c r="F468" s="211"/>
      <c r="G468" s="211"/>
      <c r="H468" s="211"/>
      <c r="I468" s="211"/>
      <c r="J468" s="211"/>
      <c r="K468" s="299"/>
      <c r="L468" s="90"/>
    </row>
    <row r="469" spans="2:12" ht="22.5" hidden="1" customHeight="1">
      <c r="B469" s="85" t="str">
        <f>'[6]PLANILHA ORÇAMENTÁRIA'!D119</f>
        <v>14.1.2</v>
      </c>
      <c r="C469" s="1032" t="str">
        <f>'[6]PLANILHA ORÇAMENTÁRIA'!E119</f>
        <v>LASTRO DE CONCRETO MAGRO, APLICADO EM PISOS OU RADIERS, ESPESSURA DE 5CM. AF_07_2016</v>
      </c>
      <c r="D469" s="1032"/>
      <c r="E469" s="1032"/>
      <c r="F469" s="1032"/>
      <c r="G469" s="1032"/>
      <c r="H469" s="1032"/>
      <c r="I469" s="1032"/>
      <c r="J469" s="1032"/>
      <c r="K469" s="294" t="str">
        <f>'[6]PLANILHA ORÇAMENTÁRIA'!F119</f>
        <v>M2</v>
      </c>
      <c r="L469" s="295">
        <f>K472</f>
        <v>0.18</v>
      </c>
    </row>
    <row r="470" spans="2:12" hidden="1">
      <c r="B470" s="417"/>
      <c r="C470" s="983" t="s">
        <v>20</v>
      </c>
      <c r="D470" s="983"/>
      <c r="E470" s="983"/>
      <c r="F470" s="87" t="s">
        <v>22</v>
      </c>
      <c r="G470" s="413" t="s">
        <v>111</v>
      </c>
      <c r="H470" s="87" t="s">
        <v>112</v>
      </c>
      <c r="I470" s="413" t="s">
        <v>113</v>
      </c>
      <c r="J470" s="413" t="s">
        <v>114</v>
      </c>
      <c r="K470" s="89" t="s">
        <v>25</v>
      </c>
      <c r="L470" s="90"/>
    </row>
    <row r="471" spans="2:12" hidden="1">
      <c r="B471" s="417"/>
      <c r="C471" s="1028"/>
      <c r="D471" s="1028"/>
      <c r="E471" s="1028"/>
      <c r="F471" s="91">
        <v>8</v>
      </c>
      <c r="G471" s="91"/>
      <c r="H471" s="91">
        <v>0.15</v>
      </c>
      <c r="I471" s="91">
        <v>0.15</v>
      </c>
      <c r="J471" s="91"/>
      <c r="K471" s="296">
        <f>PRODUCT(F471:I471)</f>
        <v>0.18</v>
      </c>
      <c r="L471" s="90"/>
    </row>
    <row r="472" spans="2:12" hidden="1">
      <c r="B472" s="417"/>
      <c r="C472" s="987" t="s">
        <v>116</v>
      </c>
      <c r="D472" s="987"/>
      <c r="E472" s="987"/>
      <c r="F472" s="987"/>
      <c r="G472" s="987"/>
      <c r="H472" s="987"/>
      <c r="I472" s="987"/>
      <c r="J472" s="987"/>
      <c r="K472" s="298">
        <f>SUM(K471:K471)</f>
        <v>0.18</v>
      </c>
      <c r="L472" s="90"/>
    </row>
    <row r="473" spans="2:12" hidden="1">
      <c r="B473" s="417"/>
      <c r="C473" s="211"/>
      <c r="D473" s="211"/>
      <c r="E473" s="211"/>
      <c r="F473" s="211"/>
      <c r="G473" s="211"/>
      <c r="H473" s="211"/>
      <c r="I473" s="211"/>
      <c r="J473" s="211"/>
      <c r="K473" s="299"/>
      <c r="L473" s="90"/>
    </row>
    <row r="474" spans="2:12" ht="24" hidden="1" customHeight="1">
      <c r="B474" s="85" t="str">
        <f>'[6]PLANILHA ORÇAMENTÁRIA'!D120</f>
        <v>14.1.3</v>
      </c>
      <c r="C474" s="1032" t="str">
        <f>'[6]PLANILHA ORÇAMENTÁRIA'!E120</f>
        <v>CONCRETAGEM DE BLOCOS DE COROAMENTO E VIGAS BALDRAMES, FCK 30 MPA, COM USO DE BOMBA LANÇAMENTO, ADENSAMENTO E ACABAMENTO. AF_06/2017</v>
      </c>
      <c r="D474" s="1032"/>
      <c r="E474" s="1032"/>
      <c r="F474" s="1032"/>
      <c r="G474" s="1032"/>
      <c r="H474" s="1032"/>
      <c r="I474" s="1032"/>
      <c r="J474" s="1032"/>
      <c r="K474" s="294" t="str">
        <f>'[6]PLANILHA ORÇAMENTÁRIA'!F120</f>
        <v>M3</v>
      </c>
      <c r="L474" s="295">
        <f>K477</f>
        <v>7.0000000000000007E-2</v>
      </c>
    </row>
    <row r="475" spans="2:12" hidden="1">
      <c r="B475" s="417"/>
      <c r="C475" s="983" t="s">
        <v>20</v>
      </c>
      <c r="D475" s="983"/>
      <c r="E475" s="983"/>
      <c r="F475" s="87" t="s">
        <v>22</v>
      </c>
      <c r="G475" s="413" t="s">
        <v>111</v>
      </c>
      <c r="H475" s="87" t="s">
        <v>112</v>
      </c>
      <c r="I475" s="413" t="s">
        <v>113</v>
      </c>
      <c r="J475" s="413" t="s">
        <v>114</v>
      </c>
      <c r="K475" s="89" t="s">
        <v>25</v>
      </c>
      <c r="L475" s="90"/>
    </row>
    <row r="476" spans="2:12" hidden="1">
      <c r="B476" s="417"/>
      <c r="C476" s="1028" t="s">
        <v>175</v>
      </c>
      <c r="D476" s="1028"/>
      <c r="E476" s="1028"/>
      <c r="F476" s="91">
        <v>8</v>
      </c>
      <c r="G476" s="91">
        <v>0.4</v>
      </c>
      <c r="H476" s="91">
        <v>0.15</v>
      </c>
      <c r="I476" s="91">
        <v>0.15</v>
      </c>
      <c r="J476" s="91"/>
      <c r="K476" s="418">
        <f>TRUNC(G476*H476*F476*I476,2)</f>
        <v>7.0000000000000007E-2</v>
      </c>
      <c r="L476" s="90"/>
    </row>
    <row r="477" spans="2:12" hidden="1">
      <c r="B477" s="417"/>
      <c r="C477" s="987" t="s">
        <v>116</v>
      </c>
      <c r="D477" s="987"/>
      <c r="E477" s="987"/>
      <c r="F477" s="987"/>
      <c r="G477" s="987"/>
      <c r="H477" s="987"/>
      <c r="I477" s="987"/>
      <c r="J477" s="987"/>
      <c r="K477" s="89">
        <f>SUM(K476:K476)</f>
        <v>7.0000000000000007E-2</v>
      </c>
      <c r="L477" s="90"/>
    </row>
    <row r="478" spans="2:12" hidden="1">
      <c r="B478" s="219"/>
      <c r="C478" s="219"/>
      <c r="D478" s="219"/>
      <c r="E478" s="219"/>
      <c r="F478" s="219"/>
      <c r="G478" s="219"/>
      <c r="H478" s="219"/>
      <c r="I478" s="219"/>
      <c r="J478" s="219"/>
      <c r="K478" s="219"/>
      <c r="L478" s="219"/>
    </row>
    <row r="479" spans="2:12" ht="15" hidden="1" customHeight="1">
      <c r="B479" s="85" t="str">
        <f>'[6]PLANILHA ORÇAMENTÁRIA'!D121</f>
        <v>14.1.4</v>
      </c>
      <c r="C479" s="1032" t="str">
        <f>'[6]PLANILHA ORÇAMENTÁRIA'!E121</f>
        <v>TUBO DE AÇO GALVANIZADO COM COSTURA 2" - FORNECIMENTO E INSTALACAO.</v>
      </c>
      <c r="D479" s="1032"/>
      <c r="E479" s="1032"/>
      <c r="F479" s="1032"/>
      <c r="G479" s="1032"/>
      <c r="H479" s="1032"/>
      <c r="I479" s="1032"/>
      <c r="J479" s="1032"/>
      <c r="K479" s="294" t="str">
        <f>'[6]PLANILHA ORÇAMENTÁRIA'!F121</f>
        <v>M</v>
      </c>
      <c r="L479" s="295">
        <f>K483</f>
        <v>21.2</v>
      </c>
    </row>
    <row r="480" spans="2:12" hidden="1">
      <c r="B480" s="417"/>
      <c r="C480" s="983" t="s">
        <v>20</v>
      </c>
      <c r="D480" s="983"/>
      <c r="E480" s="983"/>
      <c r="F480" s="87" t="s">
        <v>22</v>
      </c>
      <c r="G480" s="413" t="s">
        <v>111</v>
      </c>
      <c r="H480" s="87" t="s">
        <v>112</v>
      </c>
      <c r="I480" s="413" t="s">
        <v>113</v>
      </c>
      <c r="J480" s="413" t="s">
        <v>114</v>
      </c>
      <c r="K480" s="89" t="s">
        <v>25</v>
      </c>
      <c r="L480" s="90"/>
    </row>
    <row r="481" spans="2:12" hidden="1">
      <c r="B481" s="417"/>
      <c r="C481" s="1028" t="s">
        <v>176</v>
      </c>
      <c r="D481" s="1028"/>
      <c r="E481" s="1028"/>
      <c r="F481" s="91">
        <v>8</v>
      </c>
      <c r="G481" s="91"/>
      <c r="H481" s="91"/>
      <c r="I481" s="91">
        <v>1.65</v>
      </c>
      <c r="J481" s="91"/>
      <c r="K481" s="418">
        <f>F481*I481</f>
        <v>13.2</v>
      </c>
      <c r="L481" s="90"/>
    </row>
    <row r="482" spans="2:12" hidden="1">
      <c r="B482" s="417"/>
      <c r="C482" s="984" t="s">
        <v>177</v>
      </c>
      <c r="D482" s="985"/>
      <c r="E482" s="986"/>
      <c r="F482" s="91">
        <v>4</v>
      </c>
      <c r="G482" s="91"/>
      <c r="H482" s="91"/>
      <c r="I482" s="91">
        <v>2</v>
      </c>
      <c r="J482" s="91"/>
      <c r="K482" s="418">
        <f>F482*I482</f>
        <v>8</v>
      </c>
      <c r="L482" s="90"/>
    </row>
    <row r="483" spans="2:12" hidden="1">
      <c r="B483" s="417"/>
      <c r="C483" s="987" t="s">
        <v>116</v>
      </c>
      <c r="D483" s="987"/>
      <c r="E483" s="987"/>
      <c r="F483" s="987"/>
      <c r="G483" s="987"/>
      <c r="H483" s="987"/>
      <c r="I483" s="987"/>
      <c r="J483" s="987"/>
      <c r="K483" s="89">
        <f>SUM(K481:K482)</f>
        <v>21.2</v>
      </c>
      <c r="L483" s="90"/>
    </row>
    <row r="484" spans="2:12" hidden="1">
      <c r="B484" s="417"/>
      <c r="C484" s="211"/>
      <c r="D484" s="211"/>
      <c r="E484" s="211"/>
      <c r="F484" s="211"/>
      <c r="G484" s="211"/>
      <c r="H484" s="211"/>
      <c r="I484" s="211"/>
      <c r="J484" s="211"/>
      <c r="K484" s="212"/>
      <c r="L484" s="90"/>
    </row>
    <row r="485" spans="2:12" ht="15" hidden="1" customHeight="1">
      <c r="B485" s="85" t="str">
        <f>'[6]PLANILHA ORÇAMENTÁRIA'!D122</f>
        <v>14.1.5</v>
      </c>
      <c r="C485" s="1032" t="str">
        <f>'[6]PLANILHA ORÇAMENTÁRIA'!E122</f>
        <v>PINTURA ESMALTE ALTO BRILHO, DUAS DEMAOS, SOBRE SUPERFICIE METALICA</v>
      </c>
      <c r="D485" s="1032"/>
      <c r="E485" s="1032"/>
      <c r="F485" s="1032"/>
      <c r="G485" s="1032"/>
      <c r="H485" s="1032"/>
      <c r="I485" s="1032"/>
      <c r="J485" s="1032"/>
      <c r="K485" s="294" t="str">
        <f>'[6]PLANILHA ORÇAMENTÁRIA'!F122</f>
        <v>M2</v>
      </c>
      <c r="L485" s="295">
        <f>K490</f>
        <v>2.76</v>
      </c>
    </row>
    <row r="486" spans="2:12" hidden="1">
      <c r="B486" s="417"/>
      <c r="C486" s="983" t="s">
        <v>20</v>
      </c>
      <c r="D486" s="983"/>
      <c r="E486" s="983"/>
      <c r="F486" s="87" t="s">
        <v>22</v>
      </c>
      <c r="G486" s="413" t="s">
        <v>111</v>
      </c>
      <c r="H486" s="87" t="s">
        <v>178</v>
      </c>
      <c r="I486" s="413" t="s">
        <v>113</v>
      </c>
      <c r="J486" s="413" t="s">
        <v>114</v>
      </c>
      <c r="K486" s="89" t="s">
        <v>25</v>
      </c>
      <c r="L486" s="90"/>
    </row>
    <row r="487" spans="2:12" hidden="1">
      <c r="B487" s="417"/>
      <c r="C487" s="1028" t="s">
        <v>176</v>
      </c>
      <c r="D487" s="1028"/>
      <c r="E487" s="1028"/>
      <c r="F487" s="91">
        <v>8</v>
      </c>
      <c r="G487" s="91"/>
      <c r="H487" s="300">
        <v>2.5000000000000001E-2</v>
      </c>
      <c r="I487" s="91">
        <v>1.2</v>
      </c>
      <c r="J487" s="91"/>
      <c r="K487" s="418">
        <f>TRUNC((2*3.14*H487*I487)*F487,2)</f>
        <v>1.5</v>
      </c>
      <c r="L487" s="90"/>
    </row>
    <row r="488" spans="2:12" hidden="1">
      <c r="B488" s="417"/>
      <c r="C488" s="984" t="s">
        <v>177</v>
      </c>
      <c r="D488" s="985"/>
      <c r="E488" s="986"/>
      <c r="F488" s="91">
        <v>4</v>
      </c>
      <c r="G488" s="91"/>
      <c r="H488" s="300">
        <v>2.5000000000000001E-2</v>
      </c>
      <c r="I488" s="91">
        <v>2</v>
      </c>
      <c r="J488" s="91"/>
      <c r="K488" s="418">
        <f>TRUNC((2*3.14*H488*I488)*F488,2)</f>
        <v>1.25</v>
      </c>
      <c r="L488" s="90"/>
    </row>
    <row r="489" spans="2:12" hidden="1">
      <c r="B489" s="417"/>
      <c r="C489" s="984" t="s">
        <v>179</v>
      </c>
      <c r="D489" s="985"/>
      <c r="E489" s="986"/>
      <c r="F489" s="91">
        <v>8</v>
      </c>
      <c r="G489" s="91"/>
      <c r="H489" s="300">
        <v>2.5000000000000001E-2</v>
      </c>
      <c r="I489" s="91"/>
      <c r="J489" s="91"/>
      <c r="K489" s="418">
        <f>TRUNC((3.14*H489^2)*F489,2)</f>
        <v>0.01</v>
      </c>
      <c r="L489" s="90"/>
    </row>
    <row r="490" spans="2:12" hidden="1">
      <c r="B490" s="417"/>
      <c r="C490" s="987" t="s">
        <v>116</v>
      </c>
      <c r="D490" s="987"/>
      <c r="E490" s="987"/>
      <c r="F490" s="987"/>
      <c r="G490" s="987"/>
      <c r="H490" s="987"/>
      <c r="I490" s="987"/>
      <c r="J490" s="987"/>
      <c r="K490" s="89">
        <f>SUM(K487:K489)</f>
        <v>2.76</v>
      </c>
      <c r="L490" s="90"/>
    </row>
    <row r="491" spans="2:12" hidden="1">
      <c r="B491" s="417"/>
      <c r="C491" s="211"/>
      <c r="D491" s="211"/>
      <c r="E491" s="211"/>
      <c r="F491" s="211"/>
      <c r="G491" s="211"/>
      <c r="H491" s="211"/>
      <c r="I491" s="211"/>
      <c r="J491" s="211"/>
      <c r="K491" s="212"/>
      <c r="L491" s="90"/>
    </row>
    <row r="492" spans="2:12" hidden="1">
      <c r="B492" s="292" t="str">
        <f>'[6]PLANILHA ORÇAMENTÁRIA'!D123</f>
        <v>14.2</v>
      </c>
      <c r="C492" s="1093" t="str">
        <f>'[6]PLANILHA ORÇAMENTÁRIA'!E123</f>
        <v>BARRAS MARINHEIRO</v>
      </c>
      <c r="D492" s="1093"/>
      <c r="E492" s="1093"/>
      <c r="F492" s="1093"/>
      <c r="G492" s="1093"/>
      <c r="H492" s="1093"/>
      <c r="I492" s="1093"/>
      <c r="J492" s="1093"/>
      <c r="K492" s="293"/>
      <c r="L492" s="293"/>
    </row>
    <row r="493" spans="2:12" ht="15" hidden="1" customHeight="1">
      <c r="B493" s="85" t="str">
        <f>'[6]PLANILHA ORÇAMENTÁRIA'!D124</f>
        <v>14.2.1</v>
      </c>
      <c r="C493" s="1032" t="str">
        <f>'[6]PLANILHA ORÇAMENTÁRIA'!E124</f>
        <v>ESCAVAÇÃO MANUAL DE VALA COM PROFUNDIDADE MENOR OU IGUAL A 1,30 M</v>
      </c>
      <c r="D493" s="1032"/>
      <c r="E493" s="1032"/>
      <c r="F493" s="1032"/>
      <c r="G493" s="1032"/>
      <c r="H493" s="1032"/>
      <c r="I493" s="1032"/>
      <c r="J493" s="1032"/>
      <c r="K493" s="294" t="str">
        <f>'[6]PLANILHA ORÇAMENTÁRIA'!F124</f>
        <v>M3</v>
      </c>
      <c r="L493" s="295">
        <f>K496</f>
        <v>0.14849999999999999</v>
      </c>
    </row>
    <row r="494" spans="2:12" hidden="1">
      <c r="B494" s="417"/>
      <c r="C494" s="983" t="s">
        <v>20</v>
      </c>
      <c r="D494" s="983"/>
      <c r="E494" s="983"/>
      <c r="F494" s="87" t="s">
        <v>22</v>
      </c>
      <c r="G494" s="413" t="s">
        <v>111</v>
      </c>
      <c r="H494" s="87" t="s">
        <v>112</v>
      </c>
      <c r="I494" s="413" t="s">
        <v>113</v>
      </c>
      <c r="J494" s="413" t="s">
        <v>114</v>
      </c>
      <c r="K494" s="89" t="s">
        <v>25</v>
      </c>
      <c r="L494" s="90"/>
    </row>
    <row r="495" spans="2:12" hidden="1">
      <c r="B495" s="417"/>
      <c r="C495" s="1028" t="s">
        <v>174</v>
      </c>
      <c r="D495" s="1028"/>
      <c r="E495" s="1028"/>
      <c r="F495" s="91">
        <v>12</v>
      </c>
      <c r="G495" s="91">
        <v>0.55000000000000004</v>
      </c>
      <c r="H495" s="91">
        <v>0.15</v>
      </c>
      <c r="I495" s="91">
        <v>0.15</v>
      </c>
      <c r="J495" s="91"/>
      <c r="K495" s="296">
        <f>PRODUCT(F495:I495)</f>
        <v>0.14849999999999999</v>
      </c>
      <c r="L495" s="90"/>
    </row>
    <row r="496" spans="2:12" hidden="1">
      <c r="B496" s="417"/>
      <c r="C496" s="987" t="s">
        <v>116</v>
      </c>
      <c r="D496" s="987"/>
      <c r="E496" s="987"/>
      <c r="F496" s="987"/>
      <c r="G496" s="987"/>
      <c r="H496" s="987"/>
      <c r="I496" s="987"/>
      <c r="J496" s="987"/>
      <c r="K496" s="298">
        <f>SUM(K495:K495)</f>
        <v>0.14849999999999999</v>
      </c>
      <c r="L496" s="90"/>
    </row>
    <row r="497" spans="2:12" hidden="1">
      <c r="B497" s="417"/>
      <c r="C497" s="211"/>
      <c r="D497" s="211"/>
      <c r="E497" s="211"/>
      <c r="F497" s="211"/>
      <c r="G497" s="211"/>
      <c r="H497" s="211"/>
      <c r="I497" s="211"/>
      <c r="J497" s="211"/>
      <c r="K497" s="299"/>
      <c r="L497" s="90"/>
    </row>
    <row r="498" spans="2:12" ht="15" hidden="1" customHeight="1">
      <c r="B498" s="85" t="str">
        <f>'[6]PLANILHA ORÇAMENTÁRIA'!D125</f>
        <v>14.2.2</v>
      </c>
      <c r="C498" s="1032" t="str">
        <f>'[6]PLANILHA ORÇAMENTÁRIA'!E125</f>
        <v>LASTRO DE CONCRETO MAGRO, APLICADO EM PISOS OU RADIERS, ESPESSURA DE 5CM. AF_07_2016</v>
      </c>
      <c r="D498" s="1032"/>
      <c r="E498" s="1032"/>
      <c r="F498" s="1032"/>
      <c r="G498" s="1032"/>
      <c r="H498" s="1032"/>
      <c r="I498" s="1032"/>
      <c r="J498" s="1032"/>
      <c r="K498" s="294" t="str">
        <f>'[6]PLANILHA ORÇAMENTÁRIA'!F125</f>
        <v>M2</v>
      </c>
      <c r="L498" s="295">
        <f>K501</f>
        <v>0.26999999999999996</v>
      </c>
    </row>
    <row r="499" spans="2:12" hidden="1">
      <c r="B499" s="417"/>
      <c r="C499" s="983" t="s">
        <v>20</v>
      </c>
      <c r="D499" s="983"/>
      <c r="E499" s="983"/>
      <c r="F499" s="87" t="s">
        <v>22</v>
      </c>
      <c r="G499" s="413" t="s">
        <v>111</v>
      </c>
      <c r="H499" s="87" t="s">
        <v>112</v>
      </c>
      <c r="I499" s="413" t="s">
        <v>113</v>
      </c>
      <c r="J499" s="413" t="s">
        <v>114</v>
      </c>
      <c r="K499" s="89" t="s">
        <v>25</v>
      </c>
      <c r="L499" s="90"/>
    </row>
    <row r="500" spans="2:12" hidden="1">
      <c r="B500" s="417"/>
      <c r="C500" s="1028"/>
      <c r="D500" s="1028"/>
      <c r="E500" s="1028"/>
      <c r="F500" s="91">
        <v>12</v>
      </c>
      <c r="G500" s="91"/>
      <c r="H500" s="91">
        <v>0.15</v>
      </c>
      <c r="I500" s="91">
        <v>0.15</v>
      </c>
      <c r="J500" s="91"/>
      <c r="K500" s="296">
        <f>PRODUCT(F500:I500)</f>
        <v>0.26999999999999996</v>
      </c>
      <c r="L500" s="90"/>
    </row>
    <row r="501" spans="2:12" hidden="1">
      <c r="B501" s="417"/>
      <c r="C501" s="987" t="s">
        <v>116</v>
      </c>
      <c r="D501" s="987"/>
      <c r="E501" s="987"/>
      <c r="F501" s="987"/>
      <c r="G501" s="987"/>
      <c r="H501" s="987"/>
      <c r="I501" s="987"/>
      <c r="J501" s="987"/>
      <c r="K501" s="298">
        <f>SUM(K500:K500)</f>
        <v>0.26999999999999996</v>
      </c>
      <c r="L501" s="90"/>
    </row>
    <row r="502" spans="2:12" hidden="1">
      <c r="B502" s="417"/>
      <c r="C502" s="211"/>
      <c r="D502" s="211"/>
      <c r="E502" s="211"/>
      <c r="F502" s="211"/>
      <c r="G502" s="211"/>
      <c r="H502" s="211"/>
      <c r="I502" s="211"/>
      <c r="J502" s="211"/>
      <c r="K502" s="299"/>
      <c r="L502" s="90"/>
    </row>
    <row r="503" spans="2:12" ht="22.5" hidden="1" customHeight="1">
      <c r="B503" s="85" t="str">
        <f>'[6]PLANILHA ORÇAMENTÁRIA'!D126</f>
        <v>14.2.3</v>
      </c>
      <c r="C503" s="1032" t="str">
        <f>'[6]PLANILHA ORÇAMENTÁRIA'!E126</f>
        <v>CONCRETAGEM DE BLOCOS DE COROAMENTO E VIGAS BALDRAMES, FCK 30 MPA, COM USO DE BOMBA LANÇAMENTO, ADENSAMENTO E ACABAMENTO. AF_06/2017</v>
      </c>
      <c r="D503" s="1032"/>
      <c r="E503" s="1032"/>
      <c r="F503" s="1032"/>
      <c r="G503" s="1032"/>
      <c r="H503" s="1032"/>
      <c r="I503" s="1032"/>
      <c r="J503" s="1032"/>
      <c r="K503" s="294" t="str">
        <f>'[6]PLANILHA ORÇAMENTÁRIA'!F126</f>
        <v>M3</v>
      </c>
      <c r="L503" s="295">
        <f>K506</f>
        <v>0.1</v>
      </c>
    </row>
    <row r="504" spans="2:12" hidden="1">
      <c r="B504" s="417"/>
      <c r="C504" s="983" t="s">
        <v>20</v>
      </c>
      <c r="D504" s="983"/>
      <c r="E504" s="983"/>
      <c r="F504" s="87" t="s">
        <v>22</v>
      </c>
      <c r="G504" s="413" t="s">
        <v>111</v>
      </c>
      <c r="H504" s="87" t="s">
        <v>112</v>
      </c>
      <c r="I504" s="413" t="s">
        <v>113</v>
      </c>
      <c r="J504" s="413" t="s">
        <v>114</v>
      </c>
      <c r="K504" s="89" t="s">
        <v>25</v>
      </c>
      <c r="L504" s="90"/>
    </row>
    <row r="505" spans="2:12" hidden="1">
      <c r="B505" s="417"/>
      <c r="C505" s="1028" t="s">
        <v>175</v>
      </c>
      <c r="D505" s="1028"/>
      <c r="E505" s="1028"/>
      <c r="F505" s="91">
        <v>12</v>
      </c>
      <c r="G505" s="91">
        <v>0.4</v>
      </c>
      <c r="H505" s="91">
        <v>0.15</v>
      </c>
      <c r="I505" s="91">
        <v>0.15</v>
      </c>
      <c r="J505" s="91"/>
      <c r="K505" s="418">
        <f>TRUNC(G505*H505*F505*I505,2)</f>
        <v>0.1</v>
      </c>
      <c r="L505" s="90"/>
    </row>
    <row r="506" spans="2:12" hidden="1">
      <c r="B506" s="417"/>
      <c r="C506" s="987" t="s">
        <v>116</v>
      </c>
      <c r="D506" s="987"/>
      <c r="E506" s="987"/>
      <c r="F506" s="987"/>
      <c r="G506" s="987"/>
      <c r="H506" s="987"/>
      <c r="I506" s="987"/>
      <c r="J506" s="987"/>
      <c r="K506" s="89">
        <f>SUM(K505:K505)</f>
        <v>0.1</v>
      </c>
      <c r="L506" s="90"/>
    </row>
    <row r="507" spans="2:12" hidden="1">
      <c r="B507" s="219"/>
      <c r="C507" s="219"/>
      <c r="D507" s="219"/>
      <c r="E507" s="219"/>
      <c r="F507" s="219"/>
      <c r="G507" s="219"/>
      <c r="H507" s="219"/>
      <c r="I507" s="219"/>
      <c r="J507" s="219"/>
      <c r="K507" s="219"/>
      <c r="L507" s="219"/>
    </row>
    <row r="508" spans="2:12" ht="15" hidden="1" customHeight="1">
      <c r="B508" s="85" t="str">
        <f>'[6]PLANILHA ORÇAMENTÁRIA'!D127</f>
        <v>14.2.4</v>
      </c>
      <c r="C508" s="1032" t="str">
        <f>'[6]PLANILHA ORÇAMENTÁRIA'!E127</f>
        <v>TUBO DE AÇO GALVANIZADO COM COSTURA 2" - FORNECIMENTO E INSTALACAO. - M</v>
      </c>
      <c r="D508" s="1032"/>
      <c r="E508" s="1032"/>
      <c r="F508" s="1032"/>
      <c r="G508" s="1032"/>
      <c r="H508" s="1032"/>
      <c r="I508" s="1032"/>
      <c r="J508" s="1032"/>
      <c r="K508" s="294" t="str">
        <f>'[6]PLANILHA ORÇAMENTÁRIA'!F127</f>
        <v>M</v>
      </c>
      <c r="L508" s="295">
        <f>K513</f>
        <v>19.100000000000001</v>
      </c>
    </row>
    <row r="509" spans="2:12" hidden="1">
      <c r="B509" s="417"/>
      <c r="C509" s="983" t="s">
        <v>20</v>
      </c>
      <c r="D509" s="983"/>
      <c r="E509" s="983"/>
      <c r="F509" s="87" t="s">
        <v>22</v>
      </c>
      <c r="G509" s="413" t="s">
        <v>111</v>
      </c>
      <c r="H509" s="87" t="s">
        <v>112</v>
      </c>
      <c r="I509" s="413" t="s">
        <v>113</v>
      </c>
      <c r="J509" s="413" t="s">
        <v>114</v>
      </c>
      <c r="K509" s="89" t="s">
        <v>25</v>
      </c>
      <c r="L509" s="90"/>
    </row>
    <row r="510" spans="2:12" hidden="1">
      <c r="B510" s="417"/>
      <c r="C510" s="1028" t="s">
        <v>180</v>
      </c>
      <c r="D510" s="1028"/>
      <c r="E510" s="1028"/>
      <c r="F510" s="91">
        <v>2</v>
      </c>
      <c r="G510" s="91"/>
      <c r="H510" s="91"/>
      <c r="I510" s="91">
        <v>3.56</v>
      </c>
      <c r="J510" s="91"/>
      <c r="K510" s="418">
        <f>F510*I510</f>
        <v>7.12</v>
      </c>
      <c r="L510" s="90"/>
    </row>
    <row r="511" spans="2:12" hidden="1">
      <c r="B511" s="417"/>
      <c r="C511" s="984" t="s">
        <v>181</v>
      </c>
      <c r="D511" s="985"/>
      <c r="E511" s="986"/>
      <c r="F511" s="91">
        <v>2</v>
      </c>
      <c r="G511" s="91"/>
      <c r="H511" s="91"/>
      <c r="I511" s="91">
        <v>3.16</v>
      </c>
      <c r="J511" s="91"/>
      <c r="K511" s="418">
        <f>F511*I511</f>
        <v>6.32</v>
      </c>
      <c r="L511" s="90"/>
    </row>
    <row r="512" spans="2:12" hidden="1">
      <c r="B512" s="417"/>
      <c r="C512" s="984" t="s">
        <v>182</v>
      </c>
      <c r="D512" s="985"/>
      <c r="E512" s="986"/>
      <c r="F512" s="91">
        <v>2</v>
      </c>
      <c r="G512" s="91"/>
      <c r="H512" s="91"/>
      <c r="I512" s="91">
        <v>2.83</v>
      </c>
      <c r="J512" s="91"/>
      <c r="K512" s="418">
        <f>F512*I512</f>
        <v>5.66</v>
      </c>
      <c r="L512" s="90"/>
    </row>
    <row r="513" spans="2:12" hidden="1">
      <c r="B513" s="417"/>
      <c r="C513" s="987" t="s">
        <v>116</v>
      </c>
      <c r="D513" s="987"/>
      <c r="E513" s="987"/>
      <c r="F513" s="987"/>
      <c r="G513" s="987"/>
      <c r="H513" s="987"/>
      <c r="I513" s="987"/>
      <c r="J513" s="987"/>
      <c r="K513" s="89">
        <f>SUM(K510:K512)</f>
        <v>19.100000000000001</v>
      </c>
      <c r="L513" s="90"/>
    </row>
    <row r="514" spans="2:12" hidden="1">
      <c r="B514" s="417"/>
      <c r="C514" s="211"/>
      <c r="D514" s="211"/>
      <c r="E514" s="211"/>
      <c r="F514" s="211"/>
      <c r="G514" s="211"/>
      <c r="H514" s="211"/>
      <c r="I514" s="211"/>
      <c r="J514" s="211"/>
      <c r="K514" s="212"/>
      <c r="L514" s="90"/>
    </row>
    <row r="515" spans="2:12" ht="15" hidden="1" customHeight="1">
      <c r="B515" s="85" t="str">
        <f>'[6]PLANILHA ORÇAMENTÁRIA'!D128</f>
        <v>14.2.5</v>
      </c>
      <c r="C515" s="1032" t="str">
        <f>'[6]PLANILHA ORÇAMENTÁRIA'!E128</f>
        <v>PINTURA ESMALTE ALTO BRILHO, DUAS DEMAOS, SOBRE SUPERFICIE METALICA</v>
      </c>
      <c r="D515" s="1032"/>
      <c r="E515" s="1032"/>
      <c r="F515" s="1032"/>
      <c r="G515" s="1032"/>
      <c r="H515" s="1032"/>
      <c r="I515" s="1032"/>
      <c r="J515" s="1032"/>
      <c r="K515" s="294" t="str">
        <f>'[6]PLANILHA ORÇAMENTÁRIA'!F128</f>
        <v>M2</v>
      </c>
      <c r="L515" s="295">
        <f>K520</f>
        <v>2.13</v>
      </c>
    </row>
    <row r="516" spans="2:12" hidden="1">
      <c r="B516" s="417"/>
      <c r="C516" s="983" t="s">
        <v>20</v>
      </c>
      <c r="D516" s="983"/>
      <c r="E516" s="983"/>
      <c r="F516" s="87" t="s">
        <v>22</v>
      </c>
      <c r="G516" s="413" t="s">
        <v>111</v>
      </c>
      <c r="H516" s="87" t="s">
        <v>178</v>
      </c>
      <c r="I516" s="413" t="s">
        <v>113</v>
      </c>
      <c r="J516" s="413" t="s">
        <v>114</v>
      </c>
      <c r="K516" s="89" t="s">
        <v>25</v>
      </c>
      <c r="L516" s="90"/>
    </row>
    <row r="517" spans="2:12" hidden="1">
      <c r="B517" s="417"/>
      <c r="C517" s="1028" t="s">
        <v>180</v>
      </c>
      <c r="D517" s="1028"/>
      <c r="E517" s="1028"/>
      <c r="F517" s="91">
        <v>2</v>
      </c>
      <c r="G517" s="91"/>
      <c r="H517" s="300">
        <v>2.5000000000000001E-2</v>
      </c>
      <c r="I517" s="91">
        <f>I510-0.9</f>
        <v>2.66</v>
      </c>
      <c r="J517" s="91"/>
      <c r="K517" s="418">
        <f>TRUNC((2*3.14*H517*I517)*F517,2)</f>
        <v>0.83</v>
      </c>
      <c r="L517" s="90"/>
    </row>
    <row r="518" spans="2:12" hidden="1">
      <c r="B518" s="417"/>
      <c r="C518" s="984" t="s">
        <v>181</v>
      </c>
      <c r="D518" s="985"/>
      <c r="E518" s="986"/>
      <c r="F518" s="91">
        <v>2</v>
      </c>
      <c r="G518" s="91"/>
      <c r="H518" s="300">
        <v>2.5000000000000001E-2</v>
      </c>
      <c r="I518" s="91">
        <f>I511-0.9</f>
        <v>2.2600000000000002</v>
      </c>
      <c r="J518" s="91"/>
      <c r="K518" s="418">
        <f>TRUNC((2*3.14*H518*I518)*F518,2)</f>
        <v>0.7</v>
      </c>
      <c r="L518" s="90"/>
    </row>
    <row r="519" spans="2:12" hidden="1">
      <c r="B519" s="417"/>
      <c r="C519" s="984" t="s">
        <v>182</v>
      </c>
      <c r="D519" s="985"/>
      <c r="E519" s="986"/>
      <c r="F519" s="91">
        <v>2</v>
      </c>
      <c r="G519" s="91"/>
      <c r="H519" s="300">
        <v>2.5000000000000001E-2</v>
      </c>
      <c r="I519" s="91">
        <f>I512-0.9</f>
        <v>1.9300000000000002</v>
      </c>
      <c r="J519" s="91"/>
      <c r="K519" s="418">
        <f>TRUNC((2*3.14*H519*I519)*F519,2)</f>
        <v>0.6</v>
      </c>
      <c r="L519" s="90"/>
    </row>
    <row r="520" spans="2:12" hidden="1">
      <c r="B520" s="417"/>
      <c r="C520" s="987" t="s">
        <v>116</v>
      </c>
      <c r="D520" s="987"/>
      <c r="E520" s="987"/>
      <c r="F520" s="987"/>
      <c r="G520" s="987"/>
      <c r="H520" s="987"/>
      <c r="I520" s="987"/>
      <c r="J520" s="987"/>
      <c r="K520" s="89">
        <f>SUM(K517:K519)</f>
        <v>2.13</v>
      </c>
      <c r="L520" s="90"/>
    </row>
    <row r="521" spans="2:12" hidden="1">
      <c r="B521" s="219"/>
      <c r="C521" s="219"/>
      <c r="D521" s="219"/>
      <c r="E521" s="219"/>
      <c r="F521" s="219"/>
      <c r="G521" s="219"/>
      <c r="H521" s="219"/>
      <c r="I521" s="219"/>
      <c r="J521" s="219"/>
      <c r="K521" s="219"/>
      <c r="L521" s="219"/>
    </row>
    <row r="522" spans="2:12" hidden="1">
      <c r="B522" s="292" t="str">
        <f>'[6]PLANILHA ORÇAMENTÁRIA'!D129</f>
        <v>14.3</v>
      </c>
      <c r="C522" s="1093" t="str">
        <f>'[6]PLANILHA ORÇAMENTÁRIA'!E129</f>
        <v>BARRA HORIZONTAL TRIPLA</v>
      </c>
      <c r="D522" s="1093"/>
      <c r="E522" s="1093"/>
      <c r="F522" s="1093"/>
      <c r="G522" s="1093"/>
      <c r="H522" s="1093"/>
      <c r="I522" s="1093"/>
      <c r="J522" s="1093"/>
      <c r="K522" s="293"/>
      <c r="L522" s="293"/>
    </row>
    <row r="523" spans="2:12" ht="15" hidden="1" customHeight="1">
      <c r="B523" s="85" t="str">
        <f>'[6]PLANILHA ORÇAMENTÁRIA'!D130</f>
        <v>14.3.1</v>
      </c>
      <c r="C523" s="1032" t="str">
        <f>'[6]PLANILHA ORÇAMENTÁRIA'!E130</f>
        <v>ESCAVAÇÃO MANUAL DE VALA COM PROFUNDIDADE MENOR OU IGUAL A 1,30 M</v>
      </c>
      <c r="D523" s="1032"/>
      <c r="E523" s="1032"/>
      <c r="F523" s="1032"/>
      <c r="G523" s="1032"/>
      <c r="H523" s="1032"/>
      <c r="I523" s="1032"/>
      <c r="J523" s="1032"/>
      <c r="K523" s="294" t="str">
        <f>'[6]PLANILHA ORÇAMENTÁRIA'!F130</f>
        <v>M3</v>
      </c>
      <c r="L523" s="295">
        <f>K528</f>
        <v>7.5374999999999998E-2</v>
      </c>
    </row>
    <row r="524" spans="2:12" hidden="1">
      <c r="B524" s="417"/>
      <c r="C524" s="983" t="s">
        <v>20</v>
      </c>
      <c r="D524" s="983"/>
      <c r="E524" s="983"/>
      <c r="F524" s="87" t="s">
        <v>22</v>
      </c>
      <c r="G524" s="413" t="s">
        <v>111</v>
      </c>
      <c r="H524" s="87" t="s">
        <v>112</v>
      </c>
      <c r="I524" s="413" t="s">
        <v>113</v>
      </c>
      <c r="J524" s="413" t="s">
        <v>114</v>
      </c>
      <c r="K524" s="89" t="s">
        <v>25</v>
      </c>
      <c r="L524" s="90"/>
    </row>
    <row r="525" spans="2:12" hidden="1">
      <c r="B525" s="417"/>
      <c r="C525" s="1028" t="s">
        <v>183</v>
      </c>
      <c r="D525" s="1028"/>
      <c r="E525" s="1028"/>
      <c r="F525" s="91">
        <v>2</v>
      </c>
      <c r="G525" s="91">
        <v>0.9</v>
      </c>
      <c r="H525" s="91">
        <v>0.15</v>
      </c>
      <c r="I525" s="91">
        <v>0.15</v>
      </c>
      <c r="J525" s="91"/>
      <c r="K525" s="296">
        <f>PRODUCT(F525:I525)</f>
        <v>4.0500000000000001E-2</v>
      </c>
      <c r="L525" s="90"/>
    </row>
    <row r="526" spans="2:12" hidden="1">
      <c r="B526" s="417"/>
      <c r="C526" s="1028" t="s">
        <v>184</v>
      </c>
      <c r="D526" s="1028"/>
      <c r="E526" s="1028"/>
      <c r="F526" s="91">
        <v>1</v>
      </c>
      <c r="G526" s="91">
        <v>0.8</v>
      </c>
      <c r="H526" s="91">
        <v>0.15</v>
      </c>
      <c r="I526" s="91">
        <v>0.15</v>
      </c>
      <c r="J526" s="91"/>
      <c r="K526" s="296">
        <f>PRODUCT(F526:I526)</f>
        <v>1.7999999999999999E-2</v>
      </c>
      <c r="L526" s="90"/>
    </row>
    <row r="527" spans="2:12" hidden="1">
      <c r="B527" s="417"/>
      <c r="C527" s="1028" t="s">
        <v>185</v>
      </c>
      <c r="D527" s="1028"/>
      <c r="E527" s="1028"/>
      <c r="F527" s="91">
        <v>1</v>
      </c>
      <c r="G527" s="91">
        <v>0.75</v>
      </c>
      <c r="H527" s="91">
        <v>0.15</v>
      </c>
      <c r="I527" s="91">
        <v>0.15</v>
      </c>
      <c r="J527" s="91"/>
      <c r="K527" s="296">
        <f>PRODUCT(F527:I527)</f>
        <v>1.6874999999999998E-2</v>
      </c>
      <c r="L527" s="90"/>
    </row>
    <row r="528" spans="2:12" hidden="1">
      <c r="B528" s="417"/>
      <c r="C528" s="987" t="s">
        <v>116</v>
      </c>
      <c r="D528" s="987"/>
      <c r="E528" s="987"/>
      <c r="F528" s="987"/>
      <c r="G528" s="987"/>
      <c r="H528" s="987"/>
      <c r="I528" s="987"/>
      <c r="J528" s="987"/>
      <c r="K528" s="298">
        <f>SUM(K525:K527)</f>
        <v>7.5374999999999998E-2</v>
      </c>
      <c r="L528" s="90"/>
    </row>
    <row r="529" spans="2:12" hidden="1">
      <c r="B529" s="417"/>
      <c r="C529" s="211"/>
      <c r="D529" s="211"/>
      <c r="E529" s="211"/>
      <c r="F529" s="211"/>
      <c r="G529" s="211"/>
      <c r="H529" s="211"/>
      <c r="I529" s="211"/>
      <c r="J529" s="211"/>
      <c r="K529" s="299"/>
      <c r="L529" s="90"/>
    </row>
    <row r="530" spans="2:12" ht="15" hidden="1" customHeight="1">
      <c r="B530" s="85" t="str">
        <f>'[6]PLANILHA ORÇAMENTÁRIA'!D131</f>
        <v>14.3.2</v>
      </c>
      <c r="C530" s="1032" t="str">
        <f>'[6]PLANILHA ORÇAMENTÁRIA'!E131</f>
        <v>LASTRO DE CONCRETO MAGRO, APLICADO EM PISOS OU RADIERS, ESPESSURA DE 5CM. AF_07_2016</v>
      </c>
      <c r="D530" s="1032"/>
      <c r="E530" s="1032"/>
      <c r="F530" s="1032"/>
      <c r="G530" s="1032"/>
      <c r="H530" s="1032"/>
      <c r="I530" s="1032"/>
      <c r="J530" s="1032"/>
      <c r="K530" s="294" t="str">
        <f>'[6]PLANILHA ORÇAMENTÁRIA'!F131</f>
        <v>M2</v>
      </c>
      <c r="L530" s="295">
        <f>K533</f>
        <v>0.09</v>
      </c>
    </row>
    <row r="531" spans="2:12" hidden="1">
      <c r="B531" s="417"/>
      <c r="C531" s="983" t="s">
        <v>20</v>
      </c>
      <c r="D531" s="983"/>
      <c r="E531" s="983"/>
      <c r="F531" s="87" t="s">
        <v>22</v>
      </c>
      <c r="G531" s="413" t="s">
        <v>111</v>
      </c>
      <c r="H531" s="87" t="s">
        <v>112</v>
      </c>
      <c r="I531" s="413" t="s">
        <v>113</v>
      </c>
      <c r="J531" s="413" t="s">
        <v>114</v>
      </c>
      <c r="K531" s="89" t="s">
        <v>25</v>
      </c>
      <c r="L531" s="90"/>
    </row>
    <row r="532" spans="2:12" hidden="1">
      <c r="B532" s="417"/>
      <c r="C532" s="1028"/>
      <c r="D532" s="1028"/>
      <c r="E532" s="1028"/>
      <c r="F532" s="91">
        <v>4</v>
      </c>
      <c r="G532" s="91"/>
      <c r="H532" s="91">
        <v>0.15</v>
      </c>
      <c r="I532" s="91">
        <v>0.15</v>
      </c>
      <c r="J532" s="91"/>
      <c r="K532" s="296">
        <f>PRODUCT(F532:I532)</f>
        <v>0.09</v>
      </c>
      <c r="L532" s="90"/>
    </row>
    <row r="533" spans="2:12" hidden="1">
      <c r="B533" s="417"/>
      <c r="C533" s="987" t="s">
        <v>116</v>
      </c>
      <c r="D533" s="987"/>
      <c r="E533" s="987"/>
      <c r="F533" s="987"/>
      <c r="G533" s="987"/>
      <c r="H533" s="987"/>
      <c r="I533" s="987"/>
      <c r="J533" s="987"/>
      <c r="K533" s="298">
        <f>SUM(K532:K532)</f>
        <v>0.09</v>
      </c>
      <c r="L533" s="90"/>
    </row>
    <row r="534" spans="2:12" hidden="1">
      <c r="B534" s="417"/>
      <c r="C534" s="211"/>
      <c r="D534" s="211"/>
      <c r="E534" s="211"/>
      <c r="F534" s="211"/>
      <c r="G534" s="211"/>
      <c r="H534" s="211"/>
      <c r="I534" s="211"/>
      <c r="J534" s="211"/>
      <c r="K534" s="299"/>
      <c r="L534" s="90"/>
    </row>
    <row r="535" spans="2:12" ht="27" hidden="1" customHeight="1">
      <c r="B535" s="85" t="str">
        <f>'[6]PLANILHA ORÇAMENTÁRIA'!D132</f>
        <v>14.3.3</v>
      </c>
      <c r="C535" s="1032" t="str">
        <f>'[6]PLANILHA ORÇAMENTÁRIA'!E132</f>
        <v>CONCRETAGEM DE BLOCOS DE COROAMENTO E VIGAS BALDRAMES, FCK 30 MPA, COM USO DE BOMBA LANÇAMENTO, ADENSAMENTO E ACABAMENTO. AF_06/2017</v>
      </c>
      <c r="D535" s="1032"/>
      <c r="E535" s="1032"/>
      <c r="F535" s="1032"/>
      <c r="G535" s="1032"/>
      <c r="H535" s="1032"/>
      <c r="I535" s="1032"/>
      <c r="J535" s="1032"/>
      <c r="K535" s="294" t="str">
        <f>'[6]PLANILHA ORÇAMENTÁRIA'!F132</f>
        <v>M3</v>
      </c>
      <c r="L535" s="295">
        <f>K540</f>
        <v>0.05</v>
      </c>
    </row>
    <row r="536" spans="2:12" hidden="1">
      <c r="B536" s="417"/>
      <c r="C536" s="983" t="s">
        <v>20</v>
      </c>
      <c r="D536" s="983"/>
      <c r="E536" s="983"/>
      <c r="F536" s="87" t="s">
        <v>22</v>
      </c>
      <c r="G536" s="413" t="s">
        <v>111</v>
      </c>
      <c r="H536" s="87" t="s">
        <v>112</v>
      </c>
      <c r="I536" s="413" t="s">
        <v>113</v>
      </c>
      <c r="J536" s="413" t="s">
        <v>114</v>
      </c>
      <c r="K536" s="89" t="s">
        <v>25</v>
      </c>
      <c r="L536" s="90"/>
    </row>
    <row r="537" spans="2:12" hidden="1">
      <c r="B537" s="417"/>
      <c r="C537" s="1028" t="s">
        <v>186</v>
      </c>
      <c r="D537" s="1028"/>
      <c r="E537" s="1028"/>
      <c r="F537" s="91">
        <v>2</v>
      </c>
      <c r="G537" s="91">
        <v>0.75</v>
      </c>
      <c r="H537" s="91">
        <v>0.15</v>
      </c>
      <c r="I537" s="91">
        <v>0.15</v>
      </c>
      <c r="J537" s="91"/>
      <c r="K537" s="418">
        <f>TRUNC(G537*H537*F537*I537,2)</f>
        <v>0.03</v>
      </c>
      <c r="L537" s="90"/>
    </row>
    <row r="538" spans="2:12" hidden="1">
      <c r="B538" s="417"/>
      <c r="C538" s="1028" t="s">
        <v>187</v>
      </c>
      <c r="D538" s="1028"/>
      <c r="E538" s="1028"/>
      <c r="F538" s="91">
        <v>1</v>
      </c>
      <c r="G538" s="91">
        <v>0.65</v>
      </c>
      <c r="H538" s="91">
        <v>0.15</v>
      </c>
      <c r="I538" s="91">
        <v>0.15</v>
      </c>
      <c r="J538" s="91"/>
      <c r="K538" s="418">
        <f>TRUNC(G538*H538*F538*I538,2)</f>
        <v>0.01</v>
      </c>
      <c r="L538" s="90"/>
    </row>
    <row r="539" spans="2:12" hidden="1">
      <c r="B539" s="417"/>
      <c r="C539" s="1028" t="s">
        <v>188</v>
      </c>
      <c r="D539" s="1028"/>
      <c r="E539" s="1028"/>
      <c r="F539" s="91">
        <v>1</v>
      </c>
      <c r="G539" s="91">
        <v>0.6</v>
      </c>
      <c r="H539" s="91">
        <v>0.15</v>
      </c>
      <c r="I539" s="91">
        <v>0.15</v>
      </c>
      <c r="J539" s="91"/>
      <c r="K539" s="418">
        <f>TRUNC(G539*H539*F539*I539,2)</f>
        <v>0.01</v>
      </c>
      <c r="L539" s="90"/>
    </row>
    <row r="540" spans="2:12" hidden="1">
      <c r="B540" s="417"/>
      <c r="C540" s="987" t="s">
        <v>116</v>
      </c>
      <c r="D540" s="987"/>
      <c r="E540" s="987"/>
      <c r="F540" s="987"/>
      <c r="G540" s="987"/>
      <c r="H540" s="987"/>
      <c r="I540" s="987"/>
      <c r="J540" s="987"/>
      <c r="K540" s="89">
        <f>SUM(K537:K539)</f>
        <v>0.05</v>
      </c>
      <c r="L540" s="90"/>
    </row>
    <row r="541" spans="2:12" hidden="1">
      <c r="B541" s="219"/>
      <c r="C541" s="219"/>
      <c r="D541" s="219"/>
      <c r="E541" s="219"/>
      <c r="F541" s="219"/>
      <c r="G541" s="219"/>
      <c r="H541" s="219"/>
      <c r="I541" s="219"/>
      <c r="J541" s="219"/>
      <c r="K541" s="219"/>
      <c r="L541" s="219"/>
    </row>
    <row r="542" spans="2:12" ht="15" hidden="1" customHeight="1">
      <c r="B542" s="85" t="str">
        <f>'[6]PLANILHA ORÇAMENTÁRIA'!D133</f>
        <v>14.3.4</v>
      </c>
      <c r="C542" s="1032" t="str">
        <f>'[6]PLANILHA ORÇAMENTÁRIA'!E133</f>
        <v>TUBO DE AÇO GALVANIZADO COM COSTURA 2" - FORNECIMENTO E INSTALACAO. - M</v>
      </c>
      <c r="D542" s="1032"/>
      <c r="E542" s="1032"/>
      <c r="F542" s="1032"/>
      <c r="G542" s="1032"/>
      <c r="H542" s="1032"/>
      <c r="I542" s="1032"/>
      <c r="J542" s="1032"/>
      <c r="K542" s="294" t="str">
        <f>'[6]PLANILHA ORÇAMENTÁRIA'!F133</f>
        <v>M</v>
      </c>
      <c r="L542" s="295">
        <f>K546</f>
        <v>13.2</v>
      </c>
    </row>
    <row r="543" spans="2:12" hidden="1">
      <c r="B543" s="417"/>
      <c r="C543" s="983" t="s">
        <v>20</v>
      </c>
      <c r="D543" s="983"/>
      <c r="E543" s="983"/>
      <c r="F543" s="87" t="s">
        <v>22</v>
      </c>
      <c r="G543" s="413" t="s">
        <v>111</v>
      </c>
      <c r="H543" s="87" t="s">
        <v>112</v>
      </c>
      <c r="I543" s="413" t="s">
        <v>113</v>
      </c>
      <c r="J543" s="413" t="s">
        <v>114</v>
      </c>
      <c r="K543" s="89" t="s">
        <v>25</v>
      </c>
      <c r="L543" s="90"/>
    </row>
    <row r="544" spans="2:12" hidden="1">
      <c r="B544" s="417"/>
      <c r="C544" s="1028" t="s">
        <v>189</v>
      </c>
      <c r="D544" s="1028"/>
      <c r="E544" s="1028"/>
      <c r="F544" s="91">
        <v>1</v>
      </c>
      <c r="G544" s="91"/>
      <c r="H544" s="91"/>
      <c r="I544" s="91">
        <v>10.199999999999999</v>
      </c>
      <c r="J544" s="91"/>
      <c r="K544" s="418">
        <f>F544*I544</f>
        <v>10.199999999999999</v>
      </c>
      <c r="L544" s="90"/>
    </row>
    <row r="545" spans="2:12" hidden="1">
      <c r="B545" s="417"/>
      <c r="C545" s="984" t="s">
        <v>190</v>
      </c>
      <c r="D545" s="985"/>
      <c r="E545" s="986"/>
      <c r="F545" s="91">
        <v>3</v>
      </c>
      <c r="G545" s="91"/>
      <c r="H545" s="91"/>
      <c r="I545" s="91">
        <v>1</v>
      </c>
      <c r="J545" s="91"/>
      <c r="K545" s="418">
        <f>F545*I545</f>
        <v>3</v>
      </c>
      <c r="L545" s="90"/>
    </row>
    <row r="546" spans="2:12" hidden="1">
      <c r="B546" s="417"/>
      <c r="C546" s="987" t="s">
        <v>116</v>
      </c>
      <c r="D546" s="987"/>
      <c r="E546" s="987"/>
      <c r="F546" s="987"/>
      <c r="G546" s="987"/>
      <c r="H546" s="987"/>
      <c r="I546" s="987"/>
      <c r="J546" s="987"/>
      <c r="K546" s="89">
        <f>SUM(K544:K545)</f>
        <v>13.2</v>
      </c>
      <c r="L546" s="90"/>
    </row>
    <row r="547" spans="2:12" hidden="1">
      <c r="B547" s="417"/>
      <c r="C547" s="211"/>
      <c r="D547" s="211"/>
      <c r="E547" s="211"/>
      <c r="F547" s="211"/>
      <c r="G547" s="211"/>
      <c r="H547" s="211"/>
      <c r="I547" s="211"/>
      <c r="J547" s="211"/>
      <c r="K547" s="212"/>
      <c r="L547" s="90"/>
    </row>
    <row r="548" spans="2:12" ht="15" hidden="1" customHeight="1">
      <c r="B548" s="85" t="str">
        <f>'[6]PLANILHA ORÇAMENTÁRIA'!D134</f>
        <v>14.3.5</v>
      </c>
      <c r="C548" s="1032" t="str">
        <f>'[6]PLANILHA ORÇAMENTÁRIA'!E134</f>
        <v>PINTURA ESMALTE ALTO BRILHO, DUAS DEMAOS, SOBRE SUPERFICIE METALICA</v>
      </c>
      <c r="D548" s="1032"/>
      <c r="E548" s="1032"/>
      <c r="F548" s="1032"/>
      <c r="G548" s="1032"/>
      <c r="H548" s="1032"/>
      <c r="I548" s="1032"/>
      <c r="J548" s="1032"/>
      <c r="K548" s="294" t="str">
        <f>'[6]PLANILHA ORÇAMENTÁRIA'!F134</f>
        <v>M2</v>
      </c>
      <c r="L548" s="295">
        <f>K552</f>
        <v>1.63</v>
      </c>
    </row>
    <row r="549" spans="2:12" hidden="1">
      <c r="B549" s="417"/>
      <c r="C549" s="983" t="s">
        <v>20</v>
      </c>
      <c r="D549" s="983"/>
      <c r="E549" s="983"/>
      <c r="F549" s="87" t="s">
        <v>22</v>
      </c>
      <c r="G549" s="413" t="s">
        <v>111</v>
      </c>
      <c r="H549" s="87" t="s">
        <v>178</v>
      </c>
      <c r="I549" s="413" t="s">
        <v>113</v>
      </c>
      <c r="J549" s="413" t="s">
        <v>114</v>
      </c>
      <c r="K549" s="89" t="s">
        <v>25</v>
      </c>
      <c r="L549" s="90"/>
    </row>
    <row r="550" spans="2:12" hidden="1">
      <c r="B550" s="417"/>
      <c r="C550" s="1028" t="s">
        <v>189</v>
      </c>
      <c r="D550" s="1028"/>
      <c r="E550" s="1028"/>
      <c r="F550" s="91">
        <v>1</v>
      </c>
      <c r="G550" s="91"/>
      <c r="H550" s="300">
        <v>2.5000000000000001E-2</v>
      </c>
      <c r="I550" s="91">
        <v>7.45</v>
      </c>
      <c r="J550" s="91"/>
      <c r="K550" s="418">
        <f>TRUNC((2*3.14*H550*I550)*F550,2)</f>
        <v>1.1599999999999999</v>
      </c>
      <c r="L550" s="90"/>
    </row>
    <row r="551" spans="2:12" hidden="1">
      <c r="B551" s="417"/>
      <c r="C551" s="984" t="s">
        <v>190</v>
      </c>
      <c r="D551" s="985"/>
      <c r="E551" s="986"/>
      <c r="F551" s="91">
        <v>3</v>
      </c>
      <c r="G551" s="91"/>
      <c r="H551" s="300">
        <v>2.5000000000000001E-2</v>
      </c>
      <c r="I551" s="91">
        <v>1</v>
      </c>
      <c r="J551" s="91"/>
      <c r="K551" s="418">
        <f>TRUNC((2*3.14*H551*I551)*F551,2)</f>
        <v>0.47</v>
      </c>
      <c r="L551" s="90"/>
    </row>
    <row r="552" spans="2:12" hidden="1">
      <c r="B552" s="417"/>
      <c r="C552" s="987" t="s">
        <v>116</v>
      </c>
      <c r="D552" s="987"/>
      <c r="E552" s="987"/>
      <c r="F552" s="987"/>
      <c r="G552" s="987"/>
      <c r="H552" s="987"/>
      <c r="I552" s="987"/>
      <c r="J552" s="987"/>
      <c r="K552" s="89">
        <f>SUM(K550:K551)</f>
        <v>1.63</v>
      </c>
      <c r="L552" s="90"/>
    </row>
    <row r="553" spans="2:12" hidden="1">
      <c r="B553" s="219"/>
      <c r="C553" s="219"/>
      <c r="D553" s="219"/>
      <c r="E553" s="219"/>
      <c r="F553" s="219"/>
      <c r="G553" s="219"/>
      <c r="H553" s="219"/>
      <c r="I553" s="219"/>
      <c r="J553" s="219"/>
      <c r="K553" s="219"/>
      <c r="L553" s="219"/>
    </row>
    <row r="554" spans="2:12" hidden="1">
      <c r="B554" s="292" t="str">
        <f>'[6]PLANILHA ORÇAMENTÁRIA'!D135</f>
        <v>14.4</v>
      </c>
      <c r="C554" s="1093" t="str">
        <f>'[6]PLANILHA ORÇAMENTÁRIA'!E135</f>
        <v>ESPALDAR SIMPLES</v>
      </c>
      <c r="D554" s="1093"/>
      <c r="E554" s="1093"/>
      <c r="F554" s="1093"/>
      <c r="G554" s="1093"/>
      <c r="H554" s="1093"/>
      <c r="I554" s="1093"/>
      <c r="J554" s="1093"/>
      <c r="K554" s="293"/>
      <c r="L554" s="293"/>
    </row>
    <row r="555" spans="2:12" ht="15" hidden="1" customHeight="1">
      <c r="B555" s="85" t="str">
        <f>'[6]PLANILHA ORÇAMENTÁRIA'!D136</f>
        <v>14.4.1</v>
      </c>
      <c r="C555" s="1032" t="str">
        <f>'[6]PLANILHA ORÇAMENTÁRIA'!E136</f>
        <v>ESCAVAÇÃO MANUAL DE VALA COM PROFUNDIDADE MENOR OU IGUAL A 1,30 M</v>
      </c>
      <c r="D555" s="1032"/>
      <c r="E555" s="1032"/>
      <c r="F555" s="1032"/>
      <c r="G555" s="1032"/>
      <c r="H555" s="1032"/>
      <c r="I555" s="1032"/>
      <c r="J555" s="1032"/>
      <c r="K555" s="294" t="str">
        <f>'[6]PLANILHA ORÇAMENTÁRIA'!F136</f>
        <v>M3</v>
      </c>
      <c r="L555" s="295">
        <f>K558</f>
        <v>3.5999999999999997E-2</v>
      </c>
    </row>
    <row r="556" spans="2:12" hidden="1">
      <c r="B556" s="417"/>
      <c r="C556" s="983" t="s">
        <v>20</v>
      </c>
      <c r="D556" s="983"/>
      <c r="E556" s="983"/>
      <c r="F556" s="87" t="s">
        <v>22</v>
      </c>
      <c r="G556" s="413" t="s">
        <v>111</v>
      </c>
      <c r="H556" s="87" t="s">
        <v>112</v>
      </c>
      <c r="I556" s="413" t="s">
        <v>113</v>
      </c>
      <c r="J556" s="413" t="s">
        <v>114</v>
      </c>
      <c r="K556" s="89" t="s">
        <v>25</v>
      </c>
      <c r="L556" s="90"/>
    </row>
    <row r="557" spans="2:12" hidden="1">
      <c r="B557" s="417"/>
      <c r="C557" s="1028" t="s">
        <v>174</v>
      </c>
      <c r="D557" s="1028"/>
      <c r="E557" s="1028"/>
      <c r="F557" s="91">
        <v>2</v>
      </c>
      <c r="G557" s="91">
        <v>0.8</v>
      </c>
      <c r="H557" s="91">
        <v>0.15</v>
      </c>
      <c r="I557" s="91">
        <v>0.15</v>
      </c>
      <c r="J557" s="91"/>
      <c r="K557" s="296">
        <f>PRODUCT(F557:I557)</f>
        <v>3.5999999999999997E-2</v>
      </c>
      <c r="L557" s="90"/>
    </row>
    <row r="558" spans="2:12" hidden="1">
      <c r="B558" s="417"/>
      <c r="C558" s="987" t="s">
        <v>116</v>
      </c>
      <c r="D558" s="987"/>
      <c r="E558" s="987"/>
      <c r="F558" s="987"/>
      <c r="G558" s="987"/>
      <c r="H558" s="987"/>
      <c r="I558" s="987"/>
      <c r="J558" s="987"/>
      <c r="K558" s="298">
        <f>SUM(K557:K557)</f>
        <v>3.5999999999999997E-2</v>
      </c>
      <c r="L558" s="90"/>
    </row>
    <row r="559" spans="2:12" hidden="1">
      <c r="B559" s="417"/>
      <c r="C559" s="211"/>
      <c r="D559" s="211"/>
      <c r="E559" s="211"/>
      <c r="F559" s="211"/>
      <c r="G559" s="211"/>
      <c r="H559" s="211"/>
      <c r="I559" s="211"/>
      <c r="J559" s="211"/>
      <c r="K559" s="299"/>
      <c r="L559" s="90"/>
    </row>
    <row r="560" spans="2:12" ht="15" hidden="1" customHeight="1">
      <c r="B560" s="85" t="str">
        <f>'[6]PLANILHA ORÇAMENTÁRIA'!D137</f>
        <v>14.4.2</v>
      </c>
      <c r="C560" s="1032" t="str">
        <f>'[6]PLANILHA ORÇAMENTÁRIA'!E137</f>
        <v>LASTRO DE CONCRETO MAGRO, APLICADO EM PISOS OU RADIERS, ESPESSURA DE 5CM. AF_07_2016</v>
      </c>
      <c r="D560" s="1032"/>
      <c r="E560" s="1032"/>
      <c r="F560" s="1032"/>
      <c r="G560" s="1032"/>
      <c r="H560" s="1032"/>
      <c r="I560" s="1032"/>
      <c r="J560" s="1032"/>
      <c r="K560" s="294" t="str">
        <f>'[6]PLANILHA ORÇAMENTÁRIA'!F137</f>
        <v>M2</v>
      </c>
      <c r="L560" s="295">
        <f>K563</f>
        <v>4.4999999999999998E-2</v>
      </c>
    </row>
    <row r="561" spans="2:12" hidden="1">
      <c r="B561" s="417"/>
      <c r="C561" s="983" t="s">
        <v>20</v>
      </c>
      <c r="D561" s="983"/>
      <c r="E561" s="983"/>
      <c r="F561" s="87" t="s">
        <v>22</v>
      </c>
      <c r="G561" s="413" t="s">
        <v>111</v>
      </c>
      <c r="H561" s="87" t="s">
        <v>112</v>
      </c>
      <c r="I561" s="413" t="s">
        <v>113</v>
      </c>
      <c r="J561" s="413" t="s">
        <v>114</v>
      </c>
      <c r="K561" s="89" t="s">
        <v>25</v>
      </c>
      <c r="L561" s="90"/>
    </row>
    <row r="562" spans="2:12" hidden="1">
      <c r="B562" s="417"/>
      <c r="C562" s="1028"/>
      <c r="D562" s="1028"/>
      <c r="E562" s="1028"/>
      <c r="F562" s="91">
        <v>2</v>
      </c>
      <c r="G562" s="91"/>
      <c r="H562" s="91">
        <v>0.15</v>
      </c>
      <c r="I562" s="91">
        <v>0.15</v>
      </c>
      <c r="J562" s="91"/>
      <c r="K562" s="296">
        <f>PRODUCT(F562:I562)</f>
        <v>4.4999999999999998E-2</v>
      </c>
      <c r="L562" s="90"/>
    </row>
    <row r="563" spans="2:12" hidden="1">
      <c r="B563" s="417"/>
      <c r="C563" s="987" t="s">
        <v>116</v>
      </c>
      <c r="D563" s="987"/>
      <c r="E563" s="987"/>
      <c r="F563" s="987"/>
      <c r="G563" s="987"/>
      <c r="H563" s="987"/>
      <c r="I563" s="987"/>
      <c r="J563" s="987"/>
      <c r="K563" s="298">
        <f>SUM(K562:K562)</f>
        <v>4.4999999999999998E-2</v>
      </c>
      <c r="L563" s="90"/>
    </row>
    <row r="564" spans="2:12" hidden="1">
      <c r="B564" s="417"/>
      <c r="C564" s="211"/>
      <c r="D564" s="211"/>
      <c r="E564" s="211"/>
      <c r="F564" s="211"/>
      <c r="G564" s="211"/>
      <c r="H564" s="211"/>
      <c r="I564" s="211"/>
      <c r="J564" s="211"/>
      <c r="K564" s="299"/>
      <c r="L564" s="90"/>
    </row>
    <row r="565" spans="2:12" ht="21.75" hidden="1" customHeight="1">
      <c r="B565" s="85" t="str">
        <f>'[6]PLANILHA ORÇAMENTÁRIA'!D138</f>
        <v>14.4.3</v>
      </c>
      <c r="C565" s="1032" t="str">
        <f>'[6]PLANILHA ORÇAMENTÁRIA'!E138</f>
        <v>CONCRETAGEM DE BLOCOS DE COROAMENTO E VIGAS BALDRAMES, FCK 30 MPA, COM USO DE BOMBA LANÇAMENTO, ADENSAMENTO E ACABAMENTO. AF_06/2017</v>
      </c>
      <c r="D565" s="1032"/>
      <c r="E565" s="1032"/>
      <c r="F565" s="1032"/>
      <c r="G565" s="1032"/>
      <c r="H565" s="1032"/>
      <c r="I565" s="1032"/>
      <c r="J565" s="1032"/>
      <c r="K565" s="294" t="str">
        <f>'[6]PLANILHA ORÇAMENTÁRIA'!F138</f>
        <v>M3</v>
      </c>
      <c r="L565" s="295">
        <f>K568</f>
        <v>0.02</v>
      </c>
    </row>
    <row r="566" spans="2:12" hidden="1">
      <c r="B566" s="417"/>
      <c r="C566" s="983" t="s">
        <v>20</v>
      </c>
      <c r="D566" s="983"/>
      <c r="E566" s="983"/>
      <c r="F566" s="87" t="s">
        <v>22</v>
      </c>
      <c r="G566" s="413" t="s">
        <v>111</v>
      </c>
      <c r="H566" s="87" t="s">
        <v>112</v>
      </c>
      <c r="I566" s="413" t="s">
        <v>113</v>
      </c>
      <c r="J566" s="413" t="s">
        <v>114</v>
      </c>
      <c r="K566" s="89" t="s">
        <v>25</v>
      </c>
      <c r="L566" s="90"/>
    </row>
    <row r="567" spans="2:12" hidden="1">
      <c r="B567" s="417"/>
      <c r="C567" s="1028" t="s">
        <v>191</v>
      </c>
      <c r="D567" s="1028"/>
      <c r="E567" s="1028"/>
      <c r="F567" s="91">
        <v>2</v>
      </c>
      <c r="G567" s="91">
        <v>0.65</v>
      </c>
      <c r="H567" s="91">
        <v>0.15</v>
      </c>
      <c r="I567" s="91">
        <v>0.15</v>
      </c>
      <c r="J567" s="91"/>
      <c r="K567" s="418">
        <f>TRUNC(G567*H567*F567*I567,2)</f>
        <v>0.02</v>
      </c>
      <c r="L567" s="90"/>
    </row>
    <row r="568" spans="2:12" hidden="1">
      <c r="B568" s="417"/>
      <c r="C568" s="987" t="s">
        <v>116</v>
      </c>
      <c r="D568" s="987"/>
      <c r="E568" s="987"/>
      <c r="F568" s="987"/>
      <c r="G568" s="987"/>
      <c r="H568" s="987"/>
      <c r="I568" s="987"/>
      <c r="J568" s="987"/>
      <c r="K568" s="89">
        <f>SUM(K567:K567)</f>
        <v>0.02</v>
      </c>
      <c r="L568" s="90"/>
    </row>
    <row r="569" spans="2:12" hidden="1">
      <c r="B569" s="219"/>
      <c r="C569" s="219"/>
      <c r="D569" s="219"/>
      <c r="E569" s="219"/>
      <c r="F569" s="219"/>
      <c r="G569" s="219"/>
      <c r="H569" s="219"/>
      <c r="I569" s="219"/>
      <c r="J569" s="219"/>
      <c r="K569" s="219"/>
      <c r="L569" s="219"/>
    </row>
    <row r="570" spans="2:12" ht="15" hidden="1" customHeight="1">
      <c r="B570" s="85" t="str">
        <f>'[6]PLANILHA ORÇAMENTÁRIA'!D139</f>
        <v>14.4.4</v>
      </c>
      <c r="C570" s="1032" t="str">
        <f>'[6]PLANILHA ORÇAMENTÁRIA'!E139</f>
        <v>TUBO DE AÇO GALVANIZADO COM COSTURA 2" - FORNECIMENTO E INSTALACAO. - M</v>
      </c>
      <c r="D570" s="1032"/>
      <c r="E570" s="1032"/>
      <c r="F570" s="1032"/>
      <c r="G570" s="1032"/>
      <c r="H570" s="1032"/>
      <c r="I570" s="1032"/>
      <c r="J570" s="1032"/>
      <c r="K570" s="294" t="str">
        <f>'[6]PLANILHA ORÇAMENTÁRIA'!F139</f>
        <v>M</v>
      </c>
      <c r="L570" s="295">
        <f>K574</f>
        <v>12.2</v>
      </c>
    </row>
    <row r="571" spans="2:12" hidden="1">
      <c r="B571" s="417"/>
      <c r="C571" s="983" t="s">
        <v>20</v>
      </c>
      <c r="D571" s="983"/>
      <c r="E571" s="983"/>
      <c r="F571" s="87" t="s">
        <v>22</v>
      </c>
      <c r="G571" s="413" t="s">
        <v>111</v>
      </c>
      <c r="H571" s="87" t="s">
        <v>112</v>
      </c>
      <c r="I571" s="413" t="s">
        <v>113</v>
      </c>
      <c r="J571" s="413" t="s">
        <v>114</v>
      </c>
      <c r="K571" s="89" t="s">
        <v>25</v>
      </c>
      <c r="L571" s="90"/>
    </row>
    <row r="572" spans="2:12" hidden="1">
      <c r="B572" s="417"/>
      <c r="C572" s="1028" t="s">
        <v>189</v>
      </c>
      <c r="D572" s="1028"/>
      <c r="E572" s="1028"/>
      <c r="F572" s="91">
        <v>2</v>
      </c>
      <c r="G572" s="91"/>
      <c r="H572" s="91"/>
      <c r="I572" s="91">
        <v>2.6</v>
      </c>
      <c r="J572" s="91"/>
      <c r="K572" s="418">
        <f>F572*I572</f>
        <v>5.2</v>
      </c>
      <c r="L572" s="90"/>
    </row>
    <row r="573" spans="2:12" hidden="1">
      <c r="B573" s="417"/>
      <c r="C573" s="984" t="s">
        <v>190</v>
      </c>
      <c r="D573" s="985"/>
      <c r="E573" s="986"/>
      <c r="F573" s="91">
        <v>7</v>
      </c>
      <c r="G573" s="91"/>
      <c r="H573" s="91"/>
      <c r="I573" s="91">
        <v>1</v>
      </c>
      <c r="J573" s="91"/>
      <c r="K573" s="418">
        <f>F573*I573</f>
        <v>7</v>
      </c>
      <c r="L573" s="90"/>
    </row>
    <row r="574" spans="2:12" hidden="1">
      <c r="B574" s="417"/>
      <c r="C574" s="987" t="s">
        <v>116</v>
      </c>
      <c r="D574" s="987"/>
      <c r="E574" s="987"/>
      <c r="F574" s="987"/>
      <c r="G574" s="987"/>
      <c r="H574" s="987"/>
      <c r="I574" s="987"/>
      <c r="J574" s="987"/>
      <c r="K574" s="89">
        <f>SUM(K572:K573)</f>
        <v>12.2</v>
      </c>
      <c r="L574" s="90"/>
    </row>
    <row r="575" spans="2:12" hidden="1">
      <c r="B575" s="417"/>
      <c r="C575" s="211"/>
      <c r="D575" s="211"/>
      <c r="E575" s="211"/>
      <c r="F575" s="211"/>
      <c r="G575" s="211"/>
      <c r="H575" s="211"/>
      <c r="I575" s="211"/>
      <c r="J575" s="211"/>
      <c r="K575" s="212"/>
      <c r="L575" s="90"/>
    </row>
    <row r="576" spans="2:12" ht="15" hidden="1" customHeight="1">
      <c r="B576" s="85" t="str">
        <f>'[6]PLANILHA ORÇAMENTÁRIA'!D140</f>
        <v>14.4.5</v>
      </c>
      <c r="C576" s="1032" t="str">
        <f>'[6]PLANILHA ORÇAMENTÁRIA'!E140</f>
        <v>PINTURA ESMALTE ALTO BRILHO, DUAS DEMAOS, SOBRE SUPERFICIE METALICA</v>
      </c>
      <c r="D576" s="1032"/>
      <c r="E576" s="1032"/>
      <c r="F576" s="1032"/>
      <c r="G576" s="1032"/>
      <c r="H576" s="1032"/>
      <c r="I576" s="1032"/>
      <c r="J576" s="1032"/>
      <c r="K576" s="294" t="str">
        <f>'[6]PLANILHA ORÇAMENTÁRIA'!F140</f>
        <v>M2</v>
      </c>
      <c r="L576" s="295">
        <f>K580</f>
        <v>1.7000000000000002</v>
      </c>
    </row>
    <row r="577" spans="2:12" hidden="1">
      <c r="B577" s="417"/>
      <c r="C577" s="983" t="s">
        <v>20</v>
      </c>
      <c r="D577" s="983"/>
      <c r="E577" s="983"/>
      <c r="F577" s="87" t="s">
        <v>22</v>
      </c>
      <c r="G577" s="413" t="s">
        <v>111</v>
      </c>
      <c r="H577" s="87" t="s">
        <v>178</v>
      </c>
      <c r="I577" s="413" t="s">
        <v>113</v>
      </c>
      <c r="J577" s="413" t="s">
        <v>114</v>
      </c>
      <c r="K577" s="89" t="s">
        <v>25</v>
      </c>
      <c r="L577" s="90"/>
    </row>
    <row r="578" spans="2:12" hidden="1">
      <c r="B578" s="417"/>
      <c r="C578" s="1028" t="s">
        <v>189</v>
      </c>
      <c r="D578" s="1028"/>
      <c r="E578" s="1028"/>
      <c r="F578" s="91">
        <v>2</v>
      </c>
      <c r="G578" s="91"/>
      <c r="H578" s="300">
        <v>2.5000000000000001E-2</v>
      </c>
      <c r="I578" s="91">
        <v>1.95</v>
      </c>
      <c r="J578" s="91"/>
      <c r="K578" s="418">
        <f>TRUNC((2*3.14*H578*I578)*F578,2)</f>
        <v>0.61</v>
      </c>
      <c r="L578" s="90"/>
    </row>
    <row r="579" spans="2:12" hidden="1">
      <c r="B579" s="417"/>
      <c r="C579" s="984" t="s">
        <v>190</v>
      </c>
      <c r="D579" s="985"/>
      <c r="E579" s="986"/>
      <c r="F579" s="91">
        <v>7</v>
      </c>
      <c r="G579" s="91"/>
      <c r="H579" s="300">
        <v>2.5000000000000001E-2</v>
      </c>
      <c r="I579" s="91">
        <v>1</v>
      </c>
      <c r="J579" s="91"/>
      <c r="K579" s="418">
        <f>TRUNC((2*3.14*H579*I579)*F579,2)</f>
        <v>1.0900000000000001</v>
      </c>
      <c r="L579" s="90"/>
    </row>
    <row r="580" spans="2:12" hidden="1">
      <c r="B580" s="417"/>
      <c r="C580" s="987" t="s">
        <v>116</v>
      </c>
      <c r="D580" s="987"/>
      <c r="E580" s="987"/>
      <c r="F580" s="987"/>
      <c r="G580" s="987"/>
      <c r="H580" s="987"/>
      <c r="I580" s="987"/>
      <c r="J580" s="987"/>
      <c r="K580" s="89">
        <f>SUM(K578:K579)</f>
        <v>1.7000000000000002</v>
      </c>
      <c r="L580" s="90"/>
    </row>
    <row r="581" spans="2:12" hidden="1">
      <c r="B581" s="219"/>
      <c r="C581" s="219"/>
      <c r="D581" s="219"/>
      <c r="E581" s="219"/>
      <c r="F581" s="219"/>
      <c r="G581" s="219"/>
      <c r="H581" s="219"/>
      <c r="I581" s="219"/>
      <c r="J581" s="219"/>
      <c r="K581" s="219"/>
      <c r="L581" s="219"/>
    </row>
    <row r="582" spans="2:12" hidden="1">
      <c r="B582" s="292" t="str">
        <f>'[6]PLANILHA ORÇAMENTÁRIA'!D141</f>
        <v>14.5</v>
      </c>
      <c r="C582" s="1093" t="str">
        <f>'[6]PLANILHA ORÇAMENTÁRIA'!E141</f>
        <v>BARRA DE APOIO</v>
      </c>
      <c r="D582" s="1093"/>
      <c r="E582" s="1093"/>
      <c r="F582" s="1093"/>
      <c r="G582" s="1093"/>
      <c r="H582" s="1093"/>
      <c r="I582" s="1093"/>
      <c r="J582" s="1093"/>
      <c r="K582" s="293"/>
      <c r="L582" s="293"/>
    </row>
    <row r="583" spans="2:12" ht="15" hidden="1" customHeight="1">
      <c r="B583" s="85" t="str">
        <f>'[6]PLANILHA ORÇAMENTÁRIA'!D142</f>
        <v>14.5.1</v>
      </c>
      <c r="C583" s="1032" t="str">
        <f>'[6]PLANILHA ORÇAMENTÁRIA'!E142</f>
        <v>ESCAVAÇÃO MANUAL DE VALA COM PROFUNDIDADE MENOR OU IGUAL A 1,30 M</v>
      </c>
      <c r="D583" s="1032"/>
      <c r="E583" s="1032"/>
      <c r="F583" s="1032"/>
      <c r="G583" s="1032"/>
      <c r="H583" s="1032"/>
      <c r="I583" s="1032"/>
      <c r="J583" s="1032"/>
      <c r="K583" s="294" t="str">
        <f>'[6]PLANILHA ORÇAMENTÁRIA'!F142</f>
        <v>M3</v>
      </c>
      <c r="L583" s="295">
        <f>K586</f>
        <v>4.9500000000000002E-2</v>
      </c>
    </row>
    <row r="584" spans="2:12" hidden="1">
      <c r="B584" s="417"/>
      <c r="C584" s="983" t="s">
        <v>20</v>
      </c>
      <c r="D584" s="983"/>
      <c r="E584" s="983"/>
      <c r="F584" s="87" t="s">
        <v>22</v>
      </c>
      <c r="G584" s="413" t="s">
        <v>111</v>
      </c>
      <c r="H584" s="87" t="s">
        <v>112</v>
      </c>
      <c r="I584" s="413" t="s">
        <v>113</v>
      </c>
      <c r="J584" s="413" t="s">
        <v>114</v>
      </c>
      <c r="K584" s="89" t="s">
        <v>25</v>
      </c>
      <c r="L584" s="90"/>
    </row>
    <row r="585" spans="2:12" hidden="1">
      <c r="B585" s="417"/>
      <c r="C585" s="1028" t="s">
        <v>174</v>
      </c>
      <c r="D585" s="1028"/>
      <c r="E585" s="1028"/>
      <c r="F585" s="91">
        <v>4</v>
      </c>
      <c r="G585" s="91">
        <v>0.55000000000000004</v>
      </c>
      <c r="H585" s="91">
        <v>0.15</v>
      </c>
      <c r="I585" s="91">
        <v>0.15</v>
      </c>
      <c r="J585" s="91"/>
      <c r="K585" s="296">
        <f>PRODUCT(F585:I585)</f>
        <v>4.9500000000000002E-2</v>
      </c>
      <c r="L585" s="90"/>
    </row>
    <row r="586" spans="2:12" hidden="1">
      <c r="B586" s="417"/>
      <c r="C586" s="987" t="s">
        <v>116</v>
      </c>
      <c r="D586" s="987"/>
      <c r="E586" s="987"/>
      <c r="F586" s="987"/>
      <c r="G586" s="987"/>
      <c r="H586" s="987"/>
      <c r="I586" s="987"/>
      <c r="J586" s="987"/>
      <c r="K586" s="298">
        <f>SUM(K585:K585)</f>
        <v>4.9500000000000002E-2</v>
      </c>
      <c r="L586" s="90"/>
    </row>
    <row r="587" spans="2:12" hidden="1">
      <c r="B587" s="417"/>
      <c r="C587" s="211"/>
      <c r="D587" s="211"/>
      <c r="E587" s="211"/>
      <c r="F587" s="211"/>
      <c r="G587" s="211"/>
      <c r="H587" s="211"/>
      <c r="I587" s="211"/>
      <c r="J587" s="211"/>
      <c r="K587" s="299"/>
      <c r="L587" s="90"/>
    </row>
    <row r="588" spans="2:12" ht="15" hidden="1" customHeight="1">
      <c r="B588" s="85" t="str">
        <f>'[6]PLANILHA ORÇAMENTÁRIA'!D143</f>
        <v>14.5.2</v>
      </c>
      <c r="C588" s="1032" t="str">
        <f>'[6]PLANILHA ORÇAMENTÁRIA'!E143</f>
        <v>LASTRO DE CONCRETO MAGRO, APLICADO EM PISOS OU RADIERS, ESPESSURA DE 5CM. AF_07_2016</v>
      </c>
      <c r="D588" s="1032"/>
      <c r="E588" s="1032"/>
      <c r="F588" s="1032"/>
      <c r="G588" s="1032"/>
      <c r="H588" s="1032"/>
      <c r="I588" s="1032"/>
      <c r="J588" s="1032"/>
      <c r="K588" s="294" t="str">
        <f>'[6]PLANILHA ORÇAMENTÁRIA'!F143</f>
        <v>M2</v>
      </c>
      <c r="L588" s="295">
        <f>K591</f>
        <v>0.09</v>
      </c>
    </row>
    <row r="589" spans="2:12" hidden="1">
      <c r="B589" s="417"/>
      <c r="C589" s="983" t="s">
        <v>20</v>
      </c>
      <c r="D589" s="983"/>
      <c r="E589" s="983"/>
      <c r="F589" s="87" t="s">
        <v>22</v>
      </c>
      <c r="G589" s="413" t="s">
        <v>111</v>
      </c>
      <c r="H589" s="87" t="s">
        <v>112</v>
      </c>
      <c r="I589" s="413" t="s">
        <v>113</v>
      </c>
      <c r="J589" s="413" t="s">
        <v>114</v>
      </c>
      <c r="K589" s="89" t="s">
        <v>25</v>
      </c>
      <c r="L589" s="90"/>
    </row>
    <row r="590" spans="2:12" hidden="1">
      <c r="B590" s="417"/>
      <c r="C590" s="1028"/>
      <c r="D590" s="1028"/>
      <c r="E590" s="1028"/>
      <c r="F590" s="91">
        <v>4</v>
      </c>
      <c r="G590" s="91"/>
      <c r="H590" s="91">
        <v>0.15</v>
      </c>
      <c r="I590" s="91">
        <v>0.15</v>
      </c>
      <c r="J590" s="91"/>
      <c r="K590" s="296">
        <f>PRODUCT(F590:I590)</f>
        <v>0.09</v>
      </c>
      <c r="L590" s="90"/>
    </row>
    <row r="591" spans="2:12" hidden="1">
      <c r="B591" s="417"/>
      <c r="C591" s="987" t="s">
        <v>116</v>
      </c>
      <c r="D591" s="987"/>
      <c r="E591" s="987"/>
      <c r="F591" s="987"/>
      <c r="G591" s="987"/>
      <c r="H591" s="987"/>
      <c r="I591" s="987"/>
      <c r="J591" s="987"/>
      <c r="K591" s="298">
        <f>SUM(K590:K590)</f>
        <v>0.09</v>
      </c>
      <c r="L591" s="90"/>
    </row>
    <row r="592" spans="2:12" ht="17.25" hidden="1" customHeight="1">
      <c r="B592" s="417"/>
      <c r="C592" s="211"/>
      <c r="D592" s="211"/>
      <c r="E592" s="211"/>
      <c r="F592" s="211"/>
      <c r="G592" s="211"/>
      <c r="H592" s="211"/>
      <c r="I592" s="211"/>
      <c r="J592" s="211"/>
      <c r="K592" s="299"/>
      <c r="L592" s="90"/>
    </row>
    <row r="593" spans="2:12" ht="22.5" hidden="1" customHeight="1">
      <c r="B593" s="85" t="str">
        <f>'[6]PLANILHA ORÇAMENTÁRIA'!D144</f>
        <v>14.5.3</v>
      </c>
      <c r="C593" s="1032" t="str">
        <f>'[6]PLANILHA ORÇAMENTÁRIA'!E144</f>
        <v>CONCRETAGEM DE BLOCOS DE COROAMENTO E VIGAS BALDRAMES, FCK 30 MPA, COM USO DE BOMBA LANÇAMENTO, ADENSAMENTO E ACABAMENTO. AF_06/2017</v>
      </c>
      <c r="D593" s="1032"/>
      <c r="E593" s="1032"/>
      <c r="F593" s="1032"/>
      <c r="G593" s="1032"/>
      <c r="H593" s="1032"/>
      <c r="I593" s="1032"/>
      <c r="J593" s="1032"/>
      <c r="K593" s="294" t="str">
        <f>'[6]PLANILHA ORÇAMENTÁRIA'!F144</f>
        <v>M3</v>
      </c>
      <c r="L593" s="295">
        <f>K596</f>
        <v>0.03</v>
      </c>
    </row>
    <row r="594" spans="2:12" hidden="1">
      <c r="B594" s="417"/>
      <c r="C594" s="983" t="s">
        <v>20</v>
      </c>
      <c r="D594" s="983"/>
      <c r="E594" s="983"/>
      <c r="F594" s="87" t="s">
        <v>22</v>
      </c>
      <c r="G594" s="413" t="s">
        <v>111</v>
      </c>
      <c r="H594" s="87" t="s">
        <v>112</v>
      </c>
      <c r="I594" s="413" t="s">
        <v>113</v>
      </c>
      <c r="J594" s="413" t="s">
        <v>114</v>
      </c>
      <c r="K594" s="89" t="s">
        <v>25</v>
      </c>
      <c r="L594" s="90"/>
    </row>
    <row r="595" spans="2:12" hidden="1">
      <c r="B595" s="417"/>
      <c r="C595" s="1028" t="s">
        <v>191</v>
      </c>
      <c r="D595" s="1028"/>
      <c r="E595" s="1028"/>
      <c r="F595" s="91">
        <v>4</v>
      </c>
      <c r="G595" s="91">
        <v>0.4</v>
      </c>
      <c r="H595" s="91">
        <v>0.15</v>
      </c>
      <c r="I595" s="91">
        <v>0.15</v>
      </c>
      <c r="J595" s="91"/>
      <c r="K595" s="418">
        <f>TRUNC(G595*H595*F595*I595,2)</f>
        <v>0.03</v>
      </c>
      <c r="L595" s="90"/>
    </row>
    <row r="596" spans="2:12" hidden="1">
      <c r="B596" s="417"/>
      <c r="C596" s="987" t="s">
        <v>116</v>
      </c>
      <c r="D596" s="987"/>
      <c r="E596" s="987"/>
      <c r="F596" s="987"/>
      <c r="G596" s="987"/>
      <c r="H596" s="987"/>
      <c r="I596" s="987"/>
      <c r="J596" s="987"/>
      <c r="K596" s="89">
        <f>SUM(K595:K595)</f>
        <v>0.03</v>
      </c>
      <c r="L596" s="90"/>
    </row>
    <row r="597" spans="2:12" ht="18" hidden="1" customHeight="1">
      <c r="B597" s="219"/>
      <c r="C597" s="219"/>
      <c r="D597" s="219"/>
      <c r="E597" s="219"/>
      <c r="F597" s="219"/>
      <c r="G597" s="219"/>
      <c r="H597" s="219"/>
      <c r="I597" s="219"/>
      <c r="J597" s="219"/>
      <c r="K597" s="219"/>
      <c r="L597" s="219"/>
    </row>
    <row r="598" spans="2:12" ht="15" hidden="1" customHeight="1">
      <c r="B598" s="85" t="str">
        <f>'[6]PLANILHA ORÇAMENTÁRIA'!D145</f>
        <v>14.5.4</v>
      </c>
      <c r="C598" s="1032" t="str">
        <f>'[6]PLANILHA ORÇAMENTÁRIA'!E145</f>
        <v>TUBO DE AÇO GALVANIZADO COM COSTURA 2" - FORNECIMENTO E INSTALACAO. - M</v>
      </c>
      <c r="D598" s="1032"/>
      <c r="E598" s="1032"/>
      <c r="F598" s="1032"/>
      <c r="G598" s="1032"/>
      <c r="H598" s="1032"/>
      <c r="I598" s="1032"/>
      <c r="J598" s="1032"/>
      <c r="K598" s="294" t="str">
        <f>'[6]PLANILHA ORÇAMENTÁRIA'!F145</f>
        <v>M</v>
      </c>
      <c r="L598" s="295">
        <f>K602</f>
        <v>14</v>
      </c>
    </row>
    <row r="599" spans="2:12" hidden="1">
      <c r="B599" s="417"/>
      <c r="C599" s="983" t="s">
        <v>20</v>
      </c>
      <c r="D599" s="983"/>
      <c r="E599" s="983"/>
      <c r="F599" s="87" t="s">
        <v>22</v>
      </c>
      <c r="G599" s="413" t="s">
        <v>111</v>
      </c>
      <c r="H599" s="87" t="s">
        <v>112</v>
      </c>
      <c r="I599" s="413" t="s">
        <v>113</v>
      </c>
      <c r="J599" s="413" t="s">
        <v>114</v>
      </c>
      <c r="K599" s="89" t="s">
        <v>25</v>
      </c>
      <c r="L599" s="90"/>
    </row>
    <row r="600" spans="2:12" hidden="1">
      <c r="B600" s="417"/>
      <c r="C600" s="1028" t="s">
        <v>189</v>
      </c>
      <c r="D600" s="1028"/>
      <c r="E600" s="1028"/>
      <c r="F600" s="91">
        <v>4</v>
      </c>
      <c r="G600" s="91"/>
      <c r="H600" s="91"/>
      <c r="I600" s="91">
        <v>1.6</v>
      </c>
      <c r="J600" s="91"/>
      <c r="K600" s="418">
        <f>F600*I600</f>
        <v>6.4</v>
      </c>
      <c r="L600" s="90"/>
    </row>
    <row r="601" spans="2:12" hidden="1">
      <c r="B601" s="417"/>
      <c r="C601" s="984" t="s">
        <v>190</v>
      </c>
      <c r="D601" s="985"/>
      <c r="E601" s="986"/>
      <c r="F601" s="91">
        <v>4</v>
      </c>
      <c r="G601" s="91"/>
      <c r="H601" s="91"/>
      <c r="I601" s="91">
        <v>1.9</v>
      </c>
      <c r="J601" s="91"/>
      <c r="K601" s="418">
        <f>F601*I601</f>
        <v>7.6</v>
      </c>
      <c r="L601" s="90"/>
    </row>
    <row r="602" spans="2:12" hidden="1">
      <c r="B602" s="417"/>
      <c r="C602" s="987" t="s">
        <v>116</v>
      </c>
      <c r="D602" s="987"/>
      <c r="E602" s="987"/>
      <c r="F602" s="987"/>
      <c r="G602" s="987"/>
      <c r="H602" s="987"/>
      <c r="I602" s="987"/>
      <c r="J602" s="987"/>
      <c r="K602" s="89">
        <f>SUM(K600:K601)</f>
        <v>14</v>
      </c>
      <c r="L602" s="90"/>
    </row>
    <row r="603" spans="2:12" hidden="1">
      <c r="B603" s="417"/>
      <c r="C603" s="211"/>
      <c r="D603" s="211"/>
      <c r="E603" s="211"/>
      <c r="F603" s="211"/>
      <c r="G603" s="211"/>
      <c r="H603" s="211"/>
      <c r="I603" s="211"/>
      <c r="J603" s="211"/>
      <c r="K603" s="212"/>
      <c r="L603" s="90"/>
    </row>
    <row r="604" spans="2:12" ht="15" hidden="1" customHeight="1">
      <c r="B604" s="85" t="str">
        <f>'[6]PLANILHA ORÇAMENTÁRIA'!D146</f>
        <v>14.5.5</v>
      </c>
      <c r="C604" s="1032" t="str">
        <f>'[6]PLANILHA ORÇAMENTÁRIA'!E146</f>
        <v>PINTURA ESMALTE ALTO BRILHO, DUAS DEMAOS, SOBRE SUPERFICIE METALICA</v>
      </c>
      <c r="D604" s="1032"/>
      <c r="E604" s="1032"/>
      <c r="F604" s="1032"/>
      <c r="G604" s="1032"/>
      <c r="H604" s="1032"/>
      <c r="I604" s="1032"/>
      <c r="J604" s="1032"/>
      <c r="K604" s="294" t="str">
        <f>'[6]PLANILHA ORÇAMENTÁRIA'!F146</f>
        <v>M2</v>
      </c>
      <c r="L604" s="295">
        <f>K608</f>
        <v>1.94</v>
      </c>
    </row>
    <row r="605" spans="2:12" hidden="1">
      <c r="B605" s="417"/>
      <c r="C605" s="983" t="s">
        <v>20</v>
      </c>
      <c r="D605" s="983"/>
      <c r="E605" s="983"/>
      <c r="F605" s="87" t="s">
        <v>22</v>
      </c>
      <c r="G605" s="413" t="s">
        <v>111</v>
      </c>
      <c r="H605" s="87" t="s">
        <v>178</v>
      </c>
      <c r="I605" s="413" t="s">
        <v>113</v>
      </c>
      <c r="J605" s="413" t="s">
        <v>114</v>
      </c>
      <c r="K605" s="89" t="s">
        <v>25</v>
      </c>
      <c r="L605" s="90"/>
    </row>
    <row r="606" spans="2:12" hidden="1">
      <c r="B606" s="417"/>
      <c r="C606" s="1028" t="s">
        <v>189</v>
      </c>
      <c r="D606" s="1028"/>
      <c r="E606" s="1028"/>
      <c r="F606" s="91">
        <v>4</v>
      </c>
      <c r="G606" s="91"/>
      <c r="H606" s="300">
        <v>2.5000000000000001E-2</v>
      </c>
      <c r="I606" s="91">
        <v>1.2</v>
      </c>
      <c r="J606" s="91"/>
      <c r="K606" s="418">
        <f>TRUNC((2*3.14*H606*I606)*F606,2)</f>
        <v>0.75</v>
      </c>
      <c r="L606" s="90"/>
    </row>
    <row r="607" spans="2:12" hidden="1">
      <c r="B607" s="417"/>
      <c r="C607" s="984" t="s">
        <v>190</v>
      </c>
      <c r="D607" s="985"/>
      <c r="E607" s="986"/>
      <c r="F607" s="91">
        <v>4</v>
      </c>
      <c r="G607" s="91"/>
      <c r="H607" s="300">
        <v>2.5000000000000001E-2</v>
      </c>
      <c r="I607" s="91">
        <v>1.9</v>
      </c>
      <c r="J607" s="91"/>
      <c r="K607" s="418">
        <f>TRUNC((2*3.14*H607*I607)*F607,2)</f>
        <v>1.19</v>
      </c>
      <c r="L607" s="90"/>
    </row>
    <row r="608" spans="2:12" hidden="1">
      <c r="B608" s="417"/>
      <c r="C608" s="987" t="s">
        <v>116</v>
      </c>
      <c r="D608" s="987"/>
      <c r="E608" s="987"/>
      <c r="F608" s="987"/>
      <c r="G608" s="987"/>
      <c r="H608" s="987"/>
      <c r="I608" s="987"/>
      <c r="J608" s="987"/>
      <c r="K608" s="89">
        <f>SUM(K606:K607)</f>
        <v>1.94</v>
      </c>
      <c r="L608" s="90"/>
    </row>
    <row r="609" spans="2:12" hidden="1">
      <c r="B609" s="219"/>
      <c r="C609" s="219"/>
      <c r="D609" s="219"/>
      <c r="E609" s="219"/>
      <c r="F609" s="219"/>
      <c r="G609" s="219"/>
      <c r="H609" s="219"/>
      <c r="I609" s="219"/>
      <c r="J609" s="219"/>
      <c r="K609" s="219"/>
      <c r="L609" s="219"/>
    </row>
    <row r="610" spans="2:12" hidden="1">
      <c r="B610" s="292" t="str">
        <f>'[6]PLANILHA ORÇAMENTÁRIA'!D147</f>
        <v>14.6</v>
      </c>
      <c r="C610" s="1093" t="str">
        <f>'[6]PLANILHA ORÇAMENTÁRIA'!E147</f>
        <v>BANCOS DE APOIO</v>
      </c>
      <c r="D610" s="1093"/>
      <c r="E610" s="1093"/>
      <c r="F610" s="1093"/>
      <c r="G610" s="1093"/>
      <c r="H610" s="1093"/>
      <c r="I610" s="1093"/>
      <c r="J610" s="1093"/>
      <c r="K610" s="293"/>
      <c r="L610" s="293"/>
    </row>
    <row r="611" spans="2:12" ht="15" hidden="1" customHeight="1">
      <c r="B611" s="85" t="str">
        <f>'[6]PLANILHA ORÇAMENTÁRIA'!D148</f>
        <v>14.6.1</v>
      </c>
      <c r="C611" s="1032" t="str">
        <f>'[6]PLANILHA ORÇAMENTÁRIA'!E148</f>
        <v>CONJUNTO DE BANCOS, TAMPO EM CONCRETO SIMPLES, DESEMPOLADA H=5OCM, 40CM E 30CM</v>
      </c>
      <c r="D611" s="1032"/>
      <c r="E611" s="1032"/>
      <c r="F611" s="1032"/>
      <c r="G611" s="1032"/>
      <c r="H611" s="1032"/>
      <c r="I611" s="1032"/>
      <c r="J611" s="1032"/>
      <c r="K611" s="294" t="str">
        <f>'[6]PLANILHA ORÇAMENTÁRIA'!F148</f>
        <v>CJ</v>
      </c>
      <c r="L611" s="295">
        <f>K614</f>
        <v>1</v>
      </c>
    </row>
    <row r="612" spans="2:12" hidden="1">
      <c r="B612" s="417"/>
      <c r="C612" s="983" t="s">
        <v>20</v>
      </c>
      <c r="D612" s="983"/>
      <c r="E612" s="983"/>
      <c r="F612" s="87" t="s">
        <v>22</v>
      </c>
      <c r="G612" s="413" t="s">
        <v>111</v>
      </c>
      <c r="H612" s="87" t="s">
        <v>112</v>
      </c>
      <c r="I612" s="413" t="s">
        <v>113</v>
      </c>
      <c r="J612" s="413" t="s">
        <v>114</v>
      </c>
      <c r="K612" s="89" t="s">
        <v>25</v>
      </c>
      <c r="L612" s="90"/>
    </row>
    <row r="613" spans="2:12" hidden="1">
      <c r="B613" s="417"/>
      <c r="C613" s="1028" t="s">
        <v>192</v>
      </c>
      <c r="D613" s="1028"/>
      <c r="E613" s="1028"/>
      <c r="F613" s="91">
        <v>1</v>
      </c>
      <c r="G613" s="91"/>
      <c r="H613" s="91"/>
      <c r="I613" s="91"/>
      <c r="J613" s="91"/>
      <c r="K613" s="296">
        <f>PRODUCT(F613:I613)</f>
        <v>1</v>
      </c>
      <c r="L613" s="90"/>
    </row>
    <row r="614" spans="2:12" hidden="1">
      <c r="B614" s="417"/>
      <c r="C614" s="987" t="s">
        <v>116</v>
      </c>
      <c r="D614" s="987"/>
      <c r="E614" s="987"/>
      <c r="F614" s="987"/>
      <c r="G614" s="987"/>
      <c r="H614" s="987"/>
      <c r="I614" s="987"/>
      <c r="J614" s="987"/>
      <c r="K614" s="298">
        <f>SUM(K613:K613)</f>
        <v>1</v>
      </c>
      <c r="L614" s="90"/>
    </row>
    <row r="615" spans="2:12" ht="15" hidden="1" customHeight="1">
      <c r="B615" s="219"/>
      <c r="C615" s="219"/>
      <c r="D615" s="219"/>
      <c r="E615" s="219"/>
      <c r="F615" s="219"/>
      <c r="G615" s="219"/>
      <c r="H615" s="219"/>
      <c r="I615" s="219"/>
      <c r="J615" s="219"/>
      <c r="K615" s="219"/>
      <c r="L615" s="219"/>
    </row>
    <row r="616" spans="2:12" hidden="1">
      <c r="B616" s="292" t="str">
        <f>'[6]PLANILHA ORÇAMENTÁRIA'!D149</f>
        <v>14.7</v>
      </c>
      <c r="C616" s="1093" t="str">
        <f>'[6]PLANILHA ORÇAMENTÁRIA'!E149</f>
        <v>PRANCHAS PARA EXERCICIOS ABDOMINAIS</v>
      </c>
      <c r="D616" s="1093"/>
      <c r="E616" s="1093"/>
      <c r="F616" s="1093"/>
      <c r="G616" s="1093"/>
      <c r="H616" s="1093"/>
      <c r="I616" s="1093"/>
      <c r="J616" s="1093"/>
      <c r="K616" s="293"/>
      <c r="L616" s="293"/>
    </row>
    <row r="617" spans="2:12" ht="26.25" hidden="1" customHeight="1">
      <c r="B617" s="85" t="str">
        <f>'[6]PLANILHA ORÇAMENTÁRIA'!D150</f>
        <v>14.7.1</v>
      </c>
      <c r="C617" s="1032" t="str">
        <f>'[6]PLANILHA ORÇAMENTÁRIA'!E150</f>
        <v>CONJUNTO DE PRANCHAS P/ EXERCICIOS ABDOMINAIS, TAMPO EM CONCRETO SIMPLES, DESEMPOLADA H=80CM, H=5OCM E 40CM</v>
      </c>
      <c r="D617" s="1032"/>
      <c r="E617" s="1032"/>
      <c r="F617" s="1032"/>
      <c r="G617" s="1032"/>
      <c r="H617" s="1032"/>
      <c r="I617" s="1032"/>
      <c r="J617" s="1032"/>
      <c r="K617" s="294" t="str">
        <f>'[6]PLANILHA ORÇAMENTÁRIA'!F150</f>
        <v>CJ</v>
      </c>
      <c r="L617" s="295">
        <f>K620</f>
        <v>1</v>
      </c>
    </row>
    <row r="618" spans="2:12" hidden="1">
      <c r="B618" s="417"/>
      <c r="C618" s="983" t="s">
        <v>20</v>
      </c>
      <c r="D618" s="983"/>
      <c r="E618" s="983"/>
      <c r="F618" s="87" t="s">
        <v>22</v>
      </c>
      <c r="G618" s="413" t="s">
        <v>111</v>
      </c>
      <c r="H618" s="87" t="s">
        <v>112</v>
      </c>
      <c r="I618" s="413" t="s">
        <v>113</v>
      </c>
      <c r="J618" s="413" t="s">
        <v>114</v>
      </c>
      <c r="K618" s="89" t="s">
        <v>25</v>
      </c>
      <c r="L618" s="90"/>
    </row>
    <row r="619" spans="2:12" hidden="1">
      <c r="B619" s="417"/>
      <c r="C619" s="1028" t="s">
        <v>193</v>
      </c>
      <c r="D619" s="1028"/>
      <c r="E619" s="1028"/>
      <c r="F619" s="91">
        <v>1</v>
      </c>
      <c r="G619" s="91"/>
      <c r="H619" s="91"/>
      <c r="I619" s="91"/>
      <c r="J619" s="91"/>
      <c r="K619" s="296">
        <f>PRODUCT(F619:I619)</f>
        <v>1</v>
      </c>
      <c r="L619" s="90"/>
    </row>
    <row r="620" spans="2:12" hidden="1">
      <c r="B620" s="417"/>
      <c r="C620" s="987" t="s">
        <v>116</v>
      </c>
      <c r="D620" s="987"/>
      <c r="E620" s="987"/>
      <c r="F620" s="987"/>
      <c r="G620" s="987"/>
      <c r="H620" s="987"/>
      <c r="I620" s="987"/>
      <c r="J620" s="987"/>
      <c r="K620" s="298">
        <f>SUM(K619:K619)</f>
        <v>1</v>
      </c>
      <c r="L620" s="90"/>
    </row>
    <row r="621" spans="2:12" hidden="1">
      <c r="B621" s="417"/>
      <c r="C621" s="211"/>
      <c r="D621" s="211"/>
      <c r="E621" s="211"/>
      <c r="F621" s="211"/>
      <c r="G621" s="211"/>
      <c r="H621" s="211"/>
      <c r="I621" s="211"/>
      <c r="J621" s="211"/>
      <c r="K621" s="299"/>
      <c r="L621" s="90"/>
    </row>
    <row r="622" spans="2:12" hidden="1">
      <c r="B622" s="417"/>
      <c r="C622" s="211"/>
      <c r="D622" s="211"/>
      <c r="E622" s="211"/>
      <c r="F622" s="211"/>
      <c r="G622" s="211"/>
      <c r="H622" s="211"/>
      <c r="I622" s="211"/>
      <c r="J622" s="211"/>
      <c r="K622" s="212"/>
      <c r="L622" s="90"/>
    </row>
    <row r="623" spans="2:12" ht="15" hidden="1" customHeight="1">
      <c r="B623" s="85" t="str">
        <f>'[6]PLANILHA ORÇAMENTÁRIA'!D153</f>
        <v>15.2</v>
      </c>
      <c r="C623" s="1032" t="str">
        <f>'[6]PLANILHA ORÇAMENTÁRIA'!E153</f>
        <v>BARRA DE APOIO RETA, EM ACO INOX POLIDO, COMPRIMENTO 60CM, DIAMETRO MINIMO 3CM</v>
      </c>
      <c r="D623" s="1032"/>
      <c r="E623" s="1032"/>
      <c r="F623" s="1032"/>
      <c r="G623" s="1032"/>
      <c r="H623" s="1032"/>
      <c r="I623" s="1032"/>
      <c r="J623" s="1032"/>
      <c r="K623" s="294" t="str">
        <f>'[6]PLANILHA ORÇAMENTÁRIA'!F153</f>
        <v>UND</v>
      </c>
      <c r="L623" s="295">
        <f>K627</f>
        <v>2</v>
      </c>
    </row>
    <row r="624" spans="2:12" hidden="1">
      <c r="B624" s="417"/>
      <c r="C624" s="1018" t="s">
        <v>20</v>
      </c>
      <c r="D624" s="1019"/>
      <c r="E624" s="1020"/>
      <c r="F624" s="87" t="s">
        <v>22</v>
      </c>
      <c r="G624" s="413" t="s">
        <v>111</v>
      </c>
      <c r="H624" s="413" t="s">
        <v>114</v>
      </c>
      <c r="I624" s="413" t="s">
        <v>113</v>
      </c>
      <c r="J624" s="413" t="s">
        <v>136</v>
      </c>
      <c r="K624" s="89" t="s">
        <v>25</v>
      </c>
      <c r="L624" s="90"/>
    </row>
    <row r="625" spans="2:12" ht="15" hidden="1" customHeight="1">
      <c r="B625" s="417"/>
      <c r="C625" s="984" t="s">
        <v>170</v>
      </c>
      <c r="D625" s="985"/>
      <c r="E625" s="986"/>
      <c r="F625" s="91">
        <v>1</v>
      </c>
      <c r="G625" s="91"/>
      <c r="H625" s="91"/>
      <c r="I625" s="91"/>
      <c r="J625" s="91"/>
      <c r="K625" s="418">
        <f>F625</f>
        <v>1</v>
      </c>
      <c r="L625" s="90"/>
    </row>
    <row r="626" spans="2:12" ht="15" hidden="1" customHeight="1">
      <c r="B626" s="417"/>
      <c r="C626" s="984" t="s">
        <v>194</v>
      </c>
      <c r="D626" s="985"/>
      <c r="E626" s="986"/>
      <c r="F626" s="91">
        <v>1</v>
      </c>
      <c r="G626" s="91"/>
      <c r="H626" s="91"/>
      <c r="I626" s="91"/>
      <c r="J626" s="91"/>
      <c r="K626" s="418">
        <f>F626</f>
        <v>1</v>
      </c>
      <c r="L626" s="90"/>
    </row>
    <row r="627" spans="2:12" hidden="1">
      <c r="B627" s="417"/>
      <c r="C627" s="1014" t="s">
        <v>116</v>
      </c>
      <c r="D627" s="1015"/>
      <c r="E627" s="1015"/>
      <c r="F627" s="1015"/>
      <c r="G627" s="1015"/>
      <c r="H627" s="1015"/>
      <c r="I627" s="1015"/>
      <c r="J627" s="1016"/>
      <c r="K627" s="89">
        <f>SUM(K625:K626)</f>
        <v>2</v>
      </c>
      <c r="L627" s="90"/>
    </row>
    <row r="628" spans="2:12" hidden="1">
      <c r="B628" s="417"/>
      <c r="C628" s="211"/>
      <c r="D628" s="211"/>
      <c r="E628" s="211"/>
      <c r="F628" s="211"/>
      <c r="G628" s="211"/>
      <c r="H628" s="211"/>
      <c r="I628" s="211"/>
      <c r="J628" s="211"/>
      <c r="K628" s="212"/>
      <c r="L628" s="90"/>
    </row>
    <row r="629" spans="2:12" ht="15" hidden="1" customHeight="1">
      <c r="B629" s="85" t="str">
        <f>'[6]PLANILHA ORÇAMENTÁRIA'!D154</f>
        <v>15.3</v>
      </c>
      <c r="C629" s="1032" t="str">
        <f>'[6]PLANILHA ORÇAMENTÁRIA'!E154</f>
        <v>PRATELEIRA EM CONCRETO ARMADO, LARGURA = 40CM, ESP= 5CM, REVESTIDA COM CERAMICA.</v>
      </c>
      <c r="D629" s="1032"/>
      <c r="E629" s="1032"/>
      <c r="F629" s="1032"/>
      <c r="G629" s="1032"/>
      <c r="H629" s="1032"/>
      <c r="I629" s="1032"/>
      <c r="J629" s="1032"/>
      <c r="K629" s="294" t="str">
        <f>'[6]PLANILHA ORÇAMENTÁRIA'!F154</f>
        <v>M</v>
      </c>
      <c r="L629" s="295">
        <f>K632</f>
        <v>12.6</v>
      </c>
    </row>
    <row r="630" spans="2:12" hidden="1">
      <c r="B630" s="417"/>
      <c r="C630" s="1018" t="s">
        <v>20</v>
      </c>
      <c r="D630" s="1019"/>
      <c r="E630" s="1020"/>
      <c r="F630" s="87" t="s">
        <v>22</v>
      </c>
      <c r="G630" s="413" t="s">
        <v>111</v>
      </c>
      <c r="H630" s="413" t="s">
        <v>114</v>
      </c>
      <c r="I630" s="413" t="s">
        <v>113</v>
      </c>
      <c r="J630" s="413" t="s">
        <v>136</v>
      </c>
      <c r="K630" s="89" t="s">
        <v>25</v>
      </c>
      <c r="L630" s="90"/>
    </row>
    <row r="631" spans="2:12" hidden="1">
      <c r="B631" s="417"/>
      <c r="C631" s="984" t="s">
        <v>167</v>
      </c>
      <c r="D631" s="985"/>
      <c r="E631" s="986"/>
      <c r="F631" s="91">
        <v>3</v>
      </c>
      <c r="G631" s="91"/>
      <c r="H631" s="91"/>
      <c r="I631" s="91">
        <v>4.2</v>
      </c>
      <c r="J631" s="91"/>
      <c r="K631" s="418">
        <f>TRUNC((I631*F631),2)</f>
        <v>12.6</v>
      </c>
      <c r="L631" s="90"/>
    </row>
    <row r="632" spans="2:12" hidden="1">
      <c r="B632" s="417"/>
      <c r="C632" s="1014" t="s">
        <v>116</v>
      </c>
      <c r="D632" s="1015"/>
      <c r="E632" s="1015"/>
      <c r="F632" s="1015"/>
      <c r="G632" s="1015"/>
      <c r="H632" s="1015"/>
      <c r="I632" s="1015"/>
      <c r="J632" s="1016"/>
      <c r="K632" s="89">
        <f>SUM(K631:K631)</f>
        <v>12.6</v>
      </c>
      <c r="L632" s="90"/>
    </row>
    <row r="633" spans="2:12" hidden="1">
      <c r="B633" s="417"/>
      <c r="C633" s="211"/>
      <c r="D633" s="211"/>
      <c r="E633" s="211"/>
      <c r="F633" s="211"/>
      <c r="G633" s="211"/>
      <c r="H633" s="211"/>
      <c r="I633" s="211"/>
      <c r="J633" s="211"/>
      <c r="K633" s="212"/>
      <c r="L633" s="90"/>
    </row>
    <row r="634" spans="2:12">
      <c r="B634" s="292" t="s">
        <v>1480</v>
      </c>
      <c r="C634" s="1093" t="s">
        <v>760</v>
      </c>
      <c r="D634" s="1093"/>
      <c r="E634" s="1093"/>
      <c r="F634" s="1093"/>
      <c r="G634" s="1093"/>
      <c r="H634" s="1093"/>
      <c r="I634" s="1093"/>
      <c r="J634" s="1093"/>
      <c r="K634" s="293"/>
      <c r="L634" s="293"/>
    </row>
    <row r="635" spans="2:12">
      <c r="B635" s="292" t="s">
        <v>1380</v>
      </c>
      <c r="C635" s="416" t="s">
        <v>761</v>
      </c>
      <c r="D635" s="416"/>
      <c r="E635" s="416"/>
      <c r="F635" s="416"/>
      <c r="G635" s="416"/>
      <c r="H635" s="416"/>
      <c r="I635" s="416"/>
      <c r="J635" s="416"/>
      <c r="K635" s="293"/>
      <c r="L635" s="293"/>
    </row>
    <row r="636" spans="2:12">
      <c r="B636" s="90"/>
      <c r="C636" s="90"/>
      <c r="D636" s="90"/>
      <c r="E636" s="90"/>
      <c r="F636" s="90"/>
      <c r="G636" s="90"/>
      <c r="H636" s="90"/>
      <c r="I636" s="90"/>
      <c r="J636" s="90"/>
      <c r="K636" s="90"/>
      <c r="L636" s="90"/>
    </row>
    <row r="637" spans="2:12" ht="24.75" customHeight="1">
      <c r="B637" s="417" t="s">
        <v>1381</v>
      </c>
      <c r="C637" s="980" t="s">
        <v>762</v>
      </c>
      <c r="D637" s="981"/>
      <c r="E637" s="981"/>
      <c r="F637" s="981"/>
      <c r="G637" s="981"/>
      <c r="H637" s="981"/>
      <c r="I637" s="981"/>
      <c r="J637" s="982"/>
      <c r="K637" s="97" t="s">
        <v>7</v>
      </c>
      <c r="L637" s="97">
        <f>I639*H639</f>
        <v>25.92</v>
      </c>
    </row>
    <row r="638" spans="2:12">
      <c r="B638" s="417"/>
      <c r="C638" s="983" t="s">
        <v>20</v>
      </c>
      <c r="D638" s="983"/>
      <c r="E638" s="983"/>
      <c r="F638" s="87" t="s">
        <v>22</v>
      </c>
      <c r="G638" s="413" t="s">
        <v>111</v>
      </c>
      <c r="H638" s="87" t="s">
        <v>112</v>
      </c>
      <c r="I638" s="413" t="s">
        <v>113</v>
      </c>
      <c r="J638" s="413" t="s">
        <v>114</v>
      </c>
      <c r="K638" s="89" t="s">
        <v>25</v>
      </c>
      <c r="L638" s="90"/>
    </row>
    <row r="639" spans="2:12">
      <c r="B639" s="417"/>
      <c r="C639" s="984" t="s">
        <v>885</v>
      </c>
      <c r="D639" s="985"/>
      <c r="E639" s="986"/>
      <c r="F639" s="91">
        <v>1</v>
      </c>
      <c r="G639" s="91">
        <v>1</v>
      </c>
      <c r="H639" s="91">
        <v>12.96</v>
      </c>
      <c r="I639" s="91">
        <v>2</v>
      </c>
      <c r="J639" s="91">
        <v>1</v>
      </c>
      <c r="K639" s="418">
        <f>(F639*G639*H639*I639)-J639</f>
        <v>24.92</v>
      </c>
      <c r="L639" s="90"/>
    </row>
    <row r="640" spans="2:12">
      <c r="B640" s="417"/>
      <c r="C640" s="987" t="s">
        <v>116</v>
      </c>
      <c r="D640" s="987"/>
      <c r="E640" s="987"/>
      <c r="F640" s="987"/>
      <c r="G640" s="987"/>
      <c r="H640" s="987"/>
      <c r="I640" s="987"/>
      <c r="J640" s="987"/>
      <c r="K640" s="89">
        <f>SUM(K639:K639)</f>
        <v>24.92</v>
      </c>
      <c r="L640" s="90"/>
    </row>
    <row r="641" spans="2:12">
      <c r="B641" s="417"/>
      <c r="C641" s="211"/>
      <c r="D641" s="211"/>
      <c r="E641" s="211"/>
      <c r="F641" s="211"/>
      <c r="G641" s="211"/>
      <c r="H641" s="211"/>
      <c r="I641" s="211"/>
      <c r="J641" s="211"/>
      <c r="K641" s="212"/>
      <c r="L641" s="90"/>
    </row>
    <row r="642" spans="2:12" ht="28.5" customHeight="1">
      <c r="B642" s="417" t="s">
        <v>1382</v>
      </c>
      <c r="C642" s="980" t="s">
        <v>763</v>
      </c>
      <c r="D642" s="981"/>
      <c r="E642" s="981"/>
      <c r="F642" s="981"/>
      <c r="G642" s="981"/>
      <c r="H642" s="981"/>
      <c r="I642" s="981"/>
      <c r="J642" s="982"/>
      <c r="K642" s="97" t="s">
        <v>7</v>
      </c>
      <c r="L642" s="97">
        <f>K645</f>
        <v>84.96</v>
      </c>
    </row>
    <row r="643" spans="2:12">
      <c r="B643" s="417"/>
      <c r="C643" s="983" t="s">
        <v>20</v>
      </c>
      <c r="D643" s="983"/>
      <c r="E643" s="983"/>
      <c r="F643" s="87" t="s">
        <v>22</v>
      </c>
      <c r="G643" s="413" t="s">
        <v>111</v>
      </c>
      <c r="H643" s="87" t="s">
        <v>112</v>
      </c>
      <c r="I643" s="413" t="s">
        <v>113</v>
      </c>
      <c r="J643" s="413" t="s">
        <v>114</v>
      </c>
      <c r="K643" s="89" t="s">
        <v>25</v>
      </c>
      <c r="L643" s="90"/>
    </row>
    <row r="644" spans="2:12" ht="26.25" customHeight="1">
      <c r="B644" s="417"/>
      <c r="C644" s="984" t="s">
        <v>886</v>
      </c>
      <c r="D644" s="985"/>
      <c r="E644" s="986"/>
      <c r="F644" s="91">
        <v>1</v>
      </c>
      <c r="G644" s="91">
        <v>1</v>
      </c>
      <c r="H644" s="91">
        <v>2</v>
      </c>
      <c r="I644" s="91">
        <v>42.48</v>
      </c>
      <c r="J644" s="91">
        <v>0</v>
      </c>
      <c r="K644" s="418">
        <f>(F644*G644*H644*I644)-J644</f>
        <v>84.96</v>
      </c>
      <c r="L644" s="90"/>
    </row>
    <row r="645" spans="2:12">
      <c r="B645" s="417"/>
      <c r="C645" s="987" t="s">
        <v>116</v>
      </c>
      <c r="D645" s="987"/>
      <c r="E645" s="987"/>
      <c r="F645" s="987"/>
      <c r="G645" s="987"/>
      <c r="H645" s="987"/>
      <c r="I645" s="987"/>
      <c r="J645" s="987"/>
      <c r="K645" s="89">
        <f>SUM(K644:K644)</f>
        <v>84.96</v>
      </c>
      <c r="L645" s="90"/>
    </row>
    <row r="646" spans="2:12">
      <c r="B646" s="219"/>
      <c r="C646" s="219"/>
      <c r="D646" s="219"/>
      <c r="E646" s="219"/>
      <c r="F646" s="219"/>
      <c r="G646" s="219"/>
      <c r="H646" s="219"/>
      <c r="I646" s="219"/>
      <c r="J646" s="219"/>
      <c r="K646" s="219"/>
      <c r="L646" s="219"/>
    </row>
    <row r="647" spans="2:12" ht="27" customHeight="1">
      <c r="B647" s="417" t="s">
        <v>1383</v>
      </c>
      <c r="C647" s="980" t="s">
        <v>764</v>
      </c>
      <c r="D647" s="981"/>
      <c r="E647" s="981"/>
      <c r="F647" s="981"/>
      <c r="G647" s="981"/>
      <c r="H647" s="981"/>
      <c r="I647" s="981"/>
      <c r="J647" s="982"/>
      <c r="K647" s="97" t="s">
        <v>317</v>
      </c>
      <c r="L647" s="97">
        <f>K650</f>
        <v>231.27</v>
      </c>
    </row>
    <row r="648" spans="2:12">
      <c r="B648" s="417"/>
      <c r="C648" s="983" t="s">
        <v>20</v>
      </c>
      <c r="D648" s="983"/>
      <c r="E648" s="983"/>
      <c r="F648" s="87" t="s">
        <v>22</v>
      </c>
      <c r="G648" s="413" t="s">
        <v>111</v>
      </c>
      <c r="H648" s="87" t="s">
        <v>887</v>
      </c>
      <c r="I648" s="413" t="s">
        <v>113</v>
      </c>
      <c r="J648" s="413" t="s">
        <v>114</v>
      </c>
      <c r="K648" s="89" t="s">
        <v>25</v>
      </c>
      <c r="L648" s="90"/>
    </row>
    <row r="649" spans="2:12" ht="20.25" customHeight="1">
      <c r="B649" s="417"/>
      <c r="C649" s="984" t="s">
        <v>594</v>
      </c>
      <c r="D649" s="985"/>
      <c r="E649" s="986"/>
      <c r="F649" s="91">
        <v>1</v>
      </c>
      <c r="G649" s="91">
        <v>1</v>
      </c>
      <c r="H649" s="91">
        <v>231.27</v>
      </c>
      <c r="I649" s="91">
        <v>1</v>
      </c>
      <c r="J649" s="91">
        <v>0</v>
      </c>
      <c r="K649" s="418">
        <f>(F649*G649*H649*I649)-J649</f>
        <v>231.27</v>
      </c>
      <c r="L649" s="90"/>
    </row>
    <row r="650" spans="2:12">
      <c r="B650" s="417"/>
      <c r="C650" s="987" t="s">
        <v>116</v>
      </c>
      <c r="D650" s="987"/>
      <c r="E650" s="987"/>
      <c r="F650" s="987"/>
      <c r="G650" s="987"/>
      <c r="H650" s="987"/>
      <c r="I650" s="987"/>
      <c r="J650" s="987"/>
      <c r="K650" s="89">
        <f>K649</f>
        <v>231.27</v>
      </c>
      <c r="L650" s="90"/>
    </row>
    <row r="651" spans="2:12">
      <c r="B651" s="417"/>
      <c r="C651" s="211"/>
      <c r="D651" s="211"/>
      <c r="E651" s="211"/>
      <c r="F651" s="211"/>
      <c r="G651" s="211"/>
      <c r="H651" s="211"/>
      <c r="I651" s="211"/>
      <c r="J651" s="211"/>
      <c r="K651" s="212"/>
      <c r="L651" s="90"/>
    </row>
    <row r="652" spans="2:12" ht="26.25" customHeight="1">
      <c r="B652" s="417" t="s">
        <v>1384</v>
      </c>
      <c r="C652" s="980" t="s">
        <v>765</v>
      </c>
      <c r="D652" s="981"/>
      <c r="E652" s="981"/>
      <c r="F652" s="981"/>
      <c r="G652" s="981"/>
      <c r="H652" s="981"/>
      <c r="I652" s="981"/>
      <c r="J652" s="982"/>
      <c r="K652" s="97" t="s">
        <v>7</v>
      </c>
      <c r="L652" s="97">
        <f>K655</f>
        <v>475.45</v>
      </c>
    </row>
    <row r="653" spans="2:12">
      <c r="B653" s="417"/>
      <c r="C653" s="983" t="s">
        <v>20</v>
      </c>
      <c r="D653" s="983"/>
      <c r="E653" s="983"/>
      <c r="F653" s="87" t="s">
        <v>22</v>
      </c>
      <c r="G653" s="413" t="s">
        <v>111</v>
      </c>
      <c r="H653" s="87" t="s">
        <v>887</v>
      </c>
      <c r="I653" s="413" t="s">
        <v>113</v>
      </c>
      <c r="J653" s="413" t="s">
        <v>114</v>
      </c>
      <c r="K653" s="89" t="s">
        <v>25</v>
      </c>
      <c r="L653" s="90"/>
    </row>
    <row r="654" spans="2:12" ht="15" customHeight="1">
      <c r="B654" s="417"/>
      <c r="C654" s="984" t="s">
        <v>594</v>
      </c>
      <c r="D654" s="985"/>
      <c r="E654" s="986"/>
      <c r="F654" s="91">
        <v>1</v>
      </c>
      <c r="G654" s="91">
        <v>1</v>
      </c>
      <c r="H654" s="91">
        <v>475.45</v>
      </c>
      <c r="I654" s="91">
        <v>1</v>
      </c>
      <c r="J654" s="91">
        <v>0</v>
      </c>
      <c r="K654" s="418">
        <f>(F654*G654*H654*I654)-J654</f>
        <v>475.45</v>
      </c>
      <c r="L654" s="90"/>
    </row>
    <row r="655" spans="2:12">
      <c r="B655" s="417"/>
      <c r="C655" s="987" t="s">
        <v>116</v>
      </c>
      <c r="D655" s="987"/>
      <c r="E655" s="987"/>
      <c r="F655" s="987"/>
      <c r="G655" s="987"/>
      <c r="H655" s="987"/>
      <c r="I655" s="987"/>
      <c r="J655" s="987"/>
      <c r="K655" s="89">
        <f>SUM(K654)</f>
        <v>475.45</v>
      </c>
      <c r="L655" s="90"/>
    </row>
    <row r="656" spans="2:12">
      <c r="B656" s="417"/>
      <c r="C656" s="211"/>
      <c r="D656" s="211"/>
      <c r="E656" s="211"/>
      <c r="F656" s="211"/>
      <c r="G656" s="211"/>
      <c r="H656" s="211"/>
      <c r="I656" s="211"/>
      <c r="J656" s="211"/>
      <c r="K656" s="212"/>
      <c r="L656" s="90"/>
    </row>
    <row r="657" spans="2:12" ht="30" customHeight="1">
      <c r="B657" s="417" t="s">
        <v>1385</v>
      </c>
      <c r="C657" s="980" t="s">
        <v>766</v>
      </c>
      <c r="D657" s="981"/>
      <c r="E657" s="981"/>
      <c r="F657" s="981"/>
      <c r="G657" s="981"/>
      <c r="H657" s="981"/>
      <c r="I657" s="981"/>
      <c r="J657" s="982"/>
      <c r="K657" s="97" t="s">
        <v>7</v>
      </c>
      <c r="L657" s="97">
        <f>K660</f>
        <v>190.91</v>
      </c>
    </row>
    <row r="658" spans="2:12">
      <c r="B658" s="417"/>
      <c r="C658" s="983" t="s">
        <v>20</v>
      </c>
      <c r="D658" s="983"/>
      <c r="E658" s="983"/>
      <c r="F658" s="87" t="s">
        <v>22</v>
      </c>
      <c r="G658" s="413" t="s">
        <v>111</v>
      </c>
      <c r="H658" s="87" t="s">
        <v>887</v>
      </c>
      <c r="I658" s="413" t="s">
        <v>113</v>
      </c>
      <c r="J658" s="413" t="s">
        <v>114</v>
      </c>
      <c r="K658" s="89" t="s">
        <v>25</v>
      </c>
      <c r="L658" s="90"/>
    </row>
    <row r="659" spans="2:12">
      <c r="B659" s="417"/>
      <c r="C659" s="984" t="s">
        <v>594</v>
      </c>
      <c r="D659" s="985"/>
      <c r="E659" s="986"/>
      <c r="F659" s="91">
        <v>1</v>
      </c>
      <c r="G659" s="91">
        <v>1</v>
      </c>
      <c r="H659" s="91">
        <v>190.91</v>
      </c>
      <c r="I659" s="91">
        <v>1</v>
      </c>
      <c r="J659" s="91">
        <v>0</v>
      </c>
      <c r="K659" s="418">
        <f>(F659*G659*H659*I659)-J659</f>
        <v>190.91</v>
      </c>
      <c r="L659" s="90"/>
    </row>
    <row r="660" spans="2:12">
      <c r="B660" s="417"/>
      <c r="C660" s="987" t="s">
        <v>116</v>
      </c>
      <c r="D660" s="987"/>
      <c r="E660" s="987"/>
      <c r="F660" s="987"/>
      <c r="G660" s="987"/>
      <c r="H660" s="987"/>
      <c r="I660" s="987"/>
      <c r="J660" s="987"/>
      <c r="K660" s="89">
        <f>SUM(K659)</f>
        <v>190.91</v>
      </c>
      <c r="L660" s="90"/>
    </row>
    <row r="661" spans="2:12">
      <c r="B661" s="417"/>
      <c r="C661" s="211"/>
      <c r="D661" s="211"/>
      <c r="E661" s="211"/>
      <c r="F661" s="211"/>
      <c r="G661" s="211"/>
      <c r="H661" s="211"/>
      <c r="I661" s="211"/>
      <c r="J661" s="211"/>
      <c r="K661" s="212"/>
      <c r="L661" s="90"/>
    </row>
    <row r="662" spans="2:12" ht="35.25" customHeight="1">
      <c r="B662" s="417" t="s">
        <v>1386</v>
      </c>
      <c r="C662" s="980" t="s">
        <v>767</v>
      </c>
      <c r="D662" s="981"/>
      <c r="E662" s="981"/>
      <c r="F662" s="981"/>
      <c r="G662" s="981"/>
      <c r="H662" s="981"/>
      <c r="I662" s="981"/>
      <c r="J662" s="982"/>
      <c r="K662" s="97" t="s">
        <v>15</v>
      </c>
      <c r="L662" s="97">
        <f>K665</f>
        <v>19.149999999999999</v>
      </c>
    </row>
    <row r="663" spans="2:12">
      <c r="B663" s="417"/>
      <c r="C663" s="983" t="s">
        <v>20</v>
      </c>
      <c r="D663" s="983"/>
      <c r="E663" s="983"/>
      <c r="F663" s="87" t="s">
        <v>22</v>
      </c>
      <c r="G663" s="413" t="s">
        <v>111</v>
      </c>
      <c r="H663" s="87" t="s">
        <v>112</v>
      </c>
      <c r="I663" s="413" t="s">
        <v>113</v>
      </c>
      <c r="J663" s="413" t="s">
        <v>114</v>
      </c>
      <c r="K663" s="89" t="s">
        <v>25</v>
      </c>
      <c r="L663" s="90"/>
    </row>
    <row r="664" spans="2:12">
      <c r="B664" s="417"/>
      <c r="C664" s="984" t="s">
        <v>594</v>
      </c>
      <c r="D664" s="985"/>
      <c r="E664" s="986"/>
      <c r="F664" s="91">
        <v>19.149999999999999</v>
      </c>
      <c r="G664" s="91">
        <v>1</v>
      </c>
      <c r="H664" s="91">
        <v>1</v>
      </c>
      <c r="I664" s="91">
        <v>1</v>
      </c>
      <c r="J664" s="91">
        <v>0</v>
      </c>
      <c r="K664" s="418">
        <f>(F664*G664*H664*I664)-J664</f>
        <v>19.149999999999999</v>
      </c>
      <c r="L664" s="90"/>
    </row>
    <row r="665" spans="2:12">
      <c r="B665" s="417"/>
      <c r="C665" s="987" t="s">
        <v>116</v>
      </c>
      <c r="D665" s="987"/>
      <c r="E665" s="987"/>
      <c r="F665" s="987"/>
      <c r="G665" s="987"/>
      <c r="H665" s="987"/>
      <c r="I665" s="987"/>
      <c r="J665" s="987"/>
      <c r="K665" s="89">
        <f>SUM(K664)</f>
        <v>19.149999999999999</v>
      </c>
      <c r="L665" s="90"/>
    </row>
    <row r="666" spans="2:12">
      <c r="B666" s="417"/>
      <c r="C666" s="211"/>
      <c r="D666" s="211"/>
      <c r="E666" s="211"/>
      <c r="F666" s="211"/>
      <c r="G666" s="211"/>
      <c r="H666" s="211"/>
      <c r="I666" s="211"/>
      <c r="J666" s="211"/>
      <c r="K666" s="212"/>
      <c r="L666" s="90"/>
    </row>
    <row r="667" spans="2:12">
      <c r="B667" s="292" t="s">
        <v>437</v>
      </c>
      <c r="C667" s="416" t="s">
        <v>888</v>
      </c>
      <c r="D667" s="416"/>
      <c r="E667" s="416"/>
      <c r="F667" s="416"/>
      <c r="G667" s="416"/>
      <c r="H667" s="416"/>
      <c r="I667" s="416"/>
      <c r="J667" s="416"/>
      <c r="K667" s="293"/>
      <c r="L667" s="293"/>
    </row>
    <row r="668" spans="2:12">
      <c r="B668" s="417"/>
      <c r="C668" s="211"/>
      <c r="D668" s="211"/>
      <c r="E668" s="211"/>
      <c r="F668" s="211"/>
      <c r="G668" s="211"/>
      <c r="H668" s="211"/>
      <c r="I668" s="211"/>
      <c r="J668" s="211"/>
      <c r="K668" s="212"/>
      <c r="L668" s="90"/>
    </row>
    <row r="669" spans="2:12" ht="24" customHeight="1">
      <c r="B669" s="417" t="s">
        <v>1387</v>
      </c>
      <c r="C669" s="980" t="s">
        <v>769</v>
      </c>
      <c r="D669" s="981"/>
      <c r="E669" s="981"/>
      <c r="F669" s="981"/>
      <c r="G669" s="981"/>
      <c r="H669" s="981"/>
      <c r="I669" s="981"/>
      <c r="J669" s="982"/>
      <c r="K669" s="97" t="s">
        <v>7</v>
      </c>
      <c r="L669" s="97">
        <f>K672</f>
        <v>16.059999999999999</v>
      </c>
    </row>
    <row r="670" spans="2:12">
      <c r="B670" s="417"/>
      <c r="C670" s="983" t="s">
        <v>20</v>
      </c>
      <c r="D670" s="983"/>
      <c r="E670" s="983"/>
      <c r="F670" s="87" t="s">
        <v>22</v>
      </c>
      <c r="G670" s="413" t="s">
        <v>111</v>
      </c>
      <c r="H670" s="87" t="s">
        <v>112</v>
      </c>
      <c r="I670" s="413" t="s">
        <v>113</v>
      </c>
      <c r="J670" s="413" t="s">
        <v>114</v>
      </c>
      <c r="K670" s="89" t="s">
        <v>25</v>
      </c>
      <c r="L670" s="90"/>
    </row>
    <row r="671" spans="2:12">
      <c r="B671" s="417"/>
      <c r="C671" s="984" t="s">
        <v>594</v>
      </c>
      <c r="D671" s="985"/>
      <c r="E671" s="986"/>
      <c r="F671" s="91">
        <v>1</v>
      </c>
      <c r="G671" s="91">
        <v>1</v>
      </c>
      <c r="H671" s="91">
        <v>2</v>
      </c>
      <c r="I671" s="91">
        <v>8.0299999999999994</v>
      </c>
      <c r="J671" s="91">
        <v>0</v>
      </c>
      <c r="K671" s="418">
        <f>(F671*G671*H671*I671)-J671</f>
        <v>16.059999999999999</v>
      </c>
      <c r="L671" s="90"/>
    </row>
    <row r="672" spans="2:12">
      <c r="B672" s="417"/>
      <c r="C672" s="987" t="s">
        <v>116</v>
      </c>
      <c r="D672" s="987"/>
      <c r="E672" s="987"/>
      <c r="F672" s="987"/>
      <c r="G672" s="987"/>
      <c r="H672" s="987"/>
      <c r="I672" s="987"/>
      <c r="J672" s="987"/>
      <c r="K672" s="89">
        <f>SUM(K671)</f>
        <v>16.059999999999999</v>
      </c>
      <c r="L672" s="90"/>
    </row>
    <row r="673" spans="2:12">
      <c r="B673" s="417"/>
      <c r="C673" s="211"/>
      <c r="D673" s="211"/>
      <c r="E673" s="211"/>
      <c r="F673" s="211"/>
      <c r="G673" s="211"/>
      <c r="H673" s="211"/>
      <c r="I673" s="211"/>
      <c r="J673" s="211"/>
      <c r="K673" s="212"/>
      <c r="L673" s="90"/>
    </row>
    <row r="674" spans="2:12" ht="28.5" customHeight="1">
      <c r="B674" s="417" t="s">
        <v>1388</v>
      </c>
      <c r="C674" s="980" t="s">
        <v>770</v>
      </c>
      <c r="D674" s="981"/>
      <c r="E674" s="981"/>
      <c r="F674" s="981"/>
      <c r="G674" s="981"/>
      <c r="H674" s="981"/>
      <c r="I674" s="981"/>
      <c r="J674" s="982"/>
      <c r="K674" s="97" t="s">
        <v>7</v>
      </c>
      <c r="L674" s="97">
        <f>K677</f>
        <v>94.2</v>
      </c>
    </row>
    <row r="675" spans="2:12">
      <c r="B675" s="417"/>
      <c r="C675" s="983" t="s">
        <v>20</v>
      </c>
      <c r="D675" s="983"/>
      <c r="E675" s="983"/>
      <c r="F675" s="87" t="s">
        <v>22</v>
      </c>
      <c r="G675" s="413" t="s">
        <v>111</v>
      </c>
      <c r="H675" s="87" t="s">
        <v>112</v>
      </c>
      <c r="I675" s="413" t="s">
        <v>113</v>
      </c>
      <c r="J675" s="413" t="s">
        <v>114</v>
      </c>
      <c r="K675" s="89" t="s">
        <v>25</v>
      </c>
      <c r="L675" s="90"/>
    </row>
    <row r="676" spans="2:12">
      <c r="B676" s="417"/>
      <c r="C676" s="984" t="s">
        <v>594</v>
      </c>
      <c r="D676" s="985"/>
      <c r="E676" s="986"/>
      <c r="F676" s="91">
        <v>1</v>
      </c>
      <c r="G676" s="91">
        <v>1</v>
      </c>
      <c r="H676" s="91">
        <v>2</v>
      </c>
      <c r="I676" s="91">
        <v>47.1</v>
      </c>
      <c r="J676" s="91">
        <v>0</v>
      </c>
      <c r="K676" s="418">
        <f>(F676*G676*H676*I676)-J676</f>
        <v>94.2</v>
      </c>
      <c r="L676" s="90"/>
    </row>
    <row r="677" spans="2:12">
      <c r="B677" s="417"/>
      <c r="C677" s="987" t="s">
        <v>116</v>
      </c>
      <c r="D677" s="987"/>
      <c r="E677" s="987"/>
      <c r="F677" s="987"/>
      <c r="G677" s="987"/>
      <c r="H677" s="987"/>
      <c r="I677" s="987"/>
      <c r="J677" s="987"/>
      <c r="K677" s="89">
        <f>SUM(K676)</f>
        <v>94.2</v>
      </c>
      <c r="L677" s="90"/>
    </row>
    <row r="678" spans="2:12">
      <c r="B678" s="417"/>
      <c r="C678" s="211"/>
      <c r="D678" s="211"/>
      <c r="E678" s="211"/>
      <c r="F678" s="211"/>
      <c r="G678" s="211"/>
      <c r="H678" s="211"/>
      <c r="I678" s="211"/>
      <c r="J678" s="211"/>
      <c r="K678" s="212"/>
      <c r="L678" s="90"/>
    </row>
    <row r="679" spans="2:12" ht="26.25" customHeight="1">
      <c r="B679" s="417" t="s">
        <v>1389</v>
      </c>
      <c r="C679" s="980" t="s">
        <v>764</v>
      </c>
      <c r="D679" s="981"/>
      <c r="E679" s="981"/>
      <c r="F679" s="981"/>
      <c r="G679" s="981"/>
      <c r="H679" s="981"/>
      <c r="I679" s="981"/>
      <c r="J679" s="982"/>
      <c r="K679" s="97" t="s">
        <v>317</v>
      </c>
      <c r="L679" s="97">
        <f>K682</f>
        <v>177.09</v>
      </c>
    </row>
    <row r="680" spans="2:12">
      <c r="B680" s="417"/>
      <c r="C680" s="983" t="s">
        <v>20</v>
      </c>
      <c r="D680" s="983"/>
      <c r="E680" s="983"/>
      <c r="F680" s="87" t="s">
        <v>22</v>
      </c>
      <c r="G680" s="413" t="s">
        <v>111</v>
      </c>
      <c r="H680" s="87" t="s">
        <v>887</v>
      </c>
      <c r="I680" s="413" t="s">
        <v>113</v>
      </c>
      <c r="J680" s="413" t="s">
        <v>114</v>
      </c>
      <c r="K680" s="89" t="s">
        <v>25</v>
      </c>
      <c r="L680" s="90"/>
    </row>
    <row r="681" spans="2:12">
      <c r="B681" s="417"/>
      <c r="C681" s="984" t="s">
        <v>594</v>
      </c>
      <c r="D681" s="985"/>
      <c r="E681" s="986"/>
      <c r="F681" s="91">
        <v>1</v>
      </c>
      <c r="G681" s="91">
        <v>1</v>
      </c>
      <c r="H681" s="91">
        <v>177.09</v>
      </c>
      <c r="I681" s="91">
        <v>1</v>
      </c>
      <c r="J681" s="91">
        <v>0</v>
      </c>
      <c r="K681" s="418">
        <f>(F681*G681*H681*I681)-J681</f>
        <v>177.09</v>
      </c>
      <c r="L681" s="90"/>
    </row>
    <row r="682" spans="2:12">
      <c r="B682" s="417"/>
      <c r="C682" s="987" t="s">
        <v>116</v>
      </c>
      <c r="D682" s="987"/>
      <c r="E682" s="987"/>
      <c r="F682" s="987"/>
      <c r="G682" s="987"/>
      <c r="H682" s="987"/>
      <c r="I682" s="987"/>
      <c r="J682" s="987"/>
      <c r="K682" s="89">
        <f>SUM(K681)</f>
        <v>177.09</v>
      </c>
      <c r="L682" s="90"/>
    </row>
    <row r="683" spans="2:12">
      <c r="B683" s="417"/>
      <c r="C683" s="211"/>
      <c r="D683" s="211"/>
      <c r="E683" s="211"/>
      <c r="F683" s="211"/>
      <c r="G683" s="211"/>
      <c r="H683" s="211"/>
      <c r="I683" s="211"/>
      <c r="J683" s="211"/>
      <c r="K683" s="212"/>
      <c r="L683" s="90"/>
    </row>
    <row r="684" spans="2:12" ht="27" customHeight="1">
      <c r="B684" s="417" t="s">
        <v>1390</v>
      </c>
      <c r="C684" s="980" t="s">
        <v>766</v>
      </c>
      <c r="D684" s="981"/>
      <c r="E684" s="981"/>
      <c r="F684" s="981"/>
      <c r="G684" s="981"/>
      <c r="H684" s="981"/>
      <c r="I684" s="981"/>
      <c r="J684" s="982"/>
      <c r="K684" s="97" t="s">
        <v>317</v>
      </c>
      <c r="L684" s="97">
        <f>K687</f>
        <v>76.27</v>
      </c>
    </row>
    <row r="685" spans="2:12">
      <c r="B685" s="417"/>
      <c r="C685" s="983" t="s">
        <v>20</v>
      </c>
      <c r="D685" s="983"/>
      <c r="E685" s="983"/>
      <c r="F685" s="87" t="s">
        <v>22</v>
      </c>
      <c r="G685" s="413" t="s">
        <v>111</v>
      </c>
      <c r="H685" s="87" t="s">
        <v>887</v>
      </c>
      <c r="I685" s="413" t="s">
        <v>113</v>
      </c>
      <c r="J685" s="413" t="s">
        <v>114</v>
      </c>
      <c r="K685" s="89" t="s">
        <v>25</v>
      </c>
      <c r="L685" s="90"/>
    </row>
    <row r="686" spans="2:12">
      <c r="B686" s="417"/>
      <c r="C686" s="984" t="s">
        <v>594</v>
      </c>
      <c r="D686" s="985"/>
      <c r="E686" s="986"/>
      <c r="F686" s="91">
        <v>1</v>
      </c>
      <c r="G686" s="91">
        <v>1</v>
      </c>
      <c r="H686" s="91">
        <v>76.27</v>
      </c>
      <c r="I686" s="91">
        <v>1</v>
      </c>
      <c r="J686" s="91">
        <v>0</v>
      </c>
      <c r="K686" s="418">
        <f>(F686*G686*H686*I686)-J686</f>
        <v>76.27</v>
      </c>
      <c r="L686" s="90"/>
    </row>
    <row r="687" spans="2:12">
      <c r="B687" s="417"/>
      <c r="C687" s="987" t="s">
        <v>116</v>
      </c>
      <c r="D687" s="987"/>
      <c r="E687" s="987"/>
      <c r="F687" s="987"/>
      <c r="G687" s="987"/>
      <c r="H687" s="987"/>
      <c r="I687" s="987"/>
      <c r="J687" s="987"/>
      <c r="K687" s="89">
        <f>SUM(K686)</f>
        <v>76.27</v>
      </c>
      <c r="L687" s="90"/>
    </row>
    <row r="688" spans="2:12">
      <c r="B688" s="417"/>
      <c r="C688" s="211"/>
      <c r="D688" s="211"/>
      <c r="E688" s="211"/>
      <c r="F688" s="211"/>
      <c r="G688" s="211"/>
      <c r="H688" s="211"/>
      <c r="I688" s="211"/>
      <c r="J688" s="211"/>
      <c r="K688" s="212"/>
      <c r="L688" s="90"/>
    </row>
    <row r="689" spans="2:12" ht="23.25" customHeight="1">
      <c r="B689" s="417" t="s">
        <v>1481</v>
      </c>
      <c r="C689" s="980" t="s">
        <v>771</v>
      </c>
      <c r="D689" s="981"/>
      <c r="E689" s="981"/>
      <c r="F689" s="981"/>
      <c r="G689" s="981"/>
      <c r="H689" s="981"/>
      <c r="I689" s="981"/>
      <c r="J689" s="982"/>
      <c r="K689" s="97" t="s">
        <v>15</v>
      </c>
      <c r="L689" s="97">
        <f>K692</f>
        <v>7.54</v>
      </c>
    </row>
    <row r="690" spans="2:12">
      <c r="B690" s="417"/>
      <c r="C690" s="983" t="s">
        <v>20</v>
      </c>
      <c r="D690" s="983"/>
      <c r="E690" s="983"/>
      <c r="F690" s="87" t="s">
        <v>22</v>
      </c>
      <c r="G690" s="413" t="s">
        <v>111</v>
      </c>
      <c r="H690" s="87" t="s">
        <v>889</v>
      </c>
      <c r="I690" s="413" t="s">
        <v>113</v>
      </c>
      <c r="J690" s="413" t="s">
        <v>114</v>
      </c>
      <c r="K690" s="89" t="s">
        <v>25</v>
      </c>
      <c r="L690" s="90"/>
    </row>
    <row r="691" spans="2:12">
      <c r="B691" s="417"/>
      <c r="C691" s="984" t="s">
        <v>594</v>
      </c>
      <c r="D691" s="985"/>
      <c r="E691" s="986"/>
      <c r="F691" s="91">
        <v>1</v>
      </c>
      <c r="G691" s="91">
        <v>1</v>
      </c>
      <c r="H691" s="91">
        <v>7.54</v>
      </c>
      <c r="I691" s="91">
        <v>1</v>
      </c>
      <c r="J691" s="91">
        <v>0</v>
      </c>
      <c r="K691" s="418">
        <f>(F691*G691*H691*I691)-J691</f>
        <v>7.54</v>
      </c>
      <c r="L691" s="90"/>
    </row>
    <row r="692" spans="2:12">
      <c r="B692" s="417"/>
      <c r="C692" s="987" t="s">
        <v>116</v>
      </c>
      <c r="D692" s="987"/>
      <c r="E692" s="987"/>
      <c r="F692" s="987"/>
      <c r="G692" s="987"/>
      <c r="H692" s="987"/>
      <c r="I692" s="987"/>
      <c r="J692" s="987"/>
      <c r="K692" s="89">
        <f>SUM(K691)</f>
        <v>7.54</v>
      </c>
      <c r="L692" s="90"/>
    </row>
    <row r="693" spans="2:12">
      <c r="B693" s="417"/>
      <c r="C693" s="211"/>
      <c r="D693" s="211"/>
      <c r="E693" s="211"/>
      <c r="F693" s="211"/>
      <c r="G693" s="211"/>
      <c r="H693" s="211"/>
      <c r="I693" s="211"/>
      <c r="J693" s="211"/>
      <c r="K693" s="212"/>
      <c r="L693" s="90"/>
    </row>
    <row r="694" spans="2:12">
      <c r="B694" s="292" t="s">
        <v>438</v>
      </c>
      <c r="C694" s="1093" t="s">
        <v>772</v>
      </c>
      <c r="D694" s="1093"/>
      <c r="E694" s="1093"/>
      <c r="F694" s="1093"/>
      <c r="G694" s="1093"/>
      <c r="H694" s="1093"/>
      <c r="I694" s="1093"/>
      <c r="J694" s="1093"/>
      <c r="K694" s="293"/>
      <c r="L694" s="293"/>
    </row>
    <row r="695" spans="2:12">
      <c r="B695" s="292" t="s">
        <v>1392</v>
      </c>
      <c r="C695" s="1093" t="s">
        <v>773</v>
      </c>
      <c r="D695" s="1093"/>
      <c r="E695" s="1093"/>
      <c r="F695" s="1093"/>
      <c r="G695" s="1093"/>
      <c r="H695" s="1093"/>
      <c r="I695" s="1093"/>
      <c r="J695" s="1093"/>
      <c r="K695" s="293"/>
      <c r="L695" s="293"/>
    </row>
    <row r="696" spans="2:12">
      <c r="B696" s="417"/>
      <c r="C696" s="211"/>
      <c r="D696" s="211"/>
      <c r="E696" s="211"/>
      <c r="F696" s="211"/>
      <c r="G696" s="211"/>
      <c r="H696" s="211"/>
      <c r="I696" s="211"/>
      <c r="J696" s="211"/>
      <c r="K696" s="212"/>
      <c r="L696" s="90"/>
    </row>
    <row r="697" spans="2:12" ht="26.25" customHeight="1">
      <c r="B697" s="417" t="s">
        <v>1393</v>
      </c>
      <c r="C697" s="980" t="s">
        <v>774</v>
      </c>
      <c r="D697" s="981"/>
      <c r="E697" s="981"/>
      <c r="F697" s="981"/>
      <c r="G697" s="981"/>
      <c r="H697" s="981"/>
      <c r="I697" s="981"/>
      <c r="J697" s="982"/>
      <c r="K697" s="97" t="s">
        <v>7</v>
      </c>
      <c r="L697" s="97">
        <f>K700</f>
        <v>30.6</v>
      </c>
    </row>
    <row r="698" spans="2:12">
      <c r="B698" s="417"/>
      <c r="C698" s="983" t="s">
        <v>20</v>
      </c>
      <c r="D698" s="983"/>
      <c r="E698" s="983"/>
      <c r="F698" s="87" t="s">
        <v>22</v>
      </c>
      <c r="G698" s="413" t="s">
        <v>111</v>
      </c>
      <c r="H698" s="87" t="s">
        <v>112</v>
      </c>
      <c r="I698" s="413" t="s">
        <v>113</v>
      </c>
      <c r="J698" s="413" t="s">
        <v>114</v>
      </c>
      <c r="K698" s="89" t="s">
        <v>25</v>
      </c>
      <c r="L698" s="90"/>
    </row>
    <row r="699" spans="2:12" ht="15" customHeight="1">
      <c r="B699" s="417"/>
      <c r="C699" s="984" t="s">
        <v>594</v>
      </c>
      <c r="D699" s="985"/>
      <c r="E699" s="986"/>
      <c r="F699" s="91">
        <v>1</v>
      </c>
      <c r="G699" s="91">
        <v>1</v>
      </c>
      <c r="H699" s="91">
        <v>1</v>
      </c>
      <c r="I699" s="91">
        <v>30.6</v>
      </c>
      <c r="J699" s="91">
        <v>0</v>
      </c>
      <c r="K699" s="89">
        <f>(G699*H699*I699*F699)-J699</f>
        <v>30.6</v>
      </c>
      <c r="L699" s="90"/>
    </row>
    <row r="700" spans="2:12">
      <c r="B700" s="417"/>
      <c r="C700" s="987" t="s">
        <v>116</v>
      </c>
      <c r="D700" s="987"/>
      <c r="E700" s="987"/>
      <c r="F700" s="987"/>
      <c r="G700" s="987"/>
      <c r="H700" s="987"/>
      <c r="I700" s="987"/>
      <c r="J700" s="987"/>
      <c r="K700" s="89">
        <f>SUM(K699:K699)</f>
        <v>30.6</v>
      </c>
      <c r="L700" s="90"/>
    </row>
    <row r="701" spans="2:12">
      <c r="B701" s="90"/>
      <c r="C701" s="90"/>
      <c r="D701" s="90"/>
      <c r="E701" s="90"/>
      <c r="F701" s="90"/>
      <c r="G701" s="90"/>
      <c r="H701" s="90"/>
      <c r="I701" s="90"/>
      <c r="J701" s="90"/>
      <c r="K701" s="90"/>
      <c r="L701" s="90"/>
    </row>
    <row r="702" spans="2:12" ht="37.5" customHeight="1">
      <c r="B702" s="417" t="s">
        <v>1394</v>
      </c>
      <c r="C702" s="980" t="s">
        <v>775</v>
      </c>
      <c r="D702" s="981"/>
      <c r="E702" s="981"/>
      <c r="F702" s="981"/>
      <c r="G702" s="981"/>
      <c r="H702" s="981"/>
      <c r="I702" s="981"/>
      <c r="J702" s="982"/>
      <c r="K702" s="97" t="s">
        <v>15</v>
      </c>
      <c r="L702" s="97">
        <f>K705</f>
        <v>5.4</v>
      </c>
    </row>
    <row r="703" spans="2:12">
      <c r="B703" s="417"/>
      <c r="C703" s="983" t="s">
        <v>20</v>
      </c>
      <c r="D703" s="983"/>
      <c r="E703" s="983"/>
      <c r="F703" s="87" t="s">
        <v>22</v>
      </c>
      <c r="G703" s="413" t="s">
        <v>111</v>
      </c>
      <c r="H703" s="87" t="s">
        <v>889</v>
      </c>
      <c r="I703" s="413" t="s">
        <v>113</v>
      </c>
      <c r="J703" s="413" t="s">
        <v>114</v>
      </c>
      <c r="K703" s="89" t="s">
        <v>25</v>
      </c>
      <c r="L703" s="90"/>
    </row>
    <row r="704" spans="2:12">
      <c r="B704" s="417"/>
      <c r="C704" s="984" t="s">
        <v>594</v>
      </c>
      <c r="D704" s="985"/>
      <c r="E704" s="986"/>
      <c r="F704" s="91">
        <v>1</v>
      </c>
      <c r="G704" s="91">
        <v>1</v>
      </c>
      <c r="H704" s="91">
        <v>5.4</v>
      </c>
      <c r="I704" s="91">
        <v>1</v>
      </c>
      <c r="J704" s="91">
        <v>0</v>
      </c>
      <c r="K704" s="89">
        <f>(G704*H704*I704*F704)-J704</f>
        <v>5.4</v>
      </c>
      <c r="L704" s="90"/>
    </row>
    <row r="705" spans="1:12">
      <c r="B705" s="417"/>
      <c r="C705" s="987" t="s">
        <v>116</v>
      </c>
      <c r="D705" s="987"/>
      <c r="E705" s="987"/>
      <c r="F705" s="987"/>
      <c r="G705" s="987"/>
      <c r="H705" s="987"/>
      <c r="I705" s="987"/>
      <c r="J705" s="987"/>
      <c r="K705" s="89">
        <f>SUM(K704:K704)</f>
        <v>5.4</v>
      </c>
      <c r="L705" s="90"/>
    </row>
    <row r="706" spans="1:12">
      <c r="B706" s="417"/>
      <c r="C706" s="211"/>
      <c r="D706" s="211"/>
      <c r="E706" s="211"/>
      <c r="F706" s="211"/>
      <c r="G706" s="211"/>
      <c r="H706" s="211"/>
      <c r="I706" s="211"/>
      <c r="J706" s="211"/>
      <c r="K706" s="212"/>
      <c r="L706" s="90"/>
    </row>
    <row r="707" spans="1:12">
      <c r="A707" s="82"/>
      <c r="B707" s="292" t="s">
        <v>588</v>
      </c>
      <c r="C707" s="1093" t="s">
        <v>890</v>
      </c>
      <c r="D707" s="1093"/>
      <c r="E707" s="1093"/>
      <c r="F707" s="1093"/>
      <c r="G707" s="1093"/>
      <c r="H707" s="1093"/>
      <c r="I707" s="1093"/>
      <c r="J707" s="1093"/>
      <c r="K707" s="293"/>
      <c r="L707" s="293"/>
    </row>
    <row r="708" spans="1:12">
      <c r="A708" s="82"/>
      <c r="B708" s="417"/>
      <c r="C708" s="211"/>
      <c r="D708" s="211"/>
      <c r="E708" s="211"/>
      <c r="F708" s="211"/>
      <c r="G708" s="211"/>
      <c r="H708" s="211"/>
      <c r="I708" s="211"/>
      <c r="J708" s="211"/>
      <c r="K708" s="212"/>
      <c r="L708" s="90"/>
    </row>
    <row r="709" spans="1:12" ht="39.75" customHeight="1">
      <c r="B709" s="417" t="s">
        <v>1395</v>
      </c>
      <c r="C709" s="980" t="s">
        <v>776</v>
      </c>
      <c r="D709" s="981"/>
      <c r="E709" s="981"/>
      <c r="F709" s="981"/>
      <c r="G709" s="981"/>
      <c r="H709" s="981"/>
      <c r="I709" s="981"/>
      <c r="J709" s="982"/>
      <c r="K709" s="97" t="s">
        <v>317</v>
      </c>
      <c r="L709" s="97">
        <f>K712</f>
        <v>3200.77</v>
      </c>
    </row>
    <row r="710" spans="1:12">
      <c r="B710" s="417"/>
      <c r="C710" s="983" t="s">
        <v>20</v>
      </c>
      <c r="D710" s="983"/>
      <c r="E710" s="983"/>
      <c r="F710" s="87" t="s">
        <v>22</v>
      </c>
      <c r="G710" s="413" t="s">
        <v>111</v>
      </c>
      <c r="H710" s="87" t="s">
        <v>887</v>
      </c>
      <c r="I710" s="413" t="s">
        <v>113</v>
      </c>
      <c r="J710" s="413" t="s">
        <v>114</v>
      </c>
      <c r="K710" s="89" t="s">
        <v>25</v>
      </c>
      <c r="L710" s="90"/>
    </row>
    <row r="711" spans="1:12">
      <c r="B711" s="417"/>
      <c r="C711" s="1018" t="s">
        <v>594</v>
      </c>
      <c r="D711" s="1019"/>
      <c r="E711" s="1020"/>
      <c r="F711" s="413">
        <v>1</v>
      </c>
      <c r="G711" s="413">
        <v>1</v>
      </c>
      <c r="H711" s="413">
        <v>3200.77</v>
      </c>
      <c r="I711" s="413">
        <v>1</v>
      </c>
      <c r="J711" s="413">
        <v>0</v>
      </c>
      <c r="K711" s="413">
        <f>(G711*H711*I711*F711)-J711</f>
        <v>3200.77</v>
      </c>
      <c r="L711" s="90"/>
    </row>
    <row r="712" spans="1:12">
      <c r="B712" s="417"/>
      <c r="C712" s="987" t="s">
        <v>116</v>
      </c>
      <c r="D712" s="987"/>
      <c r="E712" s="987"/>
      <c r="F712" s="987"/>
      <c r="G712" s="987"/>
      <c r="H712" s="987"/>
      <c r="I712" s="987"/>
      <c r="J712" s="987"/>
      <c r="K712" s="89">
        <f>SUM(K711)</f>
        <v>3200.77</v>
      </c>
      <c r="L712" s="90"/>
    </row>
    <row r="713" spans="1:12">
      <c r="B713" s="417"/>
      <c r="C713" s="211"/>
      <c r="D713" s="211"/>
      <c r="E713" s="211"/>
      <c r="F713" s="211"/>
      <c r="G713" s="211"/>
      <c r="H713" s="211"/>
      <c r="I713" s="211"/>
      <c r="J713" s="211"/>
      <c r="K713" s="212"/>
      <c r="L713" s="90"/>
    </row>
    <row r="714" spans="1:12" ht="40.5" customHeight="1">
      <c r="B714" s="417" t="s">
        <v>1396</v>
      </c>
      <c r="C714" s="980" t="s">
        <v>776</v>
      </c>
      <c r="D714" s="981"/>
      <c r="E714" s="981"/>
      <c r="F714" s="981"/>
      <c r="G714" s="981"/>
      <c r="H714" s="981"/>
      <c r="I714" s="981"/>
      <c r="J714" s="982"/>
      <c r="K714" s="97" t="s">
        <v>7</v>
      </c>
      <c r="L714" s="97">
        <f>K717</f>
        <v>622.48</v>
      </c>
    </row>
    <row r="715" spans="1:12">
      <c r="B715" s="417"/>
      <c r="C715" s="983" t="s">
        <v>20</v>
      </c>
      <c r="D715" s="983"/>
      <c r="E715" s="983"/>
      <c r="F715" s="87" t="s">
        <v>22</v>
      </c>
      <c r="G715" s="413" t="s">
        <v>111</v>
      </c>
      <c r="H715" s="87" t="s">
        <v>891</v>
      </c>
      <c r="I715" s="413" t="s">
        <v>113</v>
      </c>
      <c r="J715" s="413" t="s">
        <v>114</v>
      </c>
      <c r="K715" s="89" t="s">
        <v>25</v>
      </c>
      <c r="L715" s="90"/>
    </row>
    <row r="716" spans="1:12">
      <c r="B716" s="417"/>
      <c r="C716" s="1018" t="s">
        <v>594</v>
      </c>
      <c r="D716" s="1019"/>
      <c r="E716" s="1020"/>
      <c r="F716" s="413">
        <v>1</v>
      </c>
      <c r="G716" s="413">
        <v>1</v>
      </c>
      <c r="H716" s="413">
        <v>2</v>
      </c>
      <c r="I716" s="413">
        <v>311.24</v>
      </c>
      <c r="J716" s="413">
        <v>0</v>
      </c>
      <c r="K716" s="413">
        <f>(G716*H716*I716*F716)-J716</f>
        <v>622.48</v>
      </c>
      <c r="L716" s="90"/>
    </row>
    <row r="717" spans="1:12">
      <c r="B717" s="417"/>
      <c r="C717" s="987" t="s">
        <v>116</v>
      </c>
      <c r="D717" s="987"/>
      <c r="E717" s="987"/>
      <c r="F717" s="987"/>
      <c r="G717" s="987"/>
      <c r="H717" s="987"/>
      <c r="I717" s="987"/>
      <c r="J717" s="987"/>
      <c r="K717" s="89">
        <f>SUM(K716)</f>
        <v>622.48</v>
      </c>
      <c r="L717" s="90"/>
    </row>
    <row r="718" spans="1:12">
      <c r="B718" s="219"/>
      <c r="C718" s="219"/>
      <c r="D718" s="219"/>
      <c r="E718" s="219"/>
      <c r="F718" s="219"/>
      <c r="G718" s="219"/>
      <c r="H718" s="219"/>
      <c r="I718" s="219"/>
      <c r="J718" s="219"/>
      <c r="K718" s="219"/>
      <c r="L718" s="219"/>
    </row>
    <row r="719" spans="1:12">
      <c r="B719" s="292" t="s">
        <v>696</v>
      </c>
      <c r="C719" s="1093" t="s">
        <v>624</v>
      </c>
      <c r="D719" s="1093"/>
      <c r="E719" s="1093"/>
      <c r="F719" s="1093"/>
      <c r="G719" s="1093"/>
      <c r="H719" s="1093"/>
      <c r="I719" s="1093"/>
      <c r="J719" s="1093"/>
      <c r="K719" s="293"/>
      <c r="L719" s="293"/>
    </row>
    <row r="720" spans="1:12">
      <c r="B720" s="292" t="s">
        <v>1397</v>
      </c>
      <c r="C720" s="1093" t="s">
        <v>742</v>
      </c>
      <c r="D720" s="1093"/>
      <c r="E720" s="1093"/>
      <c r="F720" s="1093"/>
      <c r="G720" s="1093"/>
      <c r="H720" s="1093"/>
      <c r="I720" s="1093"/>
      <c r="J720" s="1093"/>
      <c r="K720" s="293"/>
      <c r="L720" s="293"/>
    </row>
    <row r="721" spans="2:12" ht="43.5" customHeight="1">
      <c r="B721" s="417" t="s">
        <v>1398</v>
      </c>
      <c r="C721" s="980" t="str">
        <f>'ESCOLA MUNICIPAL DE QUEBEC E Q'!C128</f>
        <v>ARQUIBANCADA EM TIJOLO CERÂMICO 9X19X19, INCLUSO ACABAMENTO DO ASSENTO E ENCOSTOS COM ARGAMASSA DESEMPENADA , COM FUNDAÇÃO E ESTRUTURAS DE AMARRAÇÃO EM CONCRETO ARMADO</v>
      </c>
      <c r="D721" s="981"/>
      <c r="E721" s="981"/>
      <c r="F721" s="981"/>
      <c r="G721" s="981"/>
      <c r="H721" s="981"/>
      <c r="I721" s="981"/>
      <c r="J721" s="982"/>
      <c r="K721" s="97" t="s">
        <v>21</v>
      </c>
      <c r="L721" s="97">
        <f>K724</f>
        <v>212.4975</v>
      </c>
    </row>
    <row r="722" spans="2:12">
      <c r="B722" s="417"/>
      <c r="C722" s="983" t="s">
        <v>20</v>
      </c>
      <c r="D722" s="983"/>
      <c r="E722" s="983"/>
      <c r="F722" s="87" t="s">
        <v>22</v>
      </c>
      <c r="G722" s="413" t="s">
        <v>111</v>
      </c>
      <c r="H722" s="87" t="s">
        <v>112</v>
      </c>
      <c r="I722" s="413" t="s">
        <v>113</v>
      </c>
      <c r="J722" s="413" t="s">
        <v>114</v>
      </c>
      <c r="K722" s="89" t="s">
        <v>25</v>
      </c>
      <c r="L722" s="90"/>
    </row>
    <row r="723" spans="2:12">
      <c r="B723" s="417"/>
      <c r="C723" s="984" t="s">
        <v>892</v>
      </c>
      <c r="D723" s="985"/>
      <c r="E723" s="986"/>
      <c r="F723" s="91">
        <v>1</v>
      </c>
      <c r="G723" s="91">
        <v>3</v>
      </c>
      <c r="H723" s="91">
        <v>25</v>
      </c>
      <c r="I723" s="91">
        <v>2.8332999999999999</v>
      </c>
      <c r="J723" s="91">
        <v>0</v>
      </c>
      <c r="K723" s="413">
        <f>(G723*H723*I723*F723)-J723</f>
        <v>212.4975</v>
      </c>
      <c r="L723" s="90"/>
    </row>
    <row r="724" spans="2:12">
      <c r="B724" s="417"/>
      <c r="C724" s="987" t="s">
        <v>116</v>
      </c>
      <c r="D724" s="987"/>
      <c r="E724" s="987"/>
      <c r="F724" s="987"/>
      <c r="G724" s="987"/>
      <c r="H724" s="987"/>
      <c r="I724" s="987"/>
      <c r="J724" s="987"/>
      <c r="K724" s="89">
        <f>K723</f>
        <v>212.4975</v>
      </c>
      <c r="L724" s="90"/>
    </row>
    <row r="725" spans="2:12" ht="15" customHeight="1">
      <c r="B725" s="90"/>
      <c r="C725" s="90"/>
      <c r="D725" s="90"/>
      <c r="E725" s="90"/>
      <c r="F725" s="90"/>
      <c r="G725" s="90"/>
      <c r="H725" s="90"/>
      <c r="I725" s="90"/>
      <c r="J725" s="90"/>
      <c r="K725" s="90"/>
      <c r="L725" s="90"/>
    </row>
    <row r="726" spans="2:12">
      <c r="B726" s="90"/>
      <c r="C726" s="90"/>
      <c r="D726" s="90"/>
      <c r="E726" s="90"/>
      <c r="F726" s="90"/>
      <c r="G726" s="90"/>
      <c r="H726" s="90"/>
      <c r="I726" s="90"/>
      <c r="J726" s="90"/>
      <c r="K726" s="90"/>
      <c r="L726" s="90"/>
    </row>
    <row r="727" spans="2:12" ht="30" customHeight="1">
      <c r="B727" s="417" t="s">
        <v>1399</v>
      </c>
      <c r="C727" s="980" t="s">
        <v>893</v>
      </c>
      <c r="D727" s="981"/>
      <c r="E727" s="981"/>
      <c r="F727" s="981"/>
      <c r="G727" s="981"/>
      <c r="H727" s="981"/>
      <c r="I727" s="981"/>
      <c r="J727" s="982"/>
      <c r="K727" s="97" t="s">
        <v>7</v>
      </c>
      <c r="L727" s="97">
        <f>K730</f>
        <v>249.999</v>
      </c>
    </row>
    <row r="728" spans="2:12">
      <c r="B728" s="417"/>
      <c r="C728" s="983" t="s">
        <v>20</v>
      </c>
      <c r="D728" s="983"/>
      <c r="E728" s="983"/>
      <c r="F728" s="87" t="s">
        <v>22</v>
      </c>
      <c r="G728" s="413" t="s">
        <v>111</v>
      </c>
      <c r="H728" s="87" t="s">
        <v>112</v>
      </c>
      <c r="I728" s="413" t="s">
        <v>113</v>
      </c>
      <c r="J728" s="413" t="s">
        <v>114</v>
      </c>
      <c r="K728" s="89" t="s">
        <v>25</v>
      </c>
      <c r="L728" s="90"/>
    </row>
    <row r="729" spans="2:12">
      <c r="B729" s="417"/>
      <c r="C729" s="984" t="s">
        <v>894</v>
      </c>
      <c r="D729" s="985"/>
      <c r="E729" s="986"/>
      <c r="F729" s="91">
        <v>1</v>
      </c>
      <c r="G729" s="91">
        <v>1</v>
      </c>
      <c r="H729" s="91">
        <v>1.66666</v>
      </c>
      <c r="I729" s="91">
        <v>150</v>
      </c>
      <c r="J729" s="91">
        <v>0</v>
      </c>
      <c r="K729" s="413">
        <f>(G729*H729*I729*F729)-J729</f>
        <v>249.999</v>
      </c>
      <c r="L729" s="90"/>
    </row>
    <row r="730" spans="2:12">
      <c r="B730" s="417"/>
      <c r="C730" s="987" t="s">
        <v>116</v>
      </c>
      <c r="D730" s="987"/>
      <c r="E730" s="987"/>
      <c r="F730" s="987"/>
      <c r="G730" s="987"/>
      <c r="H730" s="987"/>
      <c r="I730" s="987"/>
      <c r="J730" s="987"/>
      <c r="K730" s="89">
        <f>SUM(K729:K729)</f>
        <v>249.999</v>
      </c>
      <c r="L730" s="90"/>
    </row>
    <row r="731" spans="2:12">
      <c r="B731" s="417"/>
      <c r="C731" s="211"/>
      <c r="D731" s="211"/>
      <c r="E731" s="211"/>
      <c r="F731" s="211"/>
      <c r="G731" s="211"/>
      <c r="H731" s="211"/>
      <c r="I731" s="211"/>
      <c r="J731" s="211"/>
      <c r="K731" s="212"/>
      <c r="L731" s="90"/>
    </row>
    <row r="732" spans="2:12">
      <c r="B732" s="292" t="s">
        <v>697</v>
      </c>
      <c r="C732" s="1093" t="s">
        <v>43</v>
      </c>
      <c r="D732" s="1093"/>
      <c r="E732" s="1093"/>
      <c r="F732" s="1093"/>
      <c r="G732" s="1093"/>
      <c r="H732" s="1093"/>
      <c r="I732" s="1093"/>
      <c r="J732" s="1093"/>
      <c r="K732" s="293"/>
      <c r="L732" s="293"/>
    </row>
    <row r="733" spans="2:12">
      <c r="B733" s="292" t="s">
        <v>1400</v>
      </c>
      <c r="C733" s="1093" t="s">
        <v>901</v>
      </c>
      <c r="D733" s="1093"/>
      <c r="E733" s="1093"/>
      <c r="F733" s="1093"/>
      <c r="G733" s="1093"/>
      <c r="H733" s="1093"/>
      <c r="I733" s="1093"/>
      <c r="J733" s="1093"/>
      <c r="K733" s="293"/>
      <c r="L733" s="293"/>
    </row>
    <row r="734" spans="2:12">
      <c r="B734" s="417"/>
      <c r="C734" s="211"/>
      <c r="D734" s="211"/>
      <c r="E734" s="211"/>
      <c r="F734" s="211"/>
      <c r="G734" s="211"/>
      <c r="H734" s="211"/>
      <c r="I734" s="211"/>
      <c r="J734" s="211"/>
      <c r="K734" s="212"/>
      <c r="L734" s="90"/>
    </row>
    <row r="735" spans="2:12" ht="30" customHeight="1">
      <c r="B735" s="417" t="s">
        <v>1401</v>
      </c>
      <c r="C735" s="980" t="s">
        <v>46</v>
      </c>
      <c r="D735" s="981"/>
      <c r="E735" s="981"/>
      <c r="F735" s="981"/>
      <c r="G735" s="981"/>
      <c r="H735" s="981"/>
      <c r="I735" s="981"/>
      <c r="J735" s="982"/>
      <c r="K735" s="97" t="s">
        <v>7</v>
      </c>
      <c r="L735" s="97">
        <f>K738</f>
        <v>84.998999999999995</v>
      </c>
    </row>
    <row r="736" spans="2:12">
      <c r="B736" s="417"/>
      <c r="C736" s="983" t="s">
        <v>20</v>
      </c>
      <c r="D736" s="983"/>
      <c r="E736" s="983"/>
      <c r="F736" s="87" t="s">
        <v>22</v>
      </c>
      <c r="G736" s="413" t="s">
        <v>111</v>
      </c>
      <c r="H736" s="87" t="s">
        <v>112</v>
      </c>
      <c r="I736" s="413" t="s">
        <v>113</v>
      </c>
      <c r="J736" s="413" t="s">
        <v>114</v>
      </c>
      <c r="K736" s="89" t="s">
        <v>25</v>
      </c>
      <c r="L736" s="90"/>
    </row>
    <row r="737" spans="2:12" ht="15" customHeight="1">
      <c r="B737" s="417"/>
      <c r="C737" s="984" t="s">
        <v>892</v>
      </c>
      <c r="D737" s="985"/>
      <c r="E737" s="986"/>
      <c r="F737" s="91">
        <v>1</v>
      </c>
      <c r="G737" s="91">
        <v>3</v>
      </c>
      <c r="H737" s="91">
        <v>10</v>
      </c>
      <c r="I737" s="91">
        <v>2.8332999999999999</v>
      </c>
      <c r="J737" s="91">
        <v>0</v>
      </c>
      <c r="K737" s="413">
        <f>(G737*H737*I737*F737)-J737</f>
        <v>84.998999999999995</v>
      </c>
      <c r="L737" s="90"/>
    </row>
    <row r="738" spans="2:12">
      <c r="B738" s="417"/>
      <c r="C738" s="987" t="s">
        <v>116</v>
      </c>
      <c r="D738" s="987"/>
      <c r="E738" s="987"/>
      <c r="F738" s="987"/>
      <c r="G738" s="987"/>
      <c r="H738" s="987"/>
      <c r="I738" s="987"/>
      <c r="J738" s="987"/>
      <c r="K738" s="89">
        <f>SUM(K737:K737)</f>
        <v>84.998999999999995</v>
      </c>
      <c r="L738" s="90"/>
    </row>
    <row r="739" spans="2:12">
      <c r="B739" s="417"/>
      <c r="C739" s="211"/>
      <c r="D739" s="211"/>
      <c r="E739" s="211"/>
      <c r="F739" s="211"/>
      <c r="G739" s="211"/>
      <c r="H739" s="211"/>
      <c r="I739" s="211"/>
      <c r="J739" s="211"/>
      <c r="K739" s="212"/>
      <c r="L739" s="90"/>
    </row>
    <row r="740" spans="2:12" ht="24.75" customHeight="1">
      <c r="B740" s="417" t="s">
        <v>1402</v>
      </c>
      <c r="C740" s="980" t="s">
        <v>48</v>
      </c>
      <c r="D740" s="981"/>
      <c r="E740" s="981"/>
      <c r="F740" s="981"/>
      <c r="G740" s="981"/>
      <c r="H740" s="981"/>
      <c r="I740" s="981"/>
      <c r="J740" s="982"/>
      <c r="K740" s="97" t="s">
        <v>7</v>
      </c>
      <c r="L740" s="97">
        <f>K743</f>
        <v>84.998999999999995</v>
      </c>
    </row>
    <row r="741" spans="2:12">
      <c r="B741" s="417"/>
      <c r="C741" s="983" t="s">
        <v>20</v>
      </c>
      <c r="D741" s="983"/>
      <c r="E741" s="983"/>
      <c r="F741" s="87" t="s">
        <v>22</v>
      </c>
      <c r="G741" s="413" t="s">
        <v>111</v>
      </c>
      <c r="H741" s="87" t="s">
        <v>112</v>
      </c>
      <c r="I741" s="413" t="s">
        <v>113</v>
      </c>
      <c r="J741" s="413" t="s">
        <v>114</v>
      </c>
      <c r="K741" s="89" t="s">
        <v>25</v>
      </c>
      <c r="L741" s="90"/>
    </row>
    <row r="742" spans="2:12" ht="15" customHeight="1">
      <c r="B742" s="417"/>
      <c r="C742" s="984" t="s">
        <v>892</v>
      </c>
      <c r="D742" s="985"/>
      <c r="E742" s="986"/>
      <c r="F742" s="91">
        <v>1</v>
      </c>
      <c r="G742" s="91">
        <v>3</v>
      </c>
      <c r="H742" s="91">
        <v>10</v>
      </c>
      <c r="I742" s="91">
        <v>2.8332999999999999</v>
      </c>
      <c r="J742" s="91">
        <v>0</v>
      </c>
      <c r="K742" s="413">
        <f>(G742*H742*I742*F742)-J742</f>
        <v>84.998999999999995</v>
      </c>
      <c r="L742" s="90"/>
    </row>
    <row r="743" spans="2:12">
      <c r="B743" s="417"/>
      <c r="C743" s="987" t="s">
        <v>116</v>
      </c>
      <c r="D743" s="987"/>
      <c r="E743" s="987"/>
      <c r="F743" s="987"/>
      <c r="G743" s="987"/>
      <c r="H743" s="987"/>
      <c r="I743" s="987"/>
      <c r="J743" s="987"/>
      <c r="K743" s="89">
        <f>SUM(K742:K742)</f>
        <v>84.998999999999995</v>
      </c>
      <c r="L743" s="90"/>
    </row>
    <row r="744" spans="2:12">
      <c r="B744" s="417"/>
      <c r="C744" s="211"/>
      <c r="D744" s="211"/>
      <c r="E744" s="211"/>
      <c r="F744" s="211"/>
      <c r="G744" s="211"/>
      <c r="H744" s="211"/>
      <c r="I744" s="211"/>
      <c r="J744" s="211"/>
      <c r="K744" s="212"/>
      <c r="L744" s="90"/>
    </row>
    <row r="745" spans="2:12" ht="22.5" customHeight="1">
      <c r="B745" s="417" t="s">
        <v>1403</v>
      </c>
      <c r="C745" s="980" t="s">
        <v>1552</v>
      </c>
      <c r="D745" s="981"/>
      <c r="E745" s="981"/>
      <c r="F745" s="981"/>
      <c r="G745" s="981"/>
      <c r="H745" s="981"/>
      <c r="I745" s="981"/>
      <c r="J745" s="982"/>
      <c r="K745" s="97" t="s">
        <v>7</v>
      </c>
      <c r="L745" s="97">
        <f>K748</f>
        <v>84.998999999999995</v>
      </c>
    </row>
    <row r="746" spans="2:12">
      <c r="B746" s="417"/>
      <c r="C746" s="983" t="s">
        <v>20</v>
      </c>
      <c r="D746" s="983"/>
      <c r="E746" s="983"/>
      <c r="F746" s="87" t="s">
        <v>22</v>
      </c>
      <c r="G746" s="413" t="s">
        <v>111</v>
      </c>
      <c r="H746" s="87" t="s">
        <v>112</v>
      </c>
      <c r="I746" s="413" t="s">
        <v>113</v>
      </c>
      <c r="J746" s="413" t="s">
        <v>114</v>
      </c>
      <c r="K746" s="89" t="s">
        <v>25</v>
      </c>
      <c r="L746" s="90"/>
    </row>
    <row r="747" spans="2:12" ht="15" customHeight="1">
      <c r="B747" s="417"/>
      <c r="C747" s="984" t="s">
        <v>892</v>
      </c>
      <c r="D747" s="985"/>
      <c r="E747" s="986"/>
      <c r="F747" s="91">
        <v>1</v>
      </c>
      <c r="G747" s="91">
        <v>3</v>
      </c>
      <c r="H747" s="91">
        <v>10</v>
      </c>
      <c r="I747" s="91">
        <v>2.8332999999999999</v>
      </c>
      <c r="J747" s="91">
        <v>0</v>
      </c>
      <c r="K747" s="413">
        <f>(G747*H747*I747*F747)-J747</f>
        <v>84.998999999999995</v>
      </c>
      <c r="L747" s="90"/>
    </row>
    <row r="748" spans="2:12">
      <c r="B748" s="417"/>
      <c r="C748" s="987" t="s">
        <v>116</v>
      </c>
      <c r="D748" s="987"/>
      <c r="E748" s="987"/>
      <c r="F748" s="987"/>
      <c r="G748" s="987"/>
      <c r="H748" s="987"/>
      <c r="I748" s="987"/>
      <c r="J748" s="987"/>
      <c r="K748" s="89">
        <f>SUM(K747:K747)</f>
        <v>84.998999999999995</v>
      </c>
      <c r="L748" s="90"/>
    </row>
    <row r="749" spans="2:12">
      <c r="B749" s="417"/>
      <c r="C749" s="211"/>
      <c r="D749" s="211"/>
      <c r="E749" s="211"/>
      <c r="F749" s="211"/>
      <c r="G749" s="211"/>
      <c r="H749" s="211"/>
      <c r="I749" s="211"/>
      <c r="J749" s="211"/>
      <c r="K749" s="212"/>
      <c r="L749" s="90"/>
    </row>
    <row r="750" spans="2:12">
      <c r="B750" s="292" t="s">
        <v>1404</v>
      </c>
      <c r="C750" s="1093" t="s">
        <v>895</v>
      </c>
      <c r="D750" s="1093"/>
      <c r="E750" s="1093"/>
      <c r="F750" s="1093"/>
      <c r="G750" s="1093"/>
      <c r="H750" s="1093"/>
      <c r="I750" s="1093"/>
      <c r="J750" s="1093"/>
      <c r="K750" s="293"/>
      <c r="L750" s="293"/>
    </row>
    <row r="751" spans="2:12">
      <c r="B751" s="1094"/>
      <c r="C751" s="1094"/>
      <c r="D751" s="1094"/>
      <c r="E751" s="1094"/>
      <c r="F751" s="1094"/>
      <c r="G751" s="1094"/>
      <c r="H751" s="1094"/>
      <c r="I751" s="1094"/>
      <c r="J751" s="1094"/>
      <c r="K751" s="1094"/>
      <c r="L751" s="1094"/>
    </row>
    <row r="752" spans="2:12" ht="29.25" customHeight="1">
      <c r="B752" s="417" t="s">
        <v>1405</v>
      </c>
      <c r="C752" s="980" t="s">
        <v>777</v>
      </c>
      <c r="D752" s="981"/>
      <c r="E752" s="981"/>
      <c r="F752" s="981"/>
      <c r="G752" s="981"/>
      <c r="H752" s="981"/>
      <c r="I752" s="981"/>
      <c r="J752" s="982"/>
      <c r="K752" s="97" t="s">
        <v>7</v>
      </c>
      <c r="L752" s="97">
        <f>K755</f>
        <v>1031.54</v>
      </c>
    </row>
    <row r="753" spans="2:12">
      <c r="B753" s="417"/>
      <c r="C753" s="983" t="s">
        <v>20</v>
      </c>
      <c r="D753" s="983"/>
      <c r="E753" s="983"/>
      <c r="F753" s="87" t="s">
        <v>22</v>
      </c>
      <c r="G753" s="413" t="s">
        <v>111</v>
      </c>
      <c r="H753" s="87" t="s">
        <v>112</v>
      </c>
      <c r="I753" s="413" t="s">
        <v>113</v>
      </c>
      <c r="J753" s="413" t="s">
        <v>114</v>
      </c>
      <c r="K753" s="89" t="s">
        <v>25</v>
      </c>
      <c r="L753" s="90"/>
    </row>
    <row r="754" spans="2:12">
      <c r="B754" s="417"/>
      <c r="C754" s="984" t="s">
        <v>57</v>
      </c>
      <c r="D754" s="985"/>
      <c r="E754" s="986"/>
      <c r="F754" s="91">
        <v>1</v>
      </c>
      <c r="G754" s="91">
        <v>1</v>
      </c>
      <c r="H754" s="91">
        <v>2</v>
      </c>
      <c r="I754" s="91">
        <v>515.77</v>
      </c>
      <c r="J754" s="91">
        <v>0</v>
      </c>
      <c r="K754" s="89">
        <f>(G754*H754*I754*F754)-J754</f>
        <v>1031.54</v>
      </c>
      <c r="L754" s="90"/>
    </row>
    <row r="755" spans="2:12">
      <c r="B755" s="417"/>
      <c r="C755" s="987" t="s">
        <v>116</v>
      </c>
      <c r="D755" s="987"/>
      <c r="E755" s="987"/>
      <c r="F755" s="987"/>
      <c r="G755" s="987"/>
      <c r="H755" s="987"/>
      <c r="I755" s="987"/>
      <c r="J755" s="987"/>
      <c r="K755" s="89">
        <f>SUM(K754:K754)</f>
        <v>1031.54</v>
      </c>
      <c r="L755" s="90"/>
    </row>
    <row r="756" spans="2:12">
      <c r="B756" s="417"/>
      <c r="C756" s="211"/>
      <c r="D756" s="211"/>
      <c r="E756" s="211"/>
      <c r="F756" s="211"/>
      <c r="G756" s="211"/>
      <c r="H756" s="211"/>
      <c r="I756" s="211"/>
      <c r="J756" s="211"/>
      <c r="K756" s="212"/>
      <c r="L756" s="90"/>
    </row>
    <row r="757" spans="2:12">
      <c r="B757" s="417"/>
      <c r="C757" s="211"/>
      <c r="D757" s="211"/>
      <c r="E757" s="211"/>
      <c r="F757" s="211"/>
      <c r="G757" s="211"/>
      <c r="H757" s="211"/>
      <c r="I757" s="211"/>
      <c r="J757" s="211"/>
      <c r="K757" s="212"/>
      <c r="L757" s="90"/>
    </row>
    <row r="758" spans="2:12" ht="25.5" customHeight="1">
      <c r="B758" s="417" t="s">
        <v>1406</v>
      </c>
      <c r="C758" s="980" t="s">
        <v>778</v>
      </c>
      <c r="D758" s="981"/>
      <c r="E758" s="981"/>
      <c r="F758" s="981"/>
      <c r="G758" s="981"/>
      <c r="H758" s="981"/>
      <c r="I758" s="981"/>
      <c r="J758" s="982"/>
      <c r="K758" s="97" t="s">
        <v>7</v>
      </c>
      <c r="L758" s="97">
        <f>K761</f>
        <v>51.88</v>
      </c>
    </row>
    <row r="759" spans="2:12">
      <c r="B759" s="417"/>
      <c r="C759" s="1018" t="s">
        <v>20</v>
      </c>
      <c r="D759" s="1019"/>
      <c r="E759" s="1020"/>
      <c r="F759" s="87" t="s">
        <v>22</v>
      </c>
      <c r="G759" s="413" t="s">
        <v>111</v>
      </c>
      <c r="H759" s="87" t="s">
        <v>112</v>
      </c>
      <c r="I759" s="413" t="s">
        <v>113</v>
      </c>
      <c r="J759" s="413" t="s">
        <v>114</v>
      </c>
      <c r="K759" s="89" t="s">
        <v>25</v>
      </c>
      <c r="L759" s="90"/>
    </row>
    <row r="760" spans="2:12" ht="15" customHeight="1">
      <c r="B760" s="417"/>
      <c r="C760" s="984" t="s">
        <v>896</v>
      </c>
      <c r="D760" s="985"/>
      <c r="E760" s="986"/>
      <c r="F760" s="91">
        <v>1</v>
      </c>
      <c r="G760" s="91">
        <v>1</v>
      </c>
      <c r="H760" s="91">
        <v>2</v>
      </c>
      <c r="I760" s="91">
        <v>25.94</v>
      </c>
      <c r="J760" s="91">
        <v>0</v>
      </c>
      <c r="K760" s="89">
        <f>(G760*H760*I760*F760)-J760</f>
        <v>51.88</v>
      </c>
      <c r="L760" s="90"/>
    </row>
    <row r="761" spans="2:12">
      <c r="B761" s="417"/>
      <c r="C761" s="1014" t="s">
        <v>116</v>
      </c>
      <c r="D761" s="1015"/>
      <c r="E761" s="1015"/>
      <c r="F761" s="1015"/>
      <c r="G761" s="1015"/>
      <c r="H761" s="1015"/>
      <c r="I761" s="1015"/>
      <c r="J761" s="1016"/>
      <c r="K761" s="89">
        <f>K760</f>
        <v>51.88</v>
      </c>
      <c r="L761" s="90"/>
    </row>
    <row r="762" spans="2:12">
      <c r="B762" s="417"/>
      <c r="C762" s="211"/>
      <c r="D762" s="211"/>
      <c r="E762" s="211"/>
      <c r="F762" s="211"/>
      <c r="G762" s="211"/>
      <c r="H762" s="211"/>
      <c r="I762" s="211"/>
      <c r="J762" s="211"/>
      <c r="K762" s="212"/>
      <c r="L762" s="90"/>
    </row>
    <row r="763" spans="2:12" ht="31.5" customHeight="1">
      <c r="B763" s="417" t="s">
        <v>1407</v>
      </c>
      <c r="C763" s="980" t="s">
        <v>779</v>
      </c>
      <c r="D763" s="981"/>
      <c r="E763" s="981"/>
      <c r="F763" s="981"/>
      <c r="G763" s="981"/>
      <c r="H763" s="981"/>
      <c r="I763" s="981"/>
      <c r="J763" s="982"/>
      <c r="K763" s="97" t="s">
        <v>77</v>
      </c>
      <c r="L763" s="97">
        <f>K766</f>
        <v>64.319999999999993</v>
      </c>
    </row>
    <row r="764" spans="2:12">
      <c r="B764" s="417"/>
      <c r="C764" s="1018" t="s">
        <v>20</v>
      </c>
      <c r="D764" s="1019"/>
      <c r="E764" s="1020"/>
      <c r="F764" s="87" t="s">
        <v>22</v>
      </c>
      <c r="G764" s="413" t="s">
        <v>111</v>
      </c>
      <c r="H764" s="87" t="s">
        <v>112</v>
      </c>
      <c r="I764" s="413" t="s">
        <v>113</v>
      </c>
      <c r="J764" s="413" t="s">
        <v>114</v>
      </c>
      <c r="K764" s="89" t="s">
        <v>25</v>
      </c>
      <c r="L764" s="90"/>
    </row>
    <row r="765" spans="2:12">
      <c r="B765" s="417"/>
      <c r="C765" s="984" t="s">
        <v>897</v>
      </c>
      <c r="D765" s="985"/>
      <c r="E765" s="986"/>
      <c r="F765" s="91">
        <v>1</v>
      </c>
      <c r="G765" s="91">
        <v>1</v>
      </c>
      <c r="H765" s="91">
        <v>1</v>
      </c>
      <c r="I765" s="91">
        <v>64.319999999999993</v>
      </c>
      <c r="J765" s="91">
        <v>0</v>
      </c>
      <c r="K765" s="89">
        <f>(G765*H765*I765*F765)-J765</f>
        <v>64.319999999999993</v>
      </c>
      <c r="L765" s="90"/>
    </row>
    <row r="766" spans="2:12">
      <c r="B766" s="417"/>
      <c r="C766" s="1014" t="s">
        <v>116</v>
      </c>
      <c r="D766" s="1015"/>
      <c r="E766" s="1015"/>
      <c r="F766" s="1015"/>
      <c r="G766" s="1015"/>
      <c r="H766" s="1015"/>
      <c r="I766" s="1015"/>
      <c r="J766" s="1016"/>
      <c r="K766" s="89">
        <f>K765</f>
        <v>64.319999999999993</v>
      </c>
      <c r="L766" s="90"/>
    </row>
    <row r="767" spans="2:12">
      <c r="B767" s="219"/>
      <c r="C767" s="219"/>
      <c r="D767" s="219"/>
      <c r="E767" s="219"/>
      <c r="F767" s="219"/>
      <c r="G767" s="219"/>
      <c r="H767" s="219"/>
      <c r="I767" s="219"/>
      <c r="J767" s="219"/>
      <c r="K767" s="219"/>
      <c r="L767" s="219"/>
    </row>
    <row r="768" spans="2:12">
      <c r="B768" s="292" t="s">
        <v>1410</v>
      </c>
      <c r="C768" s="1093" t="s">
        <v>516</v>
      </c>
      <c r="D768" s="1093"/>
      <c r="E768" s="1093"/>
      <c r="F768" s="1093"/>
      <c r="G768" s="1093"/>
      <c r="H768" s="1093"/>
      <c r="I768" s="1093"/>
      <c r="J768" s="1093"/>
      <c r="K768" s="293"/>
      <c r="L768" s="293"/>
    </row>
    <row r="769" spans="2:12">
      <c r="B769" s="219"/>
      <c r="C769" s="219"/>
      <c r="D769" s="219"/>
      <c r="E769" s="219"/>
      <c r="F769" s="219"/>
      <c r="G769" s="219"/>
      <c r="H769" s="219"/>
      <c r="I769" s="219"/>
      <c r="J769" s="219"/>
      <c r="K769" s="219"/>
      <c r="L769" s="219"/>
    </row>
    <row r="770" spans="2:12" ht="21" customHeight="1">
      <c r="B770" s="417" t="s">
        <v>1412</v>
      </c>
      <c r="C770" s="980" t="s">
        <v>780</v>
      </c>
      <c r="D770" s="981"/>
      <c r="E770" s="981"/>
      <c r="F770" s="981"/>
      <c r="G770" s="981"/>
      <c r="H770" s="981"/>
      <c r="I770" s="981"/>
      <c r="J770" s="982"/>
      <c r="K770" s="97" t="s">
        <v>7</v>
      </c>
      <c r="L770" s="97">
        <f>K773</f>
        <v>179.16</v>
      </c>
    </row>
    <row r="771" spans="2:12">
      <c r="B771" s="417"/>
      <c r="C771" s="1018" t="s">
        <v>20</v>
      </c>
      <c r="D771" s="1019"/>
      <c r="E771" s="1020"/>
      <c r="F771" s="87" t="s">
        <v>22</v>
      </c>
      <c r="G771" s="413" t="s">
        <v>111</v>
      </c>
      <c r="H771" s="87" t="s">
        <v>112</v>
      </c>
      <c r="I771" s="413" t="s">
        <v>113</v>
      </c>
      <c r="J771" s="413" t="s">
        <v>114</v>
      </c>
      <c r="K771" s="89" t="s">
        <v>25</v>
      </c>
      <c r="L771" s="90"/>
    </row>
    <row r="772" spans="2:12">
      <c r="B772" s="417"/>
      <c r="C772" s="984" t="s">
        <v>516</v>
      </c>
      <c r="D772" s="985"/>
      <c r="E772" s="986"/>
      <c r="F772" s="91">
        <v>1</v>
      </c>
      <c r="G772" s="91">
        <v>1</v>
      </c>
      <c r="H772" s="91">
        <v>2</v>
      </c>
      <c r="I772" s="91">
        <v>89.58</v>
      </c>
      <c r="J772" s="91">
        <v>0</v>
      </c>
      <c r="K772" s="89">
        <f>(G772*H772*I772*F772)-J772</f>
        <v>179.16</v>
      </c>
      <c r="L772" s="90"/>
    </row>
    <row r="773" spans="2:12">
      <c r="B773" s="417"/>
      <c r="C773" s="1014" t="s">
        <v>116</v>
      </c>
      <c r="D773" s="1015"/>
      <c r="E773" s="1015"/>
      <c r="F773" s="1015"/>
      <c r="G773" s="1015"/>
      <c r="H773" s="1015"/>
      <c r="I773" s="1015"/>
      <c r="J773" s="1016"/>
      <c r="K773" s="89">
        <f>K772</f>
        <v>179.16</v>
      </c>
      <c r="L773" s="90"/>
    </row>
    <row r="774" spans="2:12">
      <c r="B774" s="219"/>
      <c r="C774" s="219"/>
      <c r="D774" s="219"/>
      <c r="E774" s="219"/>
      <c r="F774" s="219"/>
      <c r="G774" s="219"/>
      <c r="H774" s="219"/>
      <c r="I774" s="219"/>
      <c r="J774" s="219"/>
      <c r="K774" s="219"/>
      <c r="L774" s="219"/>
    </row>
    <row r="775" spans="2:12">
      <c r="B775" s="292" t="s">
        <v>1415</v>
      </c>
      <c r="C775" s="1093" t="s">
        <v>781</v>
      </c>
      <c r="D775" s="1093"/>
      <c r="E775" s="1093"/>
      <c r="F775" s="1093"/>
      <c r="G775" s="1093"/>
      <c r="H775" s="1093"/>
      <c r="I775" s="1093"/>
      <c r="J775" s="1093"/>
      <c r="K775" s="293"/>
      <c r="L775" s="293"/>
    </row>
    <row r="776" spans="2:12">
      <c r="B776" s="417"/>
      <c r="C776" s="211"/>
      <c r="D776" s="211"/>
      <c r="E776" s="211"/>
      <c r="F776" s="211"/>
      <c r="G776" s="211"/>
      <c r="H776" s="211"/>
      <c r="I776" s="211"/>
      <c r="J776" s="211"/>
      <c r="K776" s="212"/>
      <c r="L776" s="90"/>
    </row>
    <row r="777" spans="2:12" ht="22.5" customHeight="1">
      <c r="B777" s="417" t="s">
        <v>1419</v>
      </c>
      <c r="C777" s="980" t="s">
        <v>782</v>
      </c>
      <c r="D777" s="981"/>
      <c r="E777" s="981"/>
      <c r="F777" s="981"/>
      <c r="G777" s="981"/>
      <c r="H777" s="981"/>
      <c r="I777" s="981"/>
      <c r="J777" s="982"/>
      <c r="K777" s="97" t="s">
        <v>21</v>
      </c>
      <c r="L777" s="97">
        <f>K780</f>
        <v>61.2</v>
      </c>
    </row>
    <row r="778" spans="2:12">
      <c r="B778" s="417"/>
      <c r="C778" s="983" t="s">
        <v>20</v>
      </c>
      <c r="D778" s="983"/>
      <c r="E778" s="983"/>
      <c r="F778" s="87" t="s">
        <v>22</v>
      </c>
      <c r="G778" s="413" t="s">
        <v>111</v>
      </c>
      <c r="H778" s="87" t="s">
        <v>112</v>
      </c>
      <c r="I778" s="413" t="s">
        <v>113</v>
      </c>
      <c r="J778" s="413" t="s">
        <v>114</v>
      </c>
      <c r="K778" s="89" t="s">
        <v>25</v>
      </c>
      <c r="L778" s="90"/>
    </row>
    <row r="779" spans="2:12">
      <c r="B779" s="417"/>
      <c r="C779" s="984" t="s">
        <v>904</v>
      </c>
      <c r="D779" s="985"/>
      <c r="E779" s="986"/>
      <c r="F779" s="91">
        <v>1</v>
      </c>
      <c r="G779" s="91">
        <v>1</v>
      </c>
      <c r="H779" s="91">
        <f>61.2/2</f>
        <v>30.6</v>
      </c>
      <c r="I779" s="91">
        <v>2</v>
      </c>
      <c r="J779" s="91">
        <v>0</v>
      </c>
      <c r="K779" s="89">
        <f>(G779*H779*I779*F779)-J779</f>
        <v>61.2</v>
      </c>
      <c r="L779" s="90"/>
    </row>
    <row r="780" spans="2:12">
      <c r="B780" s="417"/>
      <c r="C780" s="987" t="s">
        <v>116</v>
      </c>
      <c r="D780" s="987"/>
      <c r="E780" s="987"/>
      <c r="F780" s="987"/>
      <c r="G780" s="987"/>
      <c r="H780" s="987"/>
      <c r="I780" s="987"/>
      <c r="J780" s="987"/>
      <c r="K780" s="89">
        <f>K779</f>
        <v>61.2</v>
      </c>
      <c r="L780" s="90"/>
    </row>
    <row r="781" spans="2:12">
      <c r="B781" s="417"/>
      <c r="C781" s="211"/>
      <c r="D781" s="211"/>
      <c r="E781" s="211"/>
      <c r="F781" s="211"/>
      <c r="G781" s="211"/>
      <c r="H781" s="211"/>
      <c r="I781" s="211"/>
      <c r="J781" s="211"/>
      <c r="K781" s="212"/>
      <c r="L781" s="90"/>
    </row>
    <row r="782" spans="2:12" ht="25.5" customHeight="1">
      <c r="B782" s="417" t="s">
        <v>1420</v>
      </c>
      <c r="C782" s="980" t="s">
        <v>905</v>
      </c>
      <c r="D782" s="981"/>
      <c r="E782" s="981"/>
      <c r="F782" s="981"/>
      <c r="G782" s="981"/>
      <c r="H782" s="981"/>
      <c r="I782" s="981"/>
      <c r="J782" s="982"/>
      <c r="K782" s="97" t="s">
        <v>21</v>
      </c>
      <c r="L782" s="97">
        <f>K785</f>
        <v>298.68</v>
      </c>
    </row>
    <row r="783" spans="2:12" ht="15.75" customHeight="1">
      <c r="B783" s="417"/>
      <c r="C783" s="983" t="s">
        <v>20</v>
      </c>
      <c r="D783" s="983"/>
      <c r="E783" s="983"/>
      <c r="F783" s="87" t="s">
        <v>22</v>
      </c>
      <c r="G783" s="413" t="s">
        <v>111</v>
      </c>
      <c r="H783" s="87" t="s">
        <v>112</v>
      </c>
      <c r="I783" s="413" t="s">
        <v>113</v>
      </c>
      <c r="J783" s="413" t="s">
        <v>114</v>
      </c>
      <c r="K783" s="89" t="s">
        <v>25</v>
      </c>
      <c r="L783" s="90"/>
    </row>
    <row r="784" spans="2:12">
      <c r="B784" s="417"/>
      <c r="C784" s="984" t="s">
        <v>890</v>
      </c>
      <c r="D784" s="985"/>
      <c r="E784" s="986"/>
      <c r="F784" s="91">
        <v>1</v>
      </c>
      <c r="G784" s="91">
        <v>1</v>
      </c>
      <c r="H784" s="91">
        <v>2</v>
      </c>
      <c r="I784" s="91">
        <v>149.34</v>
      </c>
      <c r="J784" s="91">
        <v>0</v>
      </c>
      <c r="K784" s="89">
        <f>(G784*H784*I784*F784)-J784</f>
        <v>298.68</v>
      </c>
      <c r="L784" s="90"/>
    </row>
    <row r="785" spans="2:12">
      <c r="B785" s="417"/>
      <c r="C785" s="987" t="s">
        <v>116</v>
      </c>
      <c r="D785" s="987"/>
      <c r="E785" s="987"/>
      <c r="F785" s="987"/>
      <c r="G785" s="987"/>
      <c r="H785" s="987"/>
      <c r="I785" s="987"/>
      <c r="J785" s="987"/>
      <c r="K785" s="89">
        <f>K784</f>
        <v>298.68</v>
      </c>
      <c r="L785" s="90"/>
    </row>
    <row r="786" spans="2:12">
      <c r="B786" s="417"/>
      <c r="C786" s="211"/>
      <c r="D786" s="211"/>
      <c r="E786" s="211"/>
      <c r="F786" s="211"/>
      <c r="G786" s="211"/>
      <c r="H786" s="211"/>
      <c r="I786" s="211"/>
      <c r="J786" s="211"/>
      <c r="K786" s="212"/>
      <c r="L786" s="90"/>
    </row>
    <row r="787" spans="2:12" ht="33.75" customHeight="1">
      <c r="B787" s="417" t="s">
        <v>1421</v>
      </c>
      <c r="C787" s="980" t="s">
        <v>783</v>
      </c>
      <c r="D787" s="981"/>
      <c r="E787" s="981"/>
      <c r="F787" s="981"/>
      <c r="G787" s="981"/>
      <c r="H787" s="981"/>
      <c r="I787" s="981"/>
      <c r="J787" s="982"/>
      <c r="K787" s="97" t="s">
        <v>21</v>
      </c>
      <c r="L787" s="97">
        <f>K790</f>
        <v>298.68</v>
      </c>
    </row>
    <row r="788" spans="2:12">
      <c r="B788" s="417"/>
      <c r="C788" s="983" t="s">
        <v>20</v>
      </c>
      <c r="D788" s="983"/>
      <c r="E788" s="983"/>
      <c r="F788" s="87" t="s">
        <v>22</v>
      </c>
      <c r="G788" s="413" t="s">
        <v>111</v>
      </c>
      <c r="H788" s="87" t="s">
        <v>112</v>
      </c>
      <c r="I788" s="413" t="s">
        <v>113</v>
      </c>
      <c r="J788" s="413" t="s">
        <v>114</v>
      </c>
      <c r="K788" s="89" t="s">
        <v>25</v>
      </c>
      <c r="L788" s="90"/>
    </row>
    <row r="789" spans="2:12" ht="15" customHeight="1">
      <c r="B789" s="417"/>
      <c r="C789" s="984" t="s">
        <v>890</v>
      </c>
      <c r="D789" s="985"/>
      <c r="E789" s="986"/>
      <c r="F789" s="91">
        <v>1</v>
      </c>
      <c r="G789" s="91">
        <v>1</v>
      </c>
      <c r="H789" s="91">
        <v>2</v>
      </c>
      <c r="I789" s="91">
        <v>149.34</v>
      </c>
      <c r="J789" s="91">
        <v>0</v>
      </c>
      <c r="K789" s="89">
        <f>(G789*H789*I789*F789)-J789</f>
        <v>298.68</v>
      </c>
      <c r="L789" s="90"/>
    </row>
    <row r="790" spans="2:12">
      <c r="B790" s="417"/>
      <c r="C790" s="987" t="s">
        <v>116</v>
      </c>
      <c r="D790" s="987"/>
      <c r="E790" s="987"/>
      <c r="F790" s="987"/>
      <c r="G790" s="987"/>
      <c r="H790" s="987"/>
      <c r="I790" s="987"/>
      <c r="J790" s="987"/>
      <c r="K790" s="89">
        <f>K789</f>
        <v>298.68</v>
      </c>
      <c r="L790" s="90"/>
    </row>
    <row r="791" spans="2:12">
      <c r="B791" s="417"/>
      <c r="C791" s="211"/>
      <c r="D791" s="211"/>
      <c r="E791" s="211"/>
      <c r="F791" s="211"/>
      <c r="G791" s="211"/>
      <c r="H791" s="211"/>
      <c r="I791" s="211"/>
      <c r="J791" s="211"/>
      <c r="K791" s="212"/>
      <c r="L791" s="90"/>
    </row>
    <row r="792" spans="2:12" ht="29.25" customHeight="1">
      <c r="B792" s="417" t="s">
        <v>1422</v>
      </c>
      <c r="C792" s="980" t="s">
        <v>784</v>
      </c>
      <c r="D792" s="981"/>
      <c r="E792" s="981"/>
      <c r="F792" s="981"/>
      <c r="G792" s="981"/>
      <c r="H792" s="981"/>
      <c r="I792" s="981"/>
      <c r="J792" s="982"/>
      <c r="K792" s="97" t="s">
        <v>21</v>
      </c>
      <c r="L792" s="97">
        <f>K795</f>
        <v>874.34</v>
      </c>
    </row>
    <row r="793" spans="2:12">
      <c r="B793" s="417"/>
      <c r="C793" s="983" t="s">
        <v>20</v>
      </c>
      <c r="D793" s="983"/>
      <c r="E793" s="983"/>
      <c r="F793" s="87" t="s">
        <v>22</v>
      </c>
      <c r="G793" s="413" t="s">
        <v>111</v>
      </c>
      <c r="H793" s="87" t="s">
        <v>112</v>
      </c>
      <c r="I793" s="413" t="s">
        <v>113</v>
      </c>
      <c r="J793" s="413" t="s">
        <v>114</v>
      </c>
      <c r="K793" s="89" t="s">
        <v>25</v>
      </c>
      <c r="L793" s="90"/>
    </row>
    <row r="794" spans="2:12" ht="21" customHeight="1">
      <c r="B794" s="417"/>
      <c r="C794" s="984" t="s">
        <v>890</v>
      </c>
      <c r="D794" s="985"/>
      <c r="E794" s="986"/>
      <c r="F794" s="91">
        <v>1</v>
      </c>
      <c r="G794" s="91">
        <v>1</v>
      </c>
      <c r="H794" s="91">
        <v>2</v>
      </c>
      <c r="I794" s="91">
        <v>437.17</v>
      </c>
      <c r="J794" s="91">
        <v>0</v>
      </c>
      <c r="K794" s="89">
        <f>(G794*H794*I794*F794)-J794</f>
        <v>874.34</v>
      </c>
      <c r="L794" s="90"/>
    </row>
    <row r="795" spans="2:12" ht="20.25" customHeight="1">
      <c r="B795" s="417"/>
      <c r="C795" s="987" t="s">
        <v>116</v>
      </c>
      <c r="D795" s="987"/>
      <c r="E795" s="987"/>
      <c r="F795" s="987"/>
      <c r="G795" s="987"/>
      <c r="H795" s="987"/>
      <c r="I795" s="987"/>
      <c r="J795" s="987"/>
      <c r="K795" s="89">
        <f>K794</f>
        <v>874.34</v>
      </c>
      <c r="L795" s="90"/>
    </row>
    <row r="796" spans="2:12" ht="20.25" customHeight="1">
      <c r="B796" s="417"/>
      <c r="C796" s="211"/>
      <c r="D796" s="211"/>
      <c r="E796" s="211"/>
      <c r="F796" s="211"/>
      <c r="G796" s="211" t="e">
        <f>#REF!/2</f>
        <v>#REF!</v>
      </c>
      <c r="H796" s="211"/>
      <c r="I796" s="211"/>
      <c r="J796" s="211"/>
      <c r="K796" s="212"/>
      <c r="L796" s="90"/>
    </row>
    <row r="797" spans="2:12">
      <c r="B797" s="292" t="s">
        <v>1416</v>
      </c>
      <c r="C797" s="1093" t="s">
        <v>785</v>
      </c>
      <c r="D797" s="1093"/>
      <c r="E797" s="1093"/>
      <c r="F797" s="1093"/>
      <c r="G797" s="1093"/>
      <c r="H797" s="1093"/>
      <c r="I797" s="1093"/>
      <c r="J797" s="1093"/>
      <c r="K797" s="293"/>
      <c r="L797" s="293"/>
    </row>
    <row r="798" spans="2:12">
      <c r="B798" s="292" t="s">
        <v>1425</v>
      </c>
      <c r="C798" s="416" t="s">
        <v>906</v>
      </c>
      <c r="D798" s="416"/>
      <c r="E798" s="416"/>
      <c r="F798" s="416"/>
      <c r="G798" s="416"/>
      <c r="H798" s="416"/>
      <c r="I798" s="416"/>
      <c r="J798" s="416"/>
      <c r="K798" s="293"/>
      <c r="L798" s="293"/>
    </row>
    <row r="799" spans="2:12" ht="36" customHeight="1">
      <c r="B799" s="417" t="s">
        <v>1486</v>
      </c>
      <c r="C799" s="980" t="s">
        <v>787</v>
      </c>
      <c r="D799" s="981"/>
      <c r="E799" s="981"/>
      <c r="F799" s="981"/>
      <c r="G799" s="981"/>
      <c r="H799" s="981"/>
      <c r="I799" s="981"/>
      <c r="J799" s="982"/>
      <c r="K799" s="97" t="s">
        <v>77</v>
      </c>
      <c r="L799" s="97">
        <f>K802</f>
        <v>22</v>
      </c>
    </row>
    <row r="800" spans="2:12">
      <c r="B800" s="417"/>
      <c r="C800" s="983" t="s">
        <v>20</v>
      </c>
      <c r="D800" s="983"/>
      <c r="E800" s="983"/>
      <c r="F800" s="87" t="s">
        <v>22</v>
      </c>
      <c r="G800" s="413" t="s">
        <v>111</v>
      </c>
      <c r="H800" s="87" t="s">
        <v>112</v>
      </c>
      <c r="I800" s="413" t="s">
        <v>908</v>
      </c>
      <c r="J800" s="413" t="s">
        <v>114</v>
      </c>
      <c r="K800" s="89" t="s">
        <v>25</v>
      </c>
      <c r="L800" s="90"/>
    </row>
    <row r="801" spans="2:12">
      <c r="B801" s="417"/>
      <c r="C801" s="984" t="s">
        <v>907</v>
      </c>
      <c r="D801" s="985"/>
      <c r="E801" s="986"/>
      <c r="F801" s="91">
        <v>1</v>
      </c>
      <c r="G801" s="91">
        <v>1</v>
      </c>
      <c r="H801" s="91">
        <v>1</v>
      </c>
      <c r="I801" s="91">
        <v>22</v>
      </c>
      <c r="J801" s="91">
        <v>0</v>
      </c>
      <c r="K801" s="89">
        <f>(G801*H801*I801*F801)-J801</f>
        <v>22</v>
      </c>
      <c r="L801" s="90"/>
    </row>
    <row r="802" spans="2:12">
      <c r="B802" s="417"/>
      <c r="C802" s="987" t="s">
        <v>116</v>
      </c>
      <c r="D802" s="987"/>
      <c r="E802" s="987"/>
      <c r="F802" s="987"/>
      <c r="G802" s="987"/>
      <c r="H802" s="987"/>
      <c r="I802" s="987"/>
      <c r="J802" s="987"/>
      <c r="K802" s="89">
        <f>K801</f>
        <v>22</v>
      </c>
      <c r="L802" s="90"/>
    </row>
    <row r="803" spans="2:12">
      <c r="B803" s="417"/>
      <c r="C803" s="211"/>
      <c r="D803" s="211"/>
      <c r="E803" s="211"/>
      <c r="F803" s="211"/>
      <c r="G803" s="211"/>
      <c r="H803" s="211"/>
      <c r="I803" s="211"/>
      <c r="J803" s="211"/>
      <c r="K803" s="212"/>
      <c r="L803" s="90"/>
    </row>
    <row r="804" spans="2:12" ht="30" customHeight="1">
      <c r="B804" s="417" t="s">
        <v>1482</v>
      </c>
      <c r="C804" s="980" t="s">
        <v>788</v>
      </c>
      <c r="D804" s="981"/>
      <c r="E804" s="981"/>
      <c r="F804" s="981"/>
      <c r="G804" s="981"/>
      <c r="H804" s="981"/>
      <c r="I804" s="981"/>
      <c r="J804" s="982"/>
      <c r="K804" s="97" t="s">
        <v>21</v>
      </c>
      <c r="L804" s="97">
        <f>K807</f>
        <v>12</v>
      </c>
    </row>
    <row r="805" spans="2:12">
      <c r="B805" s="417"/>
      <c r="C805" s="983" t="s">
        <v>20</v>
      </c>
      <c r="D805" s="983"/>
      <c r="E805" s="983"/>
      <c r="F805" s="87" t="s">
        <v>22</v>
      </c>
      <c r="G805" s="413" t="s">
        <v>111</v>
      </c>
      <c r="H805" s="87" t="s">
        <v>112</v>
      </c>
      <c r="I805" s="413" t="s">
        <v>908</v>
      </c>
      <c r="J805" s="413" t="s">
        <v>114</v>
      </c>
      <c r="K805" s="89" t="s">
        <v>25</v>
      </c>
      <c r="L805" s="90"/>
    </row>
    <row r="806" spans="2:12">
      <c r="B806" s="417"/>
      <c r="C806" s="984" t="s">
        <v>909</v>
      </c>
      <c r="D806" s="985"/>
      <c r="E806" s="986"/>
      <c r="F806" s="91">
        <v>12</v>
      </c>
      <c r="G806" s="91">
        <v>1</v>
      </c>
      <c r="H806" s="91">
        <v>1</v>
      </c>
      <c r="I806" s="91">
        <v>1</v>
      </c>
      <c r="J806" s="91">
        <v>0</v>
      </c>
      <c r="K806" s="89">
        <f>(G806*H806*I806*F806)-J806</f>
        <v>12</v>
      </c>
      <c r="L806" s="90"/>
    </row>
    <row r="807" spans="2:12">
      <c r="B807" s="417"/>
      <c r="C807" s="987" t="s">
        <v>116</v>
      </c>
      <c r="D807" s="987"/>
      <c r="E807" s="987"/>
      <c r="F807" s="987"/>
      <c r="G807" s="987"/>
      <c r="H807" s="987"/>
      <c r="I807" s="987"/>
      <c r="J807" s="987"/>
      <c r="K807" s="89">
        <f>K806</f>
        <v>12</v>
      </c>
      <c r="L807" s="90"/>
    </row>
    <row r="808" spans="2:12">
      <c r="B808" s="417"/>
      <c r="C808" s="211"/>
      <c r="D808" s="211"/>
      <c r="E808" s="211"/>
      <c r="F808" s="211"/>
      <c r="G808" s="211"/>
      <c r="H808" s="211"/>
      <c r="I808" s="211"/>
      <c r="J808" s="211"/>
      <c r="K808" s="212"/>
      <c r="L808" s="90"/>
    </row>
    <row r="809" spans="2:12">
      <c r="B809" s="292" t="s">
        <v>1417</v>
      </c>
      <c r="C809" s="416" t="s">
        <v>910</v>
      </c>
      <c r="D809" s="416"/>
      <c r="E809" s="416"/>
      <c r="F809" s="416"/>
      <c r="G809" s="416"/>
      <c r="H809" s="416"/>
      <c r="I809" s="416"/>
      <c r="J809" s="416"/>
      <c r="K809" s="293"/>
      <c r="L809" s="293"/>
    </row>
    <row r="810" spans="2:12">
      <c r="B810" s="417"/>
      <c r="C810" s="211"/>
      <c r="D810" s="211"/>
      <c r="E810" s="211"/>
      <c r="F810" s="211"/>
      <c r="G810" s="211"/>
      <c r="H810" s="211"/>
      <c r="I810" s="211"/>
      <c r="J810" s="211"/>
      <c r="K810" s="212"/>
      <c r="L810" s="90"/>
    </row>
    <row r="811" spans="2:12">
      <c r="B811" s="633" t="s">
        <v>1434</v>
      </c>
      <c r="C811" s="980" t="s">
        <v>790</v>
      </c>
      <c r="D811" s="981"/>
      <c r="E811" s="981"/>
      <c r="F811" s="981"/>
      <c r="G811" s="981"/>
      <c r="H811" s="981"/>
      <c r="I811" s="981"/>
      <c r="J811" s="982"/>
      <c r="K811" s="97" t="s">
        <v>21</v>
      </c>
      <c r="L811" s="97">
        <f>K814</f>
        <v>4</v>
      </c>
    </row>
    <row r="812" spans="2:12">
      <c r="B812" s="417"/>
      <c r="C812" s="983" t="s">
        <v>20</v>
      </c>
      <c r="D812" s="983"/>
      <c r="E812" s="983"/>
      <c r="F812" s="87" t="s">
        <v>22</v>
      </c>
      <c r="G812" s="413" t="s">
        <v>111</v>
      </c>
      <c r="H812" s="87" t="s">
        <v>112</v>
      </c>
      <c r="I812" s="413" t="s">
        <v>908</v>
      </c>
      <c r="J812" s="413" t="s">
        <v>114</v>
      </c>
      <c r="K812" s="89" t="s">
        <v>25</v>
      </c>
      <c r="L812" s="90"/>
    </row>
    <row r="813" spans="2:12">
      <c r="B813" s="417"/>
      <c r="C813" s="984" t="s">
        <v>911</v>
      </c>
      <c r="D813" s="985"/>
      <c r="E813" s="986"/>
      <c r="F813" s="91">
        <v>4</v>
      </c>
      <c r="G813" s="91">
        <v>1</v>
      </c>
      <c r="H813" s="91">
        <v>1</v>
      </c>
      <c r="I813" s="91">
        <v>1</v>
      </c>
      <c r="J813" s="91">
        <v>0</v>
      </c>
      <c r="K813" s="89">
        <f>(G813*H813*I813*F813)-J813</f>
        <v>4</v>
      </c>
      <c r="L813" s="90"/>
    </row>
    <row r="814" spans="2:12">
      <c r="B814" s="417"/>
      <c r="C814" s="987" t="s">
        <v>116</v>
      </c>
      <c r="D814" s="987"/>
      <c r="E814" s="987"/>
      <c r="F814" s="987"/>
      <c r="G814" s="987"/>
      <c r="H814" s="987"/>
      <c r="I814" s="987"/>
      <c r="J814" s="987"/>
      <c r="K814" s="89">
        <f>K813</f>
        <v>4</v>
      </c>
      <c r="L814" s="90"/>
    </row>
    <row r="815" spans="2:12">
      <c r="B815" s="417"/>
      <c r="C815" s="211"/>
      <c r="D815" s="211"/>
      <c r="E815" s="211"/>
      <c r="F815" s="211"/>
      <c r="G815" s="211"/>
      <c r="H815" s="211"/>
      <c r="I815" s="211"/>
      <c r="J815" s="211"/>
      <c r="K815" s="212"/>
      <c r="L815" s="90"/>
    </row>
    <row r="816" spans="2:12">
      <c r="B816" s="292" t="s">
        <v>1418</v>
      </c>
      <c r="C816" s="1093" t="s">
        <v>912</v>
      </c>
      <c r="D816" s="1093"/>
      <c r="E816" s="1093"/>
      <c r="F816" s="1093"/>
      <c r="G816" s="1093"/>
      <c r="H816" s="1093"/>
      <c r="I816" s="1093"/>
      <c r="J816" s="1093"/>
      <c r="K816" s="293"/>
      <c r="L816" s="293"/>
    </row>
    <row r="817" spans="2:12">
      <c r="B817" s="292" t="s">
        <v>1443</v>
      </c>
      <c r="C817" s="1093" t="s">
        <v>791</v>
      </c>
      <c r="D817" s="1093"/>
      <c r="E817" s="1093"/>
      <c r="F817" s="1093"/>
      <c r="G817" s="1093"/>
      <c r="H817" s="1093"/>
      <c r="I817" s="1093"/>
      <c r="J817" s="1093"/>
      <c r="K817" s="293"/>
      <c r="L817" s="293"/>
    </row>
    <row r="818" spans="2:12" ht="27" customHeight="1">
      <c r="B818" s="633" t="s">
        <v>1501</v>
      </c>
      <c r="C818" s="980" t="s">
        <v>792</v>
      </c>
      <c r="D818" s="981"/>
      <c r="E818" s="981"/>
      <c r="F818" s="981"/>
      <c r="G818" s="981"/>
      <c r="H818" s="981"/>
      <c r="I818" s="981"/>
      <c r="J818" s="982"/>
      <c r="K818" s="97" t="s">
        <v>21</v>
      </c>
      <c r="L818" s="97">
        <v>1</v>
      </c>
    </row>
    <row r="819" spans="2:12">
      <c r="B819" s="417"/>
      <c r="C819" s="983" t="s">
        <v>20</v>
      </c>
      <c r="D819" s="983"/>
      <c r="E819" s="983"/>
      <c r="F819" s="87" t="s">
        <v>22</v>
      </c>
      <c r="G819" s="413" t="s">
        <v>111</v>
      </c>
      <c r="H819" s="87" t="s">
        <v>112</v>
      </c>
      <c r="I819" s="413" t="s">
        <v>113</v>
      </c>
      <c r="J819" s="413" t="s">
        <v>114</v>
      </c>
      <c r="K819" s="89" t="s">
        <v>25</v>
      </c>
      <c r="L819" s="90"/>
    </row>
    <row r="820" spans="2:12">
      <c r="B820" s="417"/>
      <c r="C820" s="984" t="s">
        <v>912</v>
      </c>
      <c r="D820" s="985"/>
      <c r="E820" s="986"/>
      <c r="F820" s="91">
        <v>1</v>
      </c>
      <c r="G820" s="91">
        <v>1</v>
      </c>
      <c r="H820" s="91">
        <v>1</v>
      </c>
      <c r="I820" s="91">
        <v>1</v>
      </c>
      <c r="J820" s="91">
        <v>0</v>
      </c>
      <c r="K820" s="89">
        <f>(G820*H820*I820*F820)-J820</f>
        <v>1</v>
      </c>
      <c r="L820" s="90"/>
    </row>
    <row r="821" spans="2:12">
      <c r="B821" s="417"/>
      <c r="C821" s="987" t="s">
        <v>116</v>
      </c>
      <c r="D821" s="987"/>
      <c r="E821" s="987"/>
      <c r="F821" s="987"/>
      <c r="G821" s="987"/>
      <c r="H821" s="987"/>
      <c r="I821" s="987"/>
      <c r="J821" s="987"/>
      <c r="K821" s="89">
        <f>K820</f>
        <v>1</v>
      </c>
      <c r="L821" s="90"/>
    </row>
    <row r="822" spans="2:12">
      <c r="B822" s="417"/>
      <c r="C822" s="211"/>
      <c r="D822" s="211"/>
      <c r="E822" s="211"/>
      <c r="F822" s="211"/>
      <c r="G822" s="211"/>
      <c r="H822" s="211"/>
      <c r="I822" s="211"/>
      <c r="J822" s="211"/>
      <c r="K822" s="212"/>
      <c r="L822" s="90"/>
    </row>
    <row r="823" spans="2:12" ht="27" customHeight="1">
      <c r="B823" s="417" t="s">
        <v>1502</v>
      </c>
      <c r="C823" s="980" t="str">
        <f>'ESCOLA MUNICIPAL DE QUEBEC E Q'!C157</f>
        <v>QUADRO DE MEDIÇÃO PADRÃO COELCE - PADRÃO POPULAR</v>
      </c>
      <c r="D823" s="981"/>
      <c r="E823" s="981"/>
      <c r="F823" s="981"/>
      <c r="G823" s="981"/>
      <c r="H823" s="981"/>
      <c r="I823" s="981"/>
      <c r="J823" s="982"/>
      <c r="K823" s="97" t="s">
        <v>21</v>
      </c>
      <c r="L823" s="97">
        <v>1</v>
      </c>
    </row>
    <row r="824" spans="2:12">
      <c r="B824" s="417"/>
      <c r="C824" s="983" t="s">
        <v>20</v>
      </c>
      <c r="D824" s="983"/>
      <c r="E824" s="983"/>
      <c r="F824" s="87" t="s">
        <v>22</v>
      </c>
      <c r="G824" s="413" t="s">
        <v>111</v>
      </c>
      <c r="H824" s="87" t="s">
        <v>112</v>
      </c>
      <c r="I824" s="413" t="s">
        <v>113</v>
      </c>
      <c r="J824" s="413" t="s">
        <v>114</v>
      </c>
      <c r="K824" s="89" t="s">
        <v>25</v>
      </c>
      <c r="L824" s="90"/>
    </row>
    <row r="825" spans="2:12" ht="15" customHeight="1">
      <c r="B825" s="417"/>
      <c r="C825" s="984" t="s">
        <v>912</v>
      </c>
      <c r="D825" s="985"/>
      <c r="E825" s="986"/>
      <c r="F825" s="91">
        <v>1</v>
      </c>
      <c r="G825" s="91">
        <v>1</v>
      </c>
      <c r="H825" s="91">
        <v>1</v>
      </c>
      <c r="I825" s="91">
        <v>1</v>
      </c>
      <c r="J825" s="91">
        <v>0</v>
      </c>
      <c r="K825" s="89">
        <f>(G825*H825*I825*F825)-J825</f>
        <v>1</v>
      </c>
      <c r="L825" s="90"/>
    </row>
    <row r="826" spans="2:12">
      <c r="B826" s="417"/>
      <c r="C826" s="987" t="s">
        <v>116</v>
      </c>
      <c r="D826" s="987"/>
      <c r="E826" s="987"/>
      <c r="F826" s="987"/>
      <c r="G826" s="987"/>
      <c r="H826" s="987"/>
      <c r="I826" s="987"/>
      <c r="J826" s="987"/>
      <c r="K826" s="89">
        <f>K825</f>
        <v>1</v>
      </c>
      <c r="L826" s="90"/>
    </row>
    <row r="827" spans="2:12">
      <c r="B827" s="417"/>
      <c r="C827" s="211"/>
      <c r="D827" s="211"/>
      <c r="E827" s="211"/>
      <c r="F827" s="211"/>
      <c r="G827" s="211"/>
      <c r="H827" s="211"/>
      <c r="I827" s="211"/>
      <c r="J827" s="211"/>
      <c r="K827" s="212"/>
      <c r="L827" s="90"/>
    </row>
    <row r="828" spans="2:12" ht="14.25" customHeight="1">
      <c r="B828" s="417" t="s">
        <v>1503</v>
      </c>
      <c r="C828" s="980" t="s">
        <v>793</v>
      </c>
      <c r="D828" s="981"/>
      <c r="E828" s="981"/>
      <c r="F828" s="981"/>
      <c r="G828" s="981"/>
      <c r="H828" s="981"/>
      <c r="I828" s="981"/>
      <c r="J828" s="982"/>
      <c r="K828" s="97" t="s">
        <v>21</v>
      </c>
      <c r="L828" s="97">
        <v>1</v>
      </c>
    </row>
    <row r="829" spans="2:12">
      <c r="B829" s="417"/>
      <c r="C829" s="983" t="s">
        <v>20</v>
      </c>
      <c r="D829" s="983"/>
      <c r="E829" s="983"/>
      <c r="F829" s="87" t="s">
        <v>22</v>
      </c>
      <c r="G829" s="413" t="s">
        <v>111</v>
      </c>
      <c r="H829" s="87" t="s">
        <v>112</v>
      </c>
      <c r="I829" s="413" t="s">
        <v>113</v>
      </c>
      <c r="J829" s="413" t="s">
        <v>114</v>
      </c>
      <c r="K829" s="89" t="s">
        <v>25</v>
      </c>
      <c r="L829" s="90"/>
    </row>
    <row r="830" spans="2:12" ht="15" customHeight="1">
      <c r="B830" s="417"/>
      <c r="C830" s="984" t="s">
        <v>912</v>
      </c>
      <c r="D830" s="985"/>
      <c r="E830" s="986"/>
      <c r="F830" s="91">
        <v>1</v>
      </c>
      <c r="G830" s="91">
        <v>1</v>
      </c>
      <c r="H830" s="91">
        <v>1</v>
      </c>
      <c r="I830" s="91">
        <v>1</v>
      </c>
      <c r="J830" s="91">
        <v>0</v>
      </c>
      <c r="K830" s="89">
        <f>(G830*H830*I830*F830)-J830</f>
        <v>1</v>
      </c>
      <c r="L830" s="90"/>
    </row>
    <row r="831" spans="2:12">
      <c r="B831" s="417"/>
      <c r="C831" s="987" t="s">
        <v>116</v>
      </c>
      <c r="D831" s="987"/>
      <c r="E831" s="987"/>
      <c r="F831" s="987"/>
      <c r="G831" s="987"/>
      <c r="H831" s="987"/>
      <c r="I831" s="987"/>
      <c r="J831" s="987"/>
      <c r="K831" s="89">
        <f>K830</f>
        <v>1</v>
      </c>
      <c r="L831" s="90"/>
    </row>
    <row r="833" spans="2:12">
      <c r="B833" s="417" t="s">
        <v>1504</v>
      </c>
      <c r="C833" s="980" t="s">
        <v>794</v>
      </c>
      <c r="D833" s="981"/>
      <c r="E833" s="981"/>
      <c r="F833" s="981"/>
      <c r="G833" s="981"/>
      <c r="H833" s="981"/>
      <c r="I833" s="981"/>
      <c r="J833" s="982"/>
      <c r="K833" s="97" t="s">
        <v>21</v>
      </c>
      <c r="L833" s="97">
        <f>K836</f>
        <v>5</v>
      </c>
    </row>
    <row r="834" spans="2:12">
      <c r="B834" s="417"/>
      <c r="C834" s="983" t="s">
        <v>20</v>
      </c>
      <c r="D834" s="983"/>
      <c r="E834" s="983"/>
      <c r="F834" s="87" t="s">
        <v>22</v>
      </c>
      <c r="G834" s="413" t="s">
        <v>111</v>
      </c>
      <c r="H834" s="87" t="s">
        <v>112</v>
      </c>
      <c r="I834" s="413" t="s">
        <v>113</v>
      </c>
      <c r="J834" s="413" t="s">
        <v>114</v>
      </c>
      <c r="K834" s="89" t="s">
        <v>25</v>
      </c>
      <c r="L834" s="90"/>
    </row>
    <row r="835" spans="2:12">
      <c r="B835" s="417"/>
      <c r="C835" s="984" t="s">
        <v>912</v>
      </c>
      <c r="D835" s="985"/>
      <c r="E835" s="986"/>
      <c r="F835" s="91">
        <v>5</v>
      </c>
      <c r="G835" s="91">
        <v>1</v>
      </c>
      <c r="H835" s="91">
        <v>1</v>
      </c>
      <c r="I835" s="91">
        <v>1</v>
      </c>
      <c r="J835" s="91">
        <v>0</v>
      </c>
      <c r="K835" s="89">
        <f>(G835*H835*I835*F835)-J835</f>
        <v>5</v>
      </c>
      <c r="L835" s="90"/>
    </row>
    <row r="836" spans="2:12">
      <c r="B836" s="417"/>
      <c r="C836" s="987" t="s">
        <v>116</v>
      </c>
      <c r="D836" s="987"/>
      <c r="E836" s="987"/>
      <c r="F836" s="987"/>
      <c r="G836" s="987"/>
      <c r="H836" s="987"/>
      <c r="I836" s="987"/>
      <c r="J836" s="987"/>
      <c r="K836" s="89">
        <f>K835</f>
        <v>5</v>
      </c>
      <c r="L836" s="90"/>
    </row>
    <row r="838" spans="2:12">
      <c r="B838" s="417" t="s">
        <v>1505</v>
      </c>
      <c r="C838" s="980" t="s">
        <v>795</v>
      </c>
      <c r="D838" s="981"/>
      <c r="E838" s="981"/>
      <c r="F838" s="981"/>
      <c r="G838" s="981"/>
      <c r="H838" s="981"/>
      <c r="I838" s="981"/>
      <c r="J838" s="982"/>
      <c r="K838" s="97" t="s">
        <v>21</v>
      </c>
      <c r="L838" s="97">
        <f>K841</f>
        <v>2</v>
      </c>
    </row>
    <row r="839" spans="2:12">
      <c r="B839" s="417"/>
      <c r="C839" s="983" t="s">
        <v>20</v>
      </c>
      <c r="D839" s="983"/>
      <c r="E839" s="983"/>
      <c r="F839" s="87" t="s">
        <v>22</v>
      </c>
      <c r="G839" s="413" t="s">
        <v>111</v>
      </c>
      <c r="H839" s="87" t="s">
        <v>112</v>
      </c>
      <c r="I839" s="413" t="s">
        <v>113</v>
      </c>
      <c r="J839" s="413" t="s">
        <v>114</v>
      </c>
      <c r="K839" s="89" t="s">
        <v>25</v>
      </c>
      <c r="L839" s="90"/>
    </row>
    <row r="840" spans="2:12">
      <c r="B840" s="417"/>
      <c r="C840" s="984" t="s">
        <v>912</v>
      </c>
      <c r="D840" s="985"/>
      <c r="E840" s="986"/>
      <c r="F840" s="91">
        <v>2</v>
      </c>
      <c r="G840" s="91">
        <v>1</v>
      </c>
      <c r="H840" s="91">
        <v>1</v>
      </c>
      <c r="I840" s="91">
        <v>1</v>
      </c>
      <c r="J840" s="91">
        <v>0</v>
      </c>
      <c r="K840" s="89">
        <f>(G840*H840*I840*F840)-J840</f>
        <v>2</v>
      </c>
      <c r="L840" s="90"/>
    </row>
    <row r="841" spans="2:12">
      <c r="B841" s="417"/>
      <c r="C841" s="987" t="s">
        <v>116</v>
      </c>
      <c r="D841" s="987"/>
      <c r="E841" s="987"/>
      <c r="F841" s="987"/>
      <c r="G841" s="987"/>
      <c r="H841" s="987"/>
      <c r="I841" s="987"/>
      <c r="J841" s="987"/>
      <c r="K841" s="89">
        <f>K840</f>
        <v>2</v>
      </c>
      <c r="L841" s="90"/>
    </row>
    <row r="843" spans="2:12">
      <c r="B843" s="417" t="s">
        <v>1506</v>
      </c>
      <c r="C843" s="980" t="s">
        <v>796</v>
      </c>
      <c r="D843" s="981"/>
      <c r="E843" s="981"/>
      <c r="F843" s="981"/>
      <c r="G843" s="981"/>
      <c r="H843" s="981"/>
      <c r="I843" s="981"/>
      <c r="J843" s="982"/>
      <c r="K843" s="97" t="s">
        <v>21</v>
      </c>
      <c r="L843" s="97">
        <v>1</v>
      </c>
    </row>
    <row r="844" spans="2:12">
      <c r="B844" s="417"/>
      <c r="C844" s="983" t="s">
        <v>20</v>
      </c>
      <c r="D844" s="983"/>
      <c r="E844" s="983"/>
      <c r="F844" s="87" t="s">
        <v>22</v>
      </c>
      <c r="G844" s="413" t="s">
        <v>111</v>
      </c>
      <c r="H844" s="87" t="s">
        <v>112</v>
      </c>
      <c r="I844" s="413" t="s">
        <v>113</v>
      </c>
      <c r="J844" s="413" t="s">
        <v>114</v>
      </c>
      <c r="K844" s="89" t="s">
        <v>25</v>
      </c>
      <c r="L844" s="90"/>
    </row>
    <row r="845" spans="2:12">
      <c r="B845" s="417"/>
      <c r="C845" s="984" t="s">
        <v>912</v>
      </c>
      <c r="D845" s="985"/>
      <c r="E845" s="986"/>
      <c r="F845" s="91">
        <v>1</v>
      </c>
      <c r="G845" s="91">
        <v>1</v>
      </c>
      <c r="H845" s="91">
        <v>1</v>
      </c>
      <c r="I845" s="91">
        <v>1</v>
      </c>
      <c r="J845" s="91">
        <v>0</v>
      </c>
      <c r="K845" s="89">
        <f>(G845*H845*I845*F845)-J845</f>
        <v>1</v>
      </c>
      <c r="L845" s="90"/>
    </row>
    <row r="846" spans="2:12">
      <c r="B846" s="417"/>
      <c r="C846" s="987" t="s">
        <v>116</v>
      </c>
      <c r="D846" s="987"/>
      <c r="E846" s="987"/>
      <c r="F846" s="987"/>
      <c r="G846" s="987"/>
      <c r="H846" s="987"/>
      <c r="I846" s="987"/>
      <c r="J846" s="987"/>
      <c r="K846" s="89">
        <f>K845</f>
        <v>1</v>
      </c>
      <c r="L846" s="90"/>
    </row>
    <row r="848" spans="2:12">
      <c r="B848" s="417" t="s">
        <v>1507</v>
      </c>
      <c r="C848" s="980" t="s">
        <v>797</v>
      </c>
      <c r="D848" s="981"/>
      <c r="E848" s="981"/>
      <c r="F848" s="981"/>
      <c r="G848" s="981"/>
      <c r="H848" s="981"/>
      <c r="I848" s="981"/>
      <c r="J848" s="982"/>
      <c r="K848" s="97" t="s">
        <v>21</v>
      </c>
      <c r="L848" s="97">
        <f>K851</f>
        <v>2</v>
      </c>
    </row>
    <row r="849" spans="2:12">
      <c r="B849" s="417"/>
      <c r="C849" s="983" t="s">
        <v>20</v>
      </c>
      <c r="D849" s="983"/>
      <c r="E849" s="983"/>
      <c r="F849" s="87" t="s">
        <v>22</v>
      </c>
      <c r="G849" s="413" t="s">
        <v>111</v>
      </c>
      <c r="H849" s="87" t="s">
        <v>112</v>
      </c>
      <c r="I849" s="413" t="s">
        <v>113</v>
      </c>
      <c r="J849" s="413" t="s">
        <v>114</v>
      </c>
      <c r="K849" s="89" t="s">
        <v>25</v>
      </c>
      <c r="L849" s="90"/>
    </row>
    <row r="850" spans="2:12">
      <c r="B850" s="417"/>
      <c r="C850" s="984" t="s">
        <v>912</v>
      </c>
      <c r="D850" s="985"/>
      <c r="E850" s="986"/>
      <c r="F850" s="91">
        <v>2</v>
      </c>
      <c r="G850" s="91">
        <v>1</v>
      </c>
      <c r="H850" s="91">
        <v>1</v>
      </c>
      <c r="I850" s="91">
        <v>1</v>
      </c>
      <c r="J850" s="91">
        <v>0</v>
      </c>
      <c r="K850" s="89">
        <f>(G850*H850*I850*F850)-J850</f>
        <v>2</v>
      </c>
      <c r="L850" s="90"/>
    </row>
    <row r="851" spans="2:12">
      <c r="B851" s="417"/>
      <c r="C851" s="987" t="s">
        <v>116</v>
      </c>
      <c r="D851" s="987"/>
      <c r="E851" s="987"/>
      <c r="F851" s="987"/>
      <c r="G851" s="987"/>
      <c r="H851" s="987"/>
      <c r="I851" s="987"/>
      <c r="J851" s="987"/>
      <c r="K851" s="89">
        <f>K850</f>
        <v>2</v>
      </c>
      <c r="L851" s="90"/>
    </row>
    <row r="853" spans="2:12">
      <c r="B853" s="292" t="s">
        <v>1450</v>
      </c>
      <c r="C853" s="1093" t="s">
        <v>913</v>
      </c>
      <c r="D853" s="1093"/>
      <c r="E853" s="1093"/>
      <c r="F853" s="1093"/>
      <c r="G853" s="1093"/>
      <c r="H853" s="1093"/>
      <c r="I853" s="1093"/>
      <c r="J853" s="1093"/>
      <c r="K853" s="293"/>
      <c r="L853" s="293"/>
    </row>
    <row r="855" spans="2:12" ht="26.25" customHeight="1">
      <c r="B855" s="417" t="s">
        <v>1453</v>
      </c>
      <c r="C855" s="980" t="s">
        <v>798</v>
      </c>
      <c r="D855" s="981"/>
      <c r="E855" s="981"/>
      <c r="F855" s="981"/>
      <c r="G855" s="981"/>
      <c r="H855" s="981"/>
      <c r="I855" s="981"/>
      <c r="J855" s="982"/>
      <c r="K855" s="97" t="s">
        <v>77</v>
      </c>
      <c r="L855" s="97">
        <v>1</v>
      </c>
    </row>
    <row r="856" spans="2:12">
      <c r="B856" s="417"/>
      <c r="C856" s="983" t="s">
        <v>20</v>
      </c>
      <c r="D856" s="983"/>
      <c r="E856" s="983"/>
      <c r="F856" s="87" t="s">
        <v>22</v>
      </c>
      <c r="G856" s="413" t="s">
        <v>111</v>
      </c>
      <c r="H856" s="87" t="s">
        <v>112</v>
      </c>
      <c r="I856" s="413" t="s">
        <v>113</v>
      </c>
      <c r="J856" s="413" t="s">
        <v>114</v>
      </c>
      <c r="K856" s="89" t="s">
        <v>25</v>
      </c>
      <c r="L856" s="90"/>
    </row>
    <row r="857" spans="2:12">
      <c r="B857" s="417"/>
      <c r="C857" s="984" t="s">
        <v>914</v>
      </c>
      <c r="D857" s="985"/>
      <c r="E857" s="986"/>
      <c r="F857" s="91">
        <v>70</v>
      </c>
      <c r="G857" s="91">
        <v>1</v>
      </c>
      <c r="H857" s="91">
        <v>1</v>
      </c>
      <c r="I857" s="91">
        <v>1</v>
      </c>
      <c r="J857" s="91">
        <v>0</v>
      </c>
      <c r="K857" s="89">
        <f>(G857*H857*I857*F857)-J857</f>
        <v>70</v>
      </c>
      <c r="L857" s="90"/>
    </row>
    <row r="858" spans="2:12">
      <c r="B858" s="417"/>
      <c r="C858" s="987" t="s">
        <v>116</v>
      </c>
      <c r="D858" s="987"/>
      <c r="E858" s="987"/>
      <c r="F858" s="987"/>
      <c r="G858" s="987"/>
      <c r="H858" s="987"/>
      <c r="I858" s="987"/>
      <c r="J858" s="987"/>
      <c r="K858" s="89">
        <f>K857</f>
        <v>70</v>
      </c>
      <c r="L858" s="90"/>
    </row>
    <row r="860" spans="2:12" ht="31.5" customHeight="1">
      <c r="B860" s="632" t="s">
        <v>1454</v>
      </c>
      <c r="C860" s="980" t="str">
        <f>'ESCOLA MUNICIPAL DE QUEBEC E Q'!C174</f>
        <v>CABO DE COBRE FLEXÍVEL ISOLADO, 4 MM², ANTI-CHAMA 450/750 V, PARA CIRCUITOS TERMINAIS - FORNECIMENTO E INSTALAÇÃO. AF_12/2015</v>
      </c>
      <c r="D860" s="981"/>
      <c r="E860" s="981"/>
      <c r="F860" s="981"/>
      <c r="G860" s="981"/>
      <c r="H860" s="981"/>
      <c r="I860" s="981"/>
      <c r="J860" s="982"/>
      <c r="K860" s="97" t="s">
        <v>77</v>
      </c>
      <c r="L860" s="97">
        <v>1</v>
      </c>
    </row>
    <row r="861" spans="2:12">
      <c r="B861" s="632"/>
      <c r="C861" s="983" t="s">
        <v>20</v>
      </c>
      <c r="D861" s="983"/>
      <c r="E861" s="983"/>
      <c r="F861" s="87" t="s">
        <v>22</v>
      </c>
      <c r="G861" s="631" t="s">
        <v>111</v>
      </c>
      <c r="H861" s="87" t="s">
        <v>112</v>
      </c>
      <c r="I861" s="631" t="s">
        <v>113</v>
      </c>
      <c r="J861" s="631" t="s">
        <v>114</v>
      </c>
      <c r="K861" s="89" t="s">
        <v>25</v>
      </c>
      <c r="L861" s="90"/>
    </row>
    <row r="862" spans="2:12">
      <c r="B862" s="632"/>
      <c r="C862" s="984" t="s">
        <v>914</v>
      </c>
      <c r="D862" s="985"/>
      <c r="E862" s="986"/>
      <c r="F862" s="91">
        <v>10</v>
      </c>
      <c r="G862" s="91">
        <v>1</v>
      </c>
      <c r="H862" s="91">
        <v>1</v>
      </c>
      <c r="I862" s="91">
        <v>1</v>
      </c>
      <c r="J862" s="91">
        <v>0</v>
      </c>
      <c r="K862" s="89">
        <f>(G862*H862*I862*F862)-J862</f>
        <v>10</v>
      </c>
      <c r="L862" s="90"/>
    </row>
    <row r="863" spans="2:12">
      <c r="B863" s="632"/>
      <c r="C863" s="987" t="s">
        <v>116</v>
      </c>
      <c r="D863" s="987"/>
      <c r="E863" s="987"/>
      <c r="F863" s="987"/>
      <c r="G863" s="987"/>
      <c r="H863" s="987"/>
      <c r="I863" s="987"/>
      <c r="J863" s="987"/>
      <c r="K863" s="89">
        <f>K862</f>
        <v>10</v>
      </c>
      <c r="L863" s="90"/>
    </row>
    <row r="865" spans="2:12" ht="27" customHeight="1">
      <c r="B865" s="632" t="s">
        <v>1483</v>
      </c>
      <c r="C865" s="980" t="str">
        <f>'ESCOLA MUNICIPAL DE QUEBEC E Q'!C166</f>
        <v>CONDULETE DE PVC, TIPO LB, PARA ELETRODUTO DE PVC SOLDÁVEL DN 25 MM (3/4''), APARENTE - FORNECIMENTO E INSTALAÇÃO. AF_11/2016</v>
      </c>
      <c r="D865" s="981"/>
      <c r="E865" s="981"/>
      <c r="F865" s="981"/>
      <c r="G865" s="981"/>
      <c r="H865" s="981"/>
      <c r="I865" s="981"/>
      <c r="J865" s="982"/>
      <c r="K865" s="97" t="s">
        <v>21</v>
      </c>
      <c r="L865" s="97">
        <f>K868</f>
        <v>5</v>
      </c>
    </row>
    <row r="866" spans="2:12">
      <c r="B866" s="632"/>
      <c r="C866" s="983" t="s">
        <v>20</v>
      </c>
      <c r="D866" s="983"/>
      <c r="E866" s="983"/>
      <c r="F866" s="87" t="s">
        <v>22</v>
      </c>
      <c r="G866" s="631" t="s">
        <v>111</v>
      </c>
      <c r="H866" s="87" t="s">
        <v>112</v>
      </c>
      <c r="I866" s="631" t="s">
        <v>113</v>
      </c>
      <c r="J866" s="631" t="s">
        <v>114</v>
      </c>
      <c r="K866" s="89" t="s">
        <v>25</v>
      </c>
      <c r="L866" s="90"/>
    </row>
    <row r="867" spans="2:12">
      <c r="B867" s="632"/>
      <c r="C867" s="984" t="str">
        <f>C872</f>
        <v>CONDULETE DE PVC</v>
      </c>
      <c r="D867" s="985"/>
      <c r="E867" s="986"/>
      <c r="F867" s="91">
        <v>5</v>
      </c>
      <c r="G867" s="91">
        <v>1</v>
      </c>
      <c r="H867" s="91">
        <v>1</v>
      </c>
      <c r="I867" s="91">
        <v>1</v>
      </c>
      <c r="J867" s="91">
        <v>0</v>
      </c>
      <c r="K867" s="89">
        <f>(G867*H867*I867*F867)-J867</f>
        <v>5</v>
      </c>
      <c r="L867" s="90"/>
    </row>
    <row r="868" spans="2:12">
      <c r="B868" s="632"/>
      <c r="C868" s="987" t="s">
        <v>116</v>
      </c>
      <c r="D868" s="987"/>
      <c r="E868" s="987"/>
      <c r="F868" s="987"/>
      <c r="G868" s="987"/>
      <c r="H868" s="987"/>
      <c r="I868" s="987"/>
      <c r="J868" s="987"/>
      <c r="K868" s="89">
        <f>K867</f>
        <v>5</v>
      </c>
      <c r="L868" s="90"/>
    </row>
    <row r="870" spans="2:12" ht="27" customHeight="1">
      <c r="B870" s="632" t="s">
        <v>1484</v>
      </c>
      <c r="C870" s="980" t="str">
        <f>'ESCOLA MUNICIPAL DE QUEBEC E Q'!C167</f>
        <v>CONDULETE DE PVC, TIPO TB, PARA ELETRODUTO DE PVC SOLDÁVEL DN 25 MM (3/4''), APARENTE - FORNECIMENTO E INSTALAÇÃO. AF_11/2016</v>
      </c>
      <c r="D870" s="981"/>
      <c r="E870" s="981"/>
      <c r="F870" s="981"/>
      <c r="G870" s="981"/>
      <c r="H870" s="981"/>
      <c r="I870" s="981"/>
      <c r="J870" s="982"/>
      <c r="K870" s="97" t="s">
        <v>21</v>
      </c>
      <c r="L870" s="97">
        <f>K873</f>
        <v>4</v>
      </c>
    </row>
    <row r="871" spans="2:12">
      <c r="B871" s="632"/>
      <c r="C871" s="983" t="s">
        <v>20</v>
      </c>
      <c r="D871" s="983"/>
      <c r="E871" s="983"/>
      <c r="F871" s="87" t="s">
        <v>22</v>
      </c>
      <c r="G871" s="631" t="s">
        <v>111</v>
      </c>
      <c r="H871" s="87" t="s">
        <v>112</v>
      </c>
      <c r="I871" s="631" t="s">
        <v>113</v>
      </c>
      <c r="J871" s="631" t="s">
        <v>114</v>
      </c>
      <c r="K871" s="89" t="s">
        <v>25</v>
      </c>
      <c r="L871" s="90"/>
    </row>
    <row r="872" spans="2:12">
      <c r="B872" s="632"/>
      <c r="C872" s="984" t="str">
        <f>C877</f>
        <v>CONDULETE DE PVC</v>
      </c>
      <c r="D872" s="985"/>
      <c r="E872" s="986"/>
      <c r="F872" s="91">
        <v>4</v>
      </c>
      <c r="G872" s="91">
        <v>1</v>
      </c>
      <c r="H872" s="91">
        <v>1</v>
      </c>
      <c r="I872" s="91">
        <v>1</v>
      </c>
      <c r="J872" s="91">
        <v>0</v>
      </c>
      <c r="K872" s="89">
        <f>(G872*H872*I872*F872)-J872</f>
        <v>4</v>
      </c>
      <c r="L872" s="90"/>
    </row>
    <row r="873" spans="2:12">
      <c r="B873" s="632"/>
      <c r="C873" s="987" t="s">
        <v>116</v>
      </c>
      <c r="D873" s="987"/>
      <c r="E873" s="987"/>
      <c r="F873" s="987"/>
      <c r="G873" s="987"/>
      <c r="H873" s="987"/>
      <c r="I873" s="987"/>
      <c r="J873" s="987"/>
      <c r="K873" s="89">
        <f>K872</f>
        <v>4</v>
      </c>
      <c r="L873" s="90"/>
    </row>
    <row r="875" spans="2:12" ht="26.25" customHeight="1">
      <c r="B875" s="632" t="s">
        <v>1485</v>
      </c>
      <c r="C875" s="980" t="str">
        <f>'ESCOLA MUNICIPAL DE QUEBEC E Q'!C168</f>
        <v>CONDULETE DE PVC, TIPO X, PARA ELETRODUTO DE PVC SOLDÁVEL DN 25 MM (3/4''), APARENTE - FORNECIMENTO E INSTALAÇÃO. AF_11/2016</v>
      </c>
      <c r="D875" s="981"/>
      <c r="E875" s="981"/>
      <c r="F875" s="981"/>
      <c r="G875" s="981"/>
      <c r="H875" s="981"/>
      <c r="I875" s="981"/>
      <c r="J875" s="982"/>
      <c r="K875" s="97" t="s">
        <v>21</v>
      </c>
      <c r="L875" s="97">
        <v>1</v>
      </c>
    </row>
    <row r="876" spans="2:12">
      <c r="B876" s="632"/>
      <c r="C876" s="983" t="s">
        <v>20</v>
      </c>
      <c r="D876" s="983"/>
      <c r="E876" s="983"/>
      <c r="F876" s="87" t="s">
        <v>22</v>
      </c>
      <c r="G876" s="631" t="s">
        <v>111</v>
      </c>
      <c r="H876" s="87" t="s">
        <v>112</v>
      </c>
      <c r="I876" s="631" t="s">
        <v>113</v>
      </c>
      <c r="J876" s="631" t="s">
        <v>114</v>
      </c>
      <c r="K876" s="89" t="s">
        <v>25</v>
      </c>
      <c r="L876" s="90"/>
    </row>
    <row r="877" spans="2:12" ht="15" customHeight="1">
      <c r="B877" s="632"/>
      <c r="C877" s="984" t="s">
        <v>1058</v>
      </c>
      <c r="D877" s="985"/>
      <c r="E877" s="986"/>
      <c r="F877" s="91">
        <v>1</v>
      </c>
      <c r="G877" s="91">
        <v>1</v>
      </c>
      <c r="H877" s="91">
        <v>1</v>
      </c>
      <c r="I877" s="91">
        <v>1</v>
      </c>
      <c r="J877" s="91">
        <v>0</v>
      </c>
      <c r="K877" s="89">
        <f>(G877*H877*I877*F877)-J877</f>
        <v>1</v>
      </c>
      <c r="L877" s="90"/>
    </row>
    <row r="878" spans="2:12">
      <c r="B878" s="632"/>
      <c r="C878" s="987" t="s">
        <v>116</v>
      </c>
      <c r="D878" s="987"/>
      <c r="E878" s="987"/>
      <c r="F878" s="987"/>
      <c r="G878" s="987"/>
      <c r="H878" s="987"/>
      <c r="I878" s="987"/>
      <c r="J878" s="987"/>
      <c r="K878" s="89">
        <f>K877</f>
        <v>1</v>
      </c>
      <c r="L878" s="90"/>
    </row>
    <row r="880" spans="2:12" ht="30" customHeight="1">
      <c r="B880" s="632" t="s">
        <v>1487</v>
      </c>
      <c r="C880" s="980" t="str">
        <f>'ESCOLA MUNICIPAL DE QUEBEC E Q'!C169</f>
        <v>BRAÇADEIRA TIPO "D", METÁLICA ATE 1"</v>
      </c>
      <c r="D880" s="981"/>
      <c r="E880" s="981"/>
      <c r="F880" s="981"/>
      <c r="G880" s="981"/>
      <c r="H880" s="981"/>
      <c r="I880" s="981"/>
      <c r="J880" s="982"/>
      <c r="K880" s="97" t="s">
        <v>21</v>
      </c>
      <c r="L880" s="97">
        <f>K883</f>
        <v>44</v>
      </c>
    </row>
    <row r="881" spans="2:12">
      <c r="B881" s="632"/>
      <c r="C881" s="983" t="s">
        <v>20</v>
      </c>
      <c r="D881" s="983"/>
      <c r="E881" s="983"/>
      <c r="F881" s="87" t="s">
        <v>22</v>
      </c>
      <c r="G881" s="631" t="s">
        <v>111</v>
      </c>
      <c r="H881" s="87" t="s">
        <v>112</v>
      </c>
      <c r="I881" s="631" t="s">
        <v>113</v>
      </c>
      <c r="J881" s="631" t="s">
        <v>114</v>
      </c>
      <c r="K881" s="89" t="s">
        <v>25</v>
      </c>
      <c r="L881" s="90"/>
    </row>
    <row r="882" spans="2:12">
      <c r="B882" s="632"/>
      <c r="C882" s="984" t="str">
        <f>C877</f>
        <v>CONDULETE DE PVC</v>
      </c>
      <c r="D882" s="985"/>
      <c r="E882" s="986"/>
      <c r="F882" s="91">
        <v>44</v>
      </c>
      <c r="G882" s="91">
        <v>1</v>
      </c>
      <c r="H882" s="91">
        <v>1</v>
      </c>
      <c r="I882" s="91">
        <v>1</v>
      </c>
      <c r="J882" s="91">
        <v>0</v>
      </c>
      <c r="K882" s="89">
        <f>(G882*H882*I882*F882)-J882</f>
        <v>44</v>
      </c>
      <c r="L882" s="90"/>
    </row>
    <row r="883" spans="2:12">
      <c r="B883" s="632"/>
      <c r="C883" s="987" t="s">
        <v>116</v>
      </c>
      <c r="D883" s="987"/>
      <c r="E883" s="987"/>
      <c r="F883" s="987"/>
      <c r="G883" s="987"/>
      <c r="H883" s="987"/>
      <c r="I883" s="987"/>
      <c r="J883" s="987"/>
      <c r="K883" s="89">
        <f>K882</f>
        <v>44</v>
      </c>
      <c r="L883" s="90"/>
    </row>
    <row r="885" spans="2:12" ht="31.5" customHeight="1">
      <c r="B885" s="632" t="s">
        <v>1488</v>
      </c>
      <c r="C885" s="980" t="str">
        <f>'ESCOLA MUNICIPAL DE QUEBEC E Q'!C170</f>
        <v>LUVA, EM FERRO GALVANIZADO, CONEXÃO ROSQUEADA, DN 20 (3/4"), INSTALADO EM RAMAIS E SUB-RAMAIS DE GÁS - FORNECIMENTO E INSTALAÇÃO. AF_10/2020</v>
      </c>
      <c r="D885" s="981"/>
      <c r="E885" s="981"/>
      <c r="F885" s="981"/>
      <c r="G885" s="981"/>
      <c r="H885" s="981"/>
      <c r="I885" s="981"/>
      <c r="J885" s="982"/>
      <c r="K885" s="97" t="s">
        <v>21</v>
      </c>
      <c r="L885" s="97">
        <f>K888</f>
        <v>12</v>
      </c>
    </row>
    <row r="886" spans="2:12">
      <c r="B886" s="632"/>
      <c r="C886" s="983" t="s">
        <v>20</v>
      </c>
      <c r="D886" s="983"/>
      <c r="E886" s="983"/>
      <c r="F886" s="87" t="s">
        <v>22</v>
      </c>
      <c r="G886" s="631" t="s">
        <v>111</v>
      </c>
      <c r="H886" s="87" t="s">
        <v>112</v>
      </c>
      <c r="I886" s="631" t="s">
        <v>113</v>
      </c>
      <c r="J886" s="631" t="s">
        <v>114</v>
      </c>
      <c r="K886" s="89" t="s">
        <v>25</v>
      </c>
      <c r="L886" s="90"/>
    </row>
    <row r="887" spans="2:12">
      <c r="B887" s="632"/>
      <c r="C887" s="984" t="s">
        <v>1059</v>
      </c>
      <c r="D887" s="985"/>
      <c r="E887" s="986"/>
      <c r="F887" s="91">
        <v>12</v>
      </c>
      <c r="G887" s="91">
        <v>1</v>
      </c>
      <c r="H887" s="91">
        <v>1</v>
      </c>
      <c r="I887" s="91">
        <v>1</v>
      </c>
      <c r="J887" s="91">
        <v>0</v>
      </c>
      <c r="K887" s="89">
        <f>(G887*H887*I887*F887)-J887</f>
        <v>12</v>
      </c>
      <c r="L887" s="90"/>
    </row>
    <row r="888" spans="2:12">
      <c r="B888" s="632"/>
      <c r="C888" s="987" t="s">
        <v>116</v>
      </c>
      <c r="D888" s="987"/>
      <c r="E888" s="987"/>
      <c r="F888" s="987"/>
      <c r="G888" s="987"/>
      <c r="H888" s="987"/>
      <c r="I888" s="987"/>
      <c r="J888" s="987"/>
      <c r="K888" s="89">
        <f>K887</f>
        <v>12</v>
      </c>
      <c r="L888" s="90"/>
    </row>
    <row r="890" spans="2:12" ht="42" customHeight="1">
      <c r="B890" s="632" t="s">
        <v>1489</v>
      </c>
      <c r="C890" s="980" t="str">
        <f>'ESCOLA MUNICIPAL DE QUEBEC E Q'!C171</f>
        <v>LUVA, EM FERRO GALVANIZADO, CONEXÃO ROSQUEADA, DN 40 (1 1/2"), INSTALADO EM REDE DE ALIMENTAÇÃO PARA SPRINKLER - FORNECIMENTO E INSTALAÇÃO. AF_10/2020</v>
      </c>
      <c r="D890" s="981"/>
      <c r="E890" s="981"/>
      <c r="F890" s="981"/>
      <c r="G890" s="981"/>
      <c r="H890" s="981"/>
      <c r="I890" s="981"/>
      <c r="J890" s="982"/>
      <c r="K890" s="97" t="s">
        <v>21</v>
      </c>
      <c r="L890" s="97">
        <f>K893</f>
        <v>2</v>
      </c>
    </row>
    <row r="891" spans="2:12">
      <c r="B891" s="632"/>
      <c r="C891" s="983" t="s">
        <v>20</v>
      </c>
      <c r="D891" s="983"/>
      <c r="E891" s="983"/>
      <c r="F891" s="87" t="s">
        <v>22</v>
      </c>
      <c r="G891" s="631" t="s">
        <v>111</v>
      </c>
      <c r="H891" s="87" t="s">
        <v>112</v>
      </c>
      <c r="I891" s="631" t="s">
        <v>113</v>
      </c>
      <c r="J891" s="631" t="s">
        <v>114</v>
      </c>
      <c r="K891" s="89" t="s">
        <v>25</v>
      </c>
      <c r="L891" s="90"/>
    </row>
    <row r="892" spans="2:12">
      <c r="B892" s="632"/>
      <c r="C892" s="984" t="s">
        <v>1059</v>
      </c>
      <c r="D892" s="985"/>
      <c r="E892" s="986"/>
      <c r="F892" s="91">
        <v>2</v>
      </c>
      <c r="G892" s="91">
        <v>1</v>
      </c>
      <c r="H892" s="91">
        <v>1</v>
      </c>
      <c r="I892" s="91">
        <v>1</v>
      </c>
      <c r="J892" s="91">
        <v>0</v>
      </c>
      <c r="K892" s="89">
        <f>(G892*H892*I892*F892)-J892</f>
        <v>2</v>
      </c>
      <c r="L892" s="90"/>
    </row>
    <row r="893" spans="2:12">
      <c r="B893" s="632"/>
      <c r="C893" s="987" t="s">
        <v>116</v>
      </c>
      <c r="D893" s="987"/>
      <c r="E893" s="987"/>
      <c r="F893" s="987"/>
      <c r="G893" s="987"/>
      <c r="H893" s="987"/>
      <c r="I893" s="987"/>
      <c r="J893" s="987"/>
      <c r="K893" s="89">
        <f>K892</f>
        <v>2</v>
      </c>
      <c r="L893" s="90"/>
    </row>
    <row r="895" spans="2:12">
      <c r="B895" s="292" t="s">
        <v>1455</v>
      </c>
      <c r="C895" s="1093" t="str">
        <f>'ESCOLA MUNICIPAL DE QUEBEC E Q'!C172</f>
        <v>CABOS E FIOS CONDUTORES</v>
      </c>
      <c r="D895" s="1093"/>
      <c r="E895" s="1093"/>
      <c r="F895" s="1093"/>
      <c r="G895" s="1093"/>
      <c r="H895" s="1093"/>
      <c r="I895" s="1093"/>
      <c r="J895" s="1093"/>
      <c r="K895" s="293"/>
      <c r="L895" s="293"/>
    </row>
    <row r="897" spans="2:12" ht="30" customHeight="1">
      <c r="B897" s="632" t="s">
        <v>1457</v>
      </c>
      <c r="C897" s="980" t="str">
        <f>'ESCOLA MUNICIPAL DE QUEBEC E Q'!C173</f>
        <v>CABO DE COBRE FLEXÍVEL ISOLADO, 2,5 MM², ANTI-CHAMA 450/750 V, PARA CIRCUITOS TERMINAIS - FORNECIMENTO E INSTALAÇÃO. AF_12/2015</v>
      </c>
      <c r="D897" s="981"/>
      <c r="E897" s="981"/>
      <c r="F897" s="981"/>
      <c r="G897" s="981"/>
      <c r="H897" s="981"/>
      <c r="I897" s="981"/>
      <c r="J897" s="982"/>
      <c r="K897" s="97" t="s">
        <v>77</v>
      </c>
      <c r="L897" s="97">
        <f>K900</f>
        <v>3</v>
      </c>
    </row>
    <row r="898" spans="2:12">
      <c r="B898" s="632"/>
      <c r="C898" s="983" t="s">
        <v>20</v>
      </c>
      <c r="D898" s="983"/>
      <c r="E898" s="983"/>
      <c r="F898" s="87" t="s">
        <v>22</v>
      </c>
      <c r="G898" s="631" t="s">
        <v>111</v>
      </c>
      <c r="H898" s="87" t="s">
        <v>112</v>
      </c>
      <c r="I898" s="631" t="s">
        <v>113</v>
      </c>
      <c r="J898" s="631" t="s">
        <v>114</v>
      </c>
      <c r="K898" s="89" t="s">
        <v>25</v>
      </c>
      <c r="L898" s="90"/>
    </row>
    <row r="899" spans="2:12">
      <c r="B899" s="632"/>
      <c r="C899" s="984" t="s">
        <v>1060</v>
      </c>
      <c r="D899" s="985"/>
      <c r="E899" s="986"/>
      <c r="F899" s="91">
        <v>3</v>
      </c>
      <c r="G899" s="91">
        <v>1</v>
      </c>
      <c r="H899" s="91">
        <v>1</v>
      </c>
      <c r="I899" s="91">
        <v>1</v>
      </c>
      <c r="J899" s="91">
        <v>0</v>
      </c>
      <c r="K899" s="89">
        <f>(G899*H899*I899*F899)-J899</f>
        <v>3</v>
      </c>
      <c r="L899" s="90"/>
    </row>
    <row r="900" spans="2:12">
      <c r="B900" s="632"/>
      <c r="C900" s="987" t="s">
        <v>116</v>
      </c>
      <c r="D900" s="987"/>
      <c r="E900" s="987"/>
      <c r="F900" s="987"/>
      <c r="G900" s="987"/>
      <c r="H900" s="987"/>
      <c r="I900" s="987"/>
      <c r="J900" s="987"/>
      <c r="K900" s="89">
        <f>K899</f>
        <v>3</v>
      </c>
      <c r="L900" s="90"/>
    </row>
    <row r="902" spans="2:12" ht="21" customHeight="1">
      <c r="B902" s="632" t="s">
        <v>1458</v>
      </c>
      <c r="C902" s="980" t="str">
        <f>'ESCOLA MUNICIPAL DE QUEBEC E Q'!C174</f>
        <v>CABO DE COBRE FLEXÍVEL ISOLADO, 4 MM², ANTI-CHAMA 450/750 V, PARA CIRCUITOS TERMINAIS - FORNECIMENTO E INSTALAÇÃO. AF_12/2015</v>
      </c>
      <c r="D902" s="981"/>
      <c r="E902" s="981"/>
      <c r="F902" s="981"/>
      <c r="G902" s="981"/>
      <c r="H902" s="981"/>
      <c r="I902" s="981"/>
      <c r="J902" s="982"/>
      <c r="K902" s="97" t="s">
        <v>77</v>
      </c>
      <c r="L902" s="97">
        <f>K905</f>
        <v>280</v>
      </c>
    </row>
    <row r="903" spans="2:12">
      <c r="B903" s="632"/>
      <c r="C903" s="983" t="s">
        <v>20</v>
      </c>
      <c r="D903" s="983"/>
      <c r="E903" s="983"/>
      <c r="F903" s="87" t="s">
        <v>22</v>
      </c>
      <c r="G903" s="631" t="s">
        <v>111</v>
      </c>
      <c r="H903" s="87" t="s">
        <v>112</v>
      </c>
      <c r="I903" s="631" t="s">
        <v>113</v>
      </c>
      <c r="J903" s="631" t="s">
        <v>114</v>
      </c>
      <c r="K903" s="89" t="s">
        <v>25</v>
      </c>
      <c r="L903" s="90"/>
    </row>
    <row r="904" spans="2:12">
      <c r="B904" s="632"/>
      <c r="C904" s="984" t="s">
        <v>1060</v>
      </c>
      <c r="D904" s="985"/>
      <c r="E904" s="986"/>
      <c r="F904" s="91">
        <v>280</v>
      </c>
      <c r="G904" s="91">
        <v>1</v>
      </c>
      <c r="H904" s="91">
        <v>1</v>
      </c>
      <c r="I904" s="91">
        <v>1</v>
      </c>
      <c r="J904" s="91">
        <v>0</v>
      </c>
      <c r="K904" s="89">
        <f>(G904*H904*I904*F904)-J904</f>
        <v>280</v>
      </c>
      <c r="L904" s="90"/>
    </row>
    <row r="905" spans="2:12">
      <c r="B905" s="632"/>
      <c r="C905" s="987" t="s">
        <v>116</v>
      </c>
      <c r="D905" s="987"/>
      <c r="E905" s="987"/>
      <c r="F905" s="987"/>
      <c r="G905" s="987"/>
      <c r="H905" s="987"/>
      <c r="I905" s="987"/>
      <c r="J905" s="987"/>
      <c r="K905" s="89">
        <f>K904</f>
        <v>280</v>
      </c>
      <c r="L905" s="90"/>
    </row>
    <row r="907" spans="2:12">
      <c r="B907" s="292" t="s">
        <v>1460</v>
      </c>
      <c r="C907" s="1093" t="str">
        <f>'ESCOLA MUNICIPAL DE QUEBEC E Q'!C175</f>
        <v>ILUMINAÇÃO E TOMADAS</v>
      </c>
      <c r="D907" s="1093"/>
      <c r="E907" s="1093"/>
      <c r="F907" s="1093"/>
      <c r="G907" s="1093"/>
      <c r="H907" s="1093"/>
      <c r="I907" s="1093"/>
      <c r="J907" s="1093"/>
      <c r="K907" s="293"/>
      <c r="L907" s="293"/>
    </row>
    <row r="909" spans="2:12" ht="34.5" customHeight="1">
      <c r="B909" s="632" t="s">
        <v>1463</v>
      </c>
      <c r="C909" s="980" t="str">
        <f>'ESCOLA MUNICIPAL DE QUEBEC E Q'!C176</f>
        <v>TOMADA MÉDIA DE EMBUTIR (1 MÓDULO), 2P+T 20 A, INCLUINDO SUPORTE E PLACA - FORNECIMENTO E INSTALAÇÃO. AF_12/2015</v>
      </c>
      <c r="D909" s="981"/>
      <c r="E909" s="981"/>
      <c r="F909" s="981"/>
      <c r="G909" s="981"/>
      <c r="H909" s="981"/>
      <c r="I909" s="981"/>
      <c r="J909" s="982"/>
      <c r="K909" s="97" t="s">
        <v>21</v>
      </c>
      <c r="L909" s="97">
        <v>1</v>
      </c>
    </row>
    <row r="910" spans="2:12">
      <c r="B910" s="632"/>
      <c r="C910" s="983" t="s">
        <v>20</v>
      </c>
      <c r="D910" s="983"/>
      <c r="E910" s="983"/>
      <c r="F910" s="87" t="s">
        <v>22</v>
      </c>
      <c r="G910" s="631" t="s">
        <v>111</v>
      </c>
      <c r="H910" s="87" t="s">
        <v>112</v>
      </c>
      <c r="I910" s="631" t="s">
        <v>113</v>
      </c>
      <c r="J910" s="631" t="s">
        <v>114</v>
      </c>
      <c r="K910" s="89" t="s">
        <v>25</v>
      </c>
      <c r="L910" s="90"/>
    </row>
    <row r="911" spans="2:12">
      <c r="B911" s="632"/>
      <c r="C911" s="984" t="s">
        <v>1061</v>
      </c>
      <c r="D911" s="985"/>
      <c r="E911" s="986"/>
      <c r="F911" s="91">
        <v>1</v>
      </c>
      <c r="G911" s="91">
        <v>1</v>
      </c>
      <c r="H911" s="91">
        <v>1</v>
      </c>
      <c r="I911" s="91">
        <v>1</v>
      </c>
      <c r="J911" s="91">
        <v>0</v>
      </c>
      <c r="K911" s="89">
        <f>(G911*H911*I911*F911)-J911</f>
        <v>1</v>
      </c>
      <c r="L911" s="90"/>
    </row>
    <row r="912" spans="2:12">
      <c r="B912" s="632"/>
      <c r="C912" s="987" t="s">
        <v>116</v>
      </c>
      <c r="D912" s="987"/>
      <c r="E912" s="987"/>
      <c r="F912" s="987"/>
      <c r="G912" s="987"/>
      <c r="H912" s="987"/>
      <c r="I912" s="987"/>
      <c r="J912" s="987"/>
      <c r="K912" s="89">
        <f>K911</f>
        <v>1</v>
      </c>
      <c r="L912" s="90"/>
    </row>
    <row r="914" spans="2:12" ht="51" customHeight="1">
      <c r="B914" s="632" t="s">
        <v>1464</v>
      </c>
      <c r="C914" s="980" t="str">
        <f>'ESCOLA MUNICIPAL DE QUEBEC E Q'!C177</f>
        <v>LUMINARIA QUADRA POLIESPORTIVA 500W, FORNECIMENTO E INSTALAÇÃO</v>
      </c>
      <c r="D914" s="981"/>
      <c r="E914" s="981"/>
      <c r="F914" s="981"/>
      <c r="G914" s="981"/>
      <c r="H914" s="981"/>
      <c r="I914" s="981"/>
      <c r="J914" s="982"/>
      <c r="K914" s="97" t="s">
        <v>21</v>
      </c>
      <c r="L914" s="97">
        <f>K917</f>
        <v>20</v>
      </c>
    </row>
    <row r="915" spans="2:12">
      <c r="B915" s="632"/>
      <c r="C915" s="983" t="s">
        <v>20</v>
      </c>
      <c r="D915" s="983"/>
      <c r="E915" s="983"/>
      <c r="F915" s="87" t="s">
        <v>22</v>
      </c>
      <c r="G915" s="631" t="s">
        <v>111</v>
      </c>
      <c r="H915" s="87" t="s">
        <v>112</v>
      </c>
      <c r="I915" s="631" t="s">
        <v>113</v>
      </c>
      <c r="J915" s="631" t="s">
        <v>114</v>
      </c>
      <c r="K915" s="89" t="s">
        <v>25</v>
      </c>
      <c r="L915" s="90"/>
    </row>
    <row r="916" spans="2:12">
      <c r="B916" s="632"/>
      <c r="C916" s="984" t="s">
        <v>1062</v>
      </c>
      <c r="D916" s="985"/>
      <c r="E916" s="986"/>
      <c r="F916" s="91">
        <v>20</v>
      </c>
      <c r="G916" s="91">
        <v>1</v>
      </c>
      <c r="H916" s="91">
        <v>1</v>
      </c>
      <c r="I916" s="91">
        <v>1</v>
      </c>
      <c r="J916" s="91">
        <v>0</v>
      </c>
      <c r="K916" s="89">
        <f>(G916*H916*I916*F916)-J916</f>
        <v>20</v>
      </c>
      <c r="L916" s="90"/>
    </row>
    <row r="917" spans="2:12">
      <c r="B917" s="632"/>
      <c r="C917" s="987" t="s">
        <v>116</v>
      </c>
      <c r="D917" s="987"/>
      <c r="E917" s="987"/>
      <c r="F917" s="987"/>
      <c r="G917" s="987"/>
      <c r="H917" s="987"/>
      <c r="I917" s="987"/>
      <c r="J917" s="987"/>
      <c r="K917" s="89">
        <f>K916</f>
        <v>20</v>
      </c>
      <c r="L917" s="90"/>
    </row>
    <row r="919" spans="2:12">
      <c r="B919" s="292" t="s">
        <v>1461</v>
      </c>
      <c r="C919" s="1093" t="str">
        <f>'ESCOLA MUNICIPAL DE QUEBEC E Q'!C179</f>
        <v>SISTEMA DE PROTEÇÃO CONTRA DESCARGAS ATMOSFERICA (SPDA)</v>
      </c>
      <c r="D919" s="1093"/>
      <c r="E919" s="1093"/>
      <c r="F919" s="1093"/>
      <c r="G919" s="1093"/>
      <c r="H919" s="1093"/>
      <c r="I919" s="1093"/>
      <c r="J919" s="1093"/>
      <c r="K919" s="293"/>
      <c r="L919" s="293"/>
    </row>
    <row r="921" spans="2:12">
      <c r="B921" s="632" t="s">
        <v>1473</v>
      </c>
      <c r="C921" s="980" t="str">
        <f>'ESCOLA MUNICIPAL DE QUEBEC E Q'!C180</f>
        <v>HASTE DE ATERRAMENTO 5/8  PARA SPDA - FORNECIMENTO E INSTALAÇÃO. AF_12/2017</v>
      </c>
      <c r="D921" s="981"/>
      <c r="E921" s="981"/>
      <c r="F921" s="981"/>
      <c r="G921" s="981"/>
      <c r="H921" s="981"/>
      <c r="I921" s="981"/>
      <c r="J921" s="982"/>
      <c r="K921" s="97" t="s">
        <v>21</v>
      </c>
      <c r="L921" s="97">
        <f>K924</f>
        <v>5</v>
      </c>
    </row>
    <row r="922" spans="2:12">
      <c r="B922" s="632"/>
      <c r="C922" s="983" t="s">
        <v>20</v>
      </c>
      <c r="D922" s="983"/>
      <c r="E922" s="983"/>
      <c r="F922" s="87" t="s">
        <v>22</v>
      </c>
      <c r="G922" s="631" t="s">
        <v>111</v>
      </c>
      <c r="H922" s="87" t="s">
        <v>112</v>
      </c>
      <c r="I922" s="631" t="s">
        <v>113</v>
      </c>
      <c r="J922" s="631" t="s">
        <v>114</v>
      </c>
      <c r="K922" s="89" t="s">
        <v>25</v>
      </c>
      <c r="L922" s="90"/>
    </row>
    <row r="923" spans="2:12">
      <c r="B923" s="632"/>
      <c r="C923" s="984" t="s">
        <v>1063</v>
      </c>
      <c r="D923" s="985"/>
      <c r="E923" s="986"/>
      <c r="F923" s="91">
        <v>5</v>
      </c>
      <c r="G923" s="91">
        <v>1</v>
      </c>
      <c r="H923" s="91">
        <v>1</v>
      </c>
      <c r="I923" s="91">
        <v>1</v>
      </c>
      <c r="J923" s="91">
        <v>0</v>
      </c>
      <c r="K923" s="89">
        <f>(G923*H923*I923*F923)-J923</f>
        <v>5</v>
      </c>
      <c r="L923" s="90"/>
    </row>
    <row r="924" spans="2:12">
      <c r="B924" s="632"/>
      <c r="C924" s="987" t="s">
        <v>116</v>
      </c>
      <c r="D924" s="987"/>
      <c r="E924" s="987"/>
      <c r="F924" s="987"/>
      <c r="G924" s="987"/>
      <c r="H924" s="987"/>
      <c r="I924" s="987"/>
      <c r="J924" s="987"/>
      <c r="K924" s="89">
        <f>K923</f>
        <v>5</v>
      </c>
      <c r="L924" s="90"/>
    </row>
    <row r="926" spans="2:12">
      <c r="B926" s="632" t="s">
        <v>1490</v>
      </c>
      <c r="C926" s="980" t="str">
        <f>'ESCOLA MUNICIPAL DE QUEBEC E Q'!C181</f>
        <v xml:space="preserve">CAIXA DE EQUALIZAÇAO DE POTÊNCIAS DE EMBUTIR </v>
      </c>
      <c r="D926" s="981"/>
      <c r="E926" s="981"/>
      <c r="F926" s="981"/>
      <c r="G926" s="981"/>
      <c r="H926" s="981"/>
      <c r="I926" s="981"/>
      <c r="J926" s="982"/>
      <c r="K926" s="97" t="s">
        <v>21</v>
      </c>
      <c r="L926" s="97">
        <f>K929</f>
        <v>1</v>
      </c>
    </row>
    <row r="927" spans="2:12">
      <c r="B927" s="632"/>
      <c r="C927" s="983" t="s">
        <v>20</v>
      </c>
      <c r="D927" s="983"/>
      <c r="E927" s="983"/>
      <c r="F927" s="87" t="s">
        <v>22</v>
      </c>
      <c r="G927" s="631" t="s">
        <v>111</v>
      </c>
      <c r="H927" s="87" t="s">
        <v>112</v>
      </c>
      <c r="I927" s="631" t="s">
        <v>113</v>
      </c>
      <c r="J927" s="631" t="s">
        <v>114</v>
      </c>
      <c r="K927" s="89" t="s">
        <v>25</v>
      </c>
      <c r="L927" s="90"/>
    </row>
    <row r="928" spans="2:12">
      <c r="B928" s="632"/>
      <c r="C928" s="984" t="s">
        <v>1064</v>
      </c>
      <c r="D928" s="985"/>
      <c r="E928" s="986"/>
      <c r="F928" s="91">
        <v>1</v>
      </c>
      <c r="G928" s="91">
        <v>1</v>
      </c>
      <c r="H928" s="91">
        <v>1</v>
      </c>
      <c r="I928" s="91">
        <v>1</v>
      </c>
      <c r="J928" s="91">
        <v>0</v>
      </c>
      <c r="K928" s="89">
        <f>(G928*H928*I928*F928)-J928</f>
        <v>1</v>
      </c>
      <c r="L928" s="90"/>
    </row>
    <row r="929" spans="2:12">
      <c r="B929" s="632"/>
      <c r="C929" s="987" t="s">
        <v>116</v>
      </c>
      <c r="D929" s="987"/>
      <c r="E929" s="987"/>
      <c r="F929" s="987"/>
      <c r="G929" s="987"/>
      <c r="H929" s="987"/>
      <c r="I929" s="987"/>
      <c r="J929" s="987"/>
      <c r="K929" s="89">
        <f>K928</f>
        <v>1</v>
      </c>
      <c r="L929" s="90"/>
    </row>
    <row r="931" spans="2:12" ht="34.5" customHeight="1">
      <c r="B931" s="632" t="s">
        <v>1491</v>
      </c>
      <c r="C931" s="980" t="str">
        <f>'ESCOLA MUNICIPAL DE QUEBEC E Q'!C182</f>
        <v>CORDOALHA DE COBRE NU 35 MM², NÃO ENTERRADA, COM ISOLADOR - FORNECIMENTO E INSTALAÇÃO. AF_12/2017</v>
      </c>
      <c r="D931" s="981"/>
      <c r="E931" s="981"/>
      <c r="F931" s="981"/>
      <c r="G931" s="981"/>
      <c r="H931" s="981"/>
      <c r="I931" s="981"/>
      <c r="J931" s="982"/>
      <c r="K931" s="97" t="s">
        <v>77</v>
      </c>
      <c r="L931" s="97">
        <f>K934</f>
        <v>17.5</v>
      </c>
    </row>
    <row r="932" spans="2:12">
      <c r="B932" s="632"/>
      <c r="C932" s="983" t="s">
        <v>20</v>
      </c>
      <c r="D932" s="983"/>
      <c r="E932" s="983"/>
      <c r="F932" s="87" t="s">
        <v>22</v>
      </c>
      <c r="G932" s="631" t="s">
        <v>111</v>
      </c>
      <c r="H932" s="87" t="s">
        <v>112</v>
      </c>
      <c r="I932" s="631" t="s">
        <v>113</v>
      </c>
      <c r="J932" s="631" t="s">
        <v>114</v>
      </c>
      <c r="K932" s="89" t="s">
        <v>25</v>
      </c>
      <c r="L932" s="90"/>
    </row>
    <row r="933" spans="2:12">
      <c r="B933" s="632"/>
      <c r="C933" s="984" t="str">
        <f>C938</f>
        <v>CORDOALHA</v>
      </c>
      <c r="D933" s="985"/>
      <c r="E933" s="986"/>
      <c r="F933" s="91">
        <v>17.5</v>
      </c>
      <c r="G933" s="91">
        <v>1</v>
      </c>
      <c r="H933" s="91">
        <v>1</v>
      </c>
      <c r="I933" s="91">
        <v>1</v>
      </c>
      <c r="J933" s="91">
        <v>0</v>
      </c>
      <c r="K933" s="89">
        <f>(G933*H933*I933*F933)-J933</f>
        <v>17.5</v>
      </c>
      <c r="L933" s="90"/>
    </row>
    <row r="934" spans="2:12">
      <c r="B934" s="632"/>
      <c r="C934" s="987" t="s">
        <v>116</v>
      </c>
      <c r="D934" s="987"/>
      <c r="E934" s="987"/>
      <c r="F934" s="987"/>
      <c r="G934" s="987"/>
      <c r="H934" s="987"/>
      <c r="I934" s="987"/>
      <c r="J934" s="987"/>
      <c r="K934" s="89">
        <f>K933</f>
        <v>17.5</v>
      </c>
      <c r="L934" s="90"/>
    </row>
    <row r="936" spans="2:12" ht="34.5" customHeight="1">
      <c r="B936" s="632" t="s">
        <v>1492</v>
      </c>
      <c r="C936" s="980" t="str">
        <f>'ESCOLA MUNICIPAL DE QUEBEC E Q'!C183</f>
        <v>CORDOALHA DE COBRE NU 50 MM², NÃO ENTERRADA, COM ISOLADOR - FORNECIMENTO E INSTALAÇÃO. AF_12/2017</v>
      </c>
      <c r="D936" s="981"/>
      <c r="E936" s="981"/>
      <c r="F936" s="981"/>
      <c r="G936" s="981"/>
      <c r="H936" s="981"/>
      <c r="I936" s="981"/>
      <c r="J936" s="982"/>
      <c r="K936" s="97" t="s">
        <v>77</v>
      </c>
      <c r="L936" s="97">
        <f>K939</f>
        <v>110</v>
      </c>
    </row>
    <row r="937" spans="2:12">
      <c r="B937" s="632"/>
      <c r="C937" s="983" t="s">
        <v>20</v>
      </c>
      <c r="D937" s="983"/>
      <c r="E937" s="983"/>
      <c r="F937" s="87" t="s">
        <v>22</v>
      </c>
      <c r="G937" s="631" t="s">
        <v>111</v>
      </c>
      <c r="H937" s="87" t="s">
        <v>112</v>
      </c>
      <c r="I937" s="631" t="s">
        <v>113</v>
      </c>
      <c r="J937" s="631" t="s">
        <v>114</v>
      </c>
      <c r="K937" s="89" t="s">
        <v>25</v>
      </c>
      <c r="L937" s="90"/>
    </row>
    <row r="938" spans="2:12">
      <c r="B938" s="632"/>
      <c r="C938" s="984" t="s">
        <v>1065</v>
      </c>
      <c r="D938" s="985"/>
      <c r="E938" s="986"/>
      <c r="F938" s="91">
        <v>110</v>
      </c>
      <c r="G938" s="91">
        <v>1</v>
      </c>
      <c r="H938" s="91">
        <v>1</v>
      </c>
      <c r="I938" s="91">
        <v>1</v>
      </c>
      <c r="J938" s="91">
        <v>0</v>
      </c>
      <c r="K938" s="89">
        <f>(G938*H938*I938*F938)-J938</f>
        <v>110</v>
      </c>
      <c r="L938" s="90"/>
    </row>
    <row r="939" spans="2:12">
      <c r="B939" s="632"/>
      <c r="C939" s="987" t="s">
        <v>116</v>
      </c>
      <c r="D939" s="987"/>
      <c r="E939" s="987"/>
      <c r="F939" s="987"/>
      <c r="G939" s="987"/>
      <c r="H939" s="987"/>
      <c r="I939" s="987"/>
      <c r="J939" s="987"/>
      <c r="K939" s="89">
        <f>K938</f>
        <v>110</v>
      </c>
      <c r="L939" s="90"/>
    </row>
    <row r="941" spans="2:12">
      <c r="B941" s="632" t="s">
        <v>1493</v>
      </c>
      <c r="C941" s="980" t="str">
        <f>'ESCOLA MUNICIPAL DE QUEBEC E Q'!C184</f>
        <v>ELETRODUTO RÍGIDO ROSCÁVEL, PVC, DN 50 MM (1 1/2") - FORNECIMENTO E INSTALAÇÃO. AF_12/2015</v>
      </c>
      <c r="D941" s="981"/>
      <c r="E941" s="981"/>
      <c r="F941" s="981"/>
      <c r="G941" s="981"/>
      <c r="H941" s="981"/>
      <c r="I941" s="981"/>
      <c r="J941" s="982"/>
      <c r="K941" s="97" t="s">
        <v>77</v>
      </c>
      <c r="L941" s="97">
        <f>K944</f>
        <v>19</v>
      </c>
    </row>
    <row r="942" spans="2:12">
      <c r="B942" s="632"/>
      <c r="C942" s="983" t="s">
        <v>20</v>
      </c>
      <c r="D942" s="983"/>
      <c r="E942" s="983"/>
      <c r="F942" s="87" t="s">
        <v>22</v>
      </c>
      <c r="G942" s="631" t="s">
        <v>111</v>
      </c>
      <c r="H942" s="87" t="s">
        <v>112</v>
      </c>
      <c r="I942" s="631" t="s">
        <v>113</v>
      </c>
      <c r="J942" s="631" t="s">
        <v>114</v>
      </c>
      <c r="K942" s="89" t="s">
        <v>25</v>
      </c>
      <c r="L942" s="90"/>
    </row>
    <row r="943" spans="2:12">
      <c r="B943" s="632"/>
      <c r="C943" s="984" t="s">
        <v>914</v>
      </c>
      <c r="D943" s="985"/>
      <c r="E943" s="986"/>
      <c r="F943" s="91">
        <v>19</v>
      </c>
      <c r="G943" s="91">
        <v>1</v>
      </c>
      <c r="H943" s="91">
        <v>1</v>
      </c>
      <c r="I943" s="91">
        <v>1</v>
      </c>
      <c r="J943" s="91">
        <v>0</v>
      </c>
      <c r="K943" s="89">
        <f>(G943*H943*I943*F943)-J943</f>
        <v>19</v>
      </c>
      <c r="L943" s="90"/>
    </row>
    <row r="944" spans="2:12">
      <c r="B944" s="632"/>
      <c r="C944" s="987" t="s">
        <v>116</v>
      </c>
      <c r="D944" s="987"/>
      <c r="E944" s="987"/>
      <c r="F944" s="987"/>
      <c r="G944" s="987"/>
      <c r="H944" s="987"/>
      <c r="I944" s="987"/>
      <c r="J944" s="987"/>
      <c r="K944" s="89">
        <f>K943</f>
        <v>19</v>
      </c>
      <c r="L944" s="90"/>
    </row>
    <row r="946" spans="2:12">
      <c r="B946" s="632" t="s">
        <v>1494</v>
      </c>
      <c r="C946" s="980" t="str">
        <f>'ESCOLA MUNICIPAL DE QUEBEC E Q'!C185</f>
        <v>ESCAVAÇÃO MANUAL DE VALA COM PROFUNDIDADE MENOR OU IGUAL A 1,30 M. AF_02/2021</v>
      </c>
      <c r="D946" s="981"/>
      <c r="E946" s="981"/>
      <c r="F946" s="981"/>
      <c r="G946" s="981"/>
      <c r="H946" s="981"/>
      <c r="I946" s="981"/>
      <c r="J946" s="982"/>
      <c r="K946" s="97" t="s">
        <v>15</v>
      </c>
      <c r="L946" s="97">
        <f>K949</f>
        <v>16.5</v>
      </c>
    </row>
    <row r="947" spans="2:12">
      <c r="B947" s="632"/>
      <c r="C947" s="983" t="s">
        <v>20</v>
      </c>
      <c r="D947" s="983"/>
      <c r="E947" s="983"/>
      <c r="F947" s="87" t="s">
        <v>22</v>
      </c>
      <c r="G947" s="631" t="s">
        <v>111</v>
      </c>
      <c r="H947" s="87" t="s">
        <v>112</v>
      </c>
      <c r="I947" s="631" t="s">
        <v>113</v>
      </c>
      <c r="J947" s="631" t="s">
        <v>114</v>
      </c>
      <c r="K947" s="89" t="s">
        <v>25</v>
      </c>
      <c r="L947" s="90"/>
    </row>
    <row r="948" spans="2:12">
      <c r="B948" s="632"/>
      <c r="C948" s="984" t="s">
        <v>1066</v>
      </c>
      <c r="D948" s="985"/>
      <c r="E948" s="986"/>
      <c r="F948" s="91">
        <v>16.5</v>
      </c>
      <c r="G948" s="91">
        <v>1</v>
      </c>
      <c r="H948" s="91">
        <v>1</v>
      </c>
      <c r="I948" s="91">
        <v>1</v>
      </c>
      <c r="J948" s="91">
        <v>0</v>
      </c>
      <c r="K948" s="89">
        <f>(G948*H948*I948*F948)-J948</f>
        <v>16.5</v>
      </c>
      <c r="L948" s="90"/>
    </row>
    <row r="949" spans="2:12">
      <c r="B949" s="632"/>
      <c r="C949" s="987" t="s">
        <v>116</v>
      </c>
      <c r="D949" s="987"/>
      <c r="E949" s="987"/>
      <c r="F949" s="987"/>
      <c r="G949" s="987"/>
      <c r="H949" s="987"/>
      <c r="I949" s="987"/>
      <c r="J949" s="987"/>
      <c r="K949" s="89">
        <f>K948</f>
        <v>16.5</v>
      </c>
      <c r="L949" s="90"/>
    </row>
    <row r="951" spans="2:12">
      <c r="B951" s="632" t="s">
        <v>1495</v>
      </c>
      <c r="C951" s="980" t="str">
        <f>'ESCOLA MUNICIPAL DE QUEBEC E Q'!C186</f>
        <v>REATERRO MANUAL DE VALAS COM COMPACTAÇÃO MECANIZADA. AF_04/2016</v>
      </c>
      <c r="D951" s="981"/>
      <c r="E951" s="981"/>
      <c r="F951" s="981"/>
      <c r="G951" s="981"/>
      <c r="H951" s="981"/>
      <c r="I951" s="981"/>
      <c r="J951" s="982"/>
      <c r="K951" s="97" t="s">
        <v>21</v>
      </c>
      <c r="L951" s="97">
        <f>K954</f>
        <v>16.5</v>
      </c>
    </row>
    <row r="952" spans="2:12">
      <c r="B952" s="632"/>
      <c r="C952" s="983" t="s">
        <v>20</v>
      </c>
      <c r="D952" s="983"/>
      <c r="E952" s="983"/>
      <c r="F952" s="87" t="s">
        <v>22</v>
      </c>
      <c r="G952" s="631" t="s">
        <v>111</v>
      </c>
      <c r="H952" s="87" t="s">
        <v>112</v>
      </c>
      <c r="I952" s="631" t="s">
        <v>113</v>
      </c>
      <c r="J952" s="631" t="s">
        <v>114</v>
      </c>
      <c r="K952" s="89" t="s">
        <v>25</v>
      </c>
      <c r="L952" s="90"/>
    </row>
    <row r="953" spans="2:12" ht="42.75" customHeight="1">
      <c r="B953" s="632"/>
      <c r="C953" s="980" t="s">
        <v>709</v>
      </c>
      <c r="D953" s="981"/>
      <c r="E953" s="982"/>
      <c r="F953" s="91">
        <v>16.5</v>
      </c>
      <c r="G953" s="91">
        <v>1</v>
      </c>
      <c r="H953" s="91">
        <v>1</v>
      </c>
      <c r="I953" s="91">
        <v>1</v>
      </c>
      <c r="J953" s="91">
        <v>0</v>
      </c>
      <c r="K953" s="89">
        <f>(G953*H953*I953*F953)-J953</f>
        <v>16.5</v>
      </c>
      <c r="L953" s="90"/>
    </row>
    <row r="954" spans="2:12">
      <c r="B954" s="632"/>
      <c r="C954" s="987" t="s">
        <v>116</v>
      </c>
      <c r="D954" s="987"/>
      <c r="E954" s="987"/>
      <c r="F954" s="987"/>
      <c r="G954" s="987"/>
      <c r="H954" s="987"/>
      <c r="I954" s="987"/>
      <c r="J954" s="987"/>
      <c r="K954" s="89">
        <f>K953</f>
        <v>16.5</v>
      </c>
      <c r="L954" s="90"/>
    </row>
    <row r="956" spans="2:12" ht="30" customHeight="1">
      <c r="B956" s="632" t="s">
        <v>1496</v>
      </c>
      <c r="C956" s="980" t="str">
        <f>'ESCOLA MUNICIPAL DE QUEBEC E Q'!C187</f>
        <v>CAIXA DE INSPEÇÃO PARA ATERRAMENTO, CIRCULAR, EM POLIETILENO, DIÂMETRO INTERNO = 0,3 M. AF_12/2020</v>
      </c>
      <c r="D956" s="981"/>
      <c r="E956" s="981"/>
      <c r="F956" s="981"/>
      <c r="G956" s="981"/>
      <c r="H956" s="981"/>
      <c r="I956" s="981"/>
      <c r="J956" s="982"/>
      <c r="K956" s="97" t="s">
        <v>21</v>
      </c>
      <c r="L956" s="97">
        <f>K959</f>
        <v>5</v>
      </c>
    </row>
    <row r="957" spans="2:12">
      <c r="B957" s="632"/>
      <c r="C957" s="983" t="s">
        <v>20</v>
      </c>
      <c r="D957" s="983"/>
      <c r="E957" s="983"/>
      <c r="F957" s="87" t="s">
        <v>22</v>
      </c>
      <c r="G957" s="631" t="s">
        <v>111</v>
      </c>
      <c r="H957" s="87" t="s">
        <v>112</v>
      </c>
      <c r="I957" s="631" t="s">
        <v>113</v>
      </c>
      <c r="J957" s="631" t="s">
        <v>114</v>
      </c>
      <c r="K957" s="89" t="s">
        <v>25</v>
      </c>
      <c r="L957" s="90"/>
    </row>
    <row r="958" spans="2:12">
      <c r="B958" s="632"/>
      <c r="C958" s="984" t="s">
        <v>1059</v>
      </c>
      <c r="D958" s="985"/>
      <c r="E958" s="986"/>
      <c r="F958" s="91">
        <v>5</v>
      </c>
      <c r="G958" s="91">
        <v>1</v>
      </c>
      <c r="H958" s="91">
        <v>1</v>
      </c>
      <c r="I958" s="91">
        <v>1</v>
      </c>
      <c r="J958" s="91">
        <v>0</v>
      </c>
      <c r="K958" s="89">
        <f>(G958*H958*I958*F958)-J958</f>
        <v>5</v>
      </c>
      <c r="L958" s="90"/>
    </row>
    <row r="959" spans="2:12">
      <c r="B959" s="632"/>
      <c r="C959" s="987" t="s">
        <v>116</v>
      </c>
      <c r="D959" s="987"/>
      <c r="E959" s="987"/>
      <c r="F959" s="987"/>
      <c r="G959" s="987"/>
      <c r="H959" s="987"/>
      <c r="I959" s="987"/>
      <c r="J959" s="987"/>
      <c r="K959" s="89">
        <f>K958</f>
        <v>5</v>
      </c>
      <c r="L959" s="90"/>
    </row>
    <row r="960" spans="2:12">
      <c r="B960" s="793"/>
      <c r="C960" s="211"/>
      <c r="D960" s="211"/>
      <c r="E960" s="211"/>
      <c r="F960" s="211"/>
      <c r="G960" s="211"/>
      <c r="H960" s="211"/>
      <c r="I960" s="211"/>
      <c r="J960" s="211"/>
      <c r="K960" s="212"/>
      <c r="L960" s="90"/>
    </row>
    <row r="961" spans="2:12" ht="25.5" customHeight="1">
      <c r="B961" s="793" t="s">
        <v>1497</v>
      </c>
      <c r="C961" s="980" t="str">
        <f>'ESCOLA MUNICIPAL DE QUEBEC E Q'!C188</f>
        <v>CONECTOR DE BRONZE PARA 2 CABOS  5/8" TEL  580</v>
      </c>
      <c r="D961" s="981"/>
      <c r="E961" s="981"/>
      <c r="F961" s="981"/>
      <c r="G961" s="981"/>
      <c r="H961" s="981"/>
      <c r="I961" s="981"/>
      <c r="J961" s="982"/>
      <c r="K961" s="97" t="s">
        <v>21</v>
      </c>
      <c r="L961" s="97">
        <f>K964</f>
        <v>5</v>
      </c>
    </row>
    <row r="962" spans="2:12">
      <c r="B962" s="793"/>
      <c r="C962" s="983" t="s">
        <v>20</v>
      </c>
      <c r="D962" s="983"/>
      <c r="E962" s="983"/>
      <c r="F962" s="87" t="s">
        <v>22</v>
      </c>
      <c r="G962" s="790" t="s">
        <v>111</v>
      </c>
      <c r="H962" s="87" t="s">
        <v>112</v>
      </c>
      <c r="I962" s="790" t="s">
        <v>113</v>
      </c>
      <c r="J962" s="790" t="s">
        <v>114</v>
      </c>
      <c r="K962" s="89" t="s">
        <v>25</v>
      </c>
      <c r="L962" s="90"/>
    </row>
    <row r="963" spans="2:12">
      <c r="B963" s="793"/>
      <c r="C963" s="984" t="s">
        <v>1510</v>
      </c>
      <c r="D963" s="985"/>
      <c r="E963" s="986"/>
      <c r="F963" s="91">
        <v>5</v>
      </c>
      <c r="G963" s="91">
        <v>1</v>
      </c>
      <c r="H963" s="91">
        <v>1</v>
      </c>
      <c r="I963" s="91">
        <v>1</v>
      </c>
      <c r="J963" s="91">
        <v>0</v>
      </c>
      <c r="K963" s="89">
        <f>(G963*H963*I963*F963)-J963</f>
        <v>5</v>
      </c>
      <c r="L963" s="90"/>
    </row>
    <row r="964" spans="2:12">
      <c r="B964" s="793"/>
      <c r="C964" s="987" t="s">
        <v>116</v>
      </c>
      <c r="D964" s="987"/>
      <c r="E964" s="987"/>
      <c r="F964" s="987"/>
      <c r="G964" s="987"/>
      <c r="H964" s="987"/>
      <c r="I964" s="987"/>
      <c r="J964" s="987"/>
      <c r="K964" s="89">
        <f>K963</f>
        <v>5</v>
      </c>
      <c r="L964" s="90"/>
    </row>
    <row r="965" spans="2:12">
      <c r="B965" s="793"/>
      <c r="C965" s="211"/>
      <c r="D965" s="211"/>
      <c r="E965" s="211"/>
      <c r="F965" s="211"/>
      <c r="G965" s="211"/>
      <c r="H965" s="211"/>
      <c r="I965" s="211"/>
      <c r="J965" s="211"/>
      <c r="K965" s="212"/>
      <c r="L965" s="90"/>
    </row>
    <row r="966" spans="2:12">
      <c r="B966" s="793" t="s">
        <v>1498</v>
      </c>
      <c r="C966" s="980" t="str">
        <f>'ESCOLA MUNICIPAL DE QUEBEC E Q'!C189</f>
        <v>SUPORTE ISOLADOR PARA CORDOALHA DE COBRE - FORNECIMENTO E INSTALAÇÃO. AF_12/2017</v>
      </c>
      <c r="D966" s="981"/>
      <c r="E966" s="981"/>
      <c r="F966" s="981"/>
      <c r="G966" s="981"/>
      <c r="H966" s="981"/>
      <c r="I966" s="981"/>
      <c r="J966" s="982"/>
      <c r="K966" s="97" t="s">
        <v>21</v>
      </c>
      <c r="L966" s="97">
        <f>K969</f>
        <v>5</v>
      </c>
    </row>
    <row r="967" spans="2:12">
      <c r="B967" s="793"/>
      <c r="C967" s="983" t="s">
        <v>20</v>
      </c>
      <c r="D967" s="983"/>
      <c r="E967" s="983"/>
      <c r="F967" s="87" t="s">
        <v>22</v>
      </c>
      <c r="G967" s="790" t="s">
        <v>111</v>
      </c>
      <c r="H967" s="87" t="s">
        <v>112</v>
      </c>
      <c r="I967" s="790" t="s">
        <v>113</v>
      </c>
      <c r="J967" s="790" t="s">
        <v>114</v>
      </c>
      <c r="K967" s="89" t="s">
        <v>25</v>
      </c>
      <c r="L967" s="90"/>
    </row>
    <row r="968" spans="2:12">
      <c r="B968" s="793"/>
      <c r="C968" s="984" t="s">
        <v>1509</v>
      </c>
      <c r="D968" s="985"/>
      <c r="E968" s="986"/>
      <c r="F968" s="91">
        <v>5</v>
      </c>
      <c r="G968" s="91">
        <v>1</v>
      </c>
      <c r="H968" s="91">
        <v>1</v>
      </c>
      <c r="I968" s="91">
        <v>1</v>
      </c>
      <c r="J968" s="91">
        <v>0</v>
      </c>
      <c r="K968" s="89">
        <f>(G968*H968*I968*F968)-J968</f>
        <v>5</v>
      </c>
      <c r="L968" s="90"/>
    </row>
    <row r="969" spans="2:12">
      <c r="B969" s="793"/>
      <c r="C969" s="987" t="s">
        <v>116</v>
      </c>
      <c r="D969" s="987"/>
      <c r="E969" s="987"/>
      <c r="F969" s="987"/>
      <c r="G969" s="987"/>
      <c r="H969" s="987"/>
      <c r="I969" s="987"/>
      <c r="J969" s="987"/>
      <c r="K969" s="89">
        <f>K968</f>
        <v>5</v>
      </c>
      <c r="L969" s="90"/>
    </row>
    <row r="970" spans="2:12">
      <c r="B970" s="793"/>
      <c r="C970" s="211"/>
      <c r="D970" s="211"/>
      <c r="E970" s="211"/>
      <c r="F970" s="211"/>
      <c r="G970" s="211"/>
      <c r="H970" s="211"/>
      <c r="I970" s="211"/>
      <c r="J970" s="211"/>
      <c r="K970" s="212"/>
      <c r="L970" s="90"/>
    </row>
    <row r="971" spans="2:12">
      <c r="B971" s="793" t="s">
        <v>1499</v>
      </c>
      <c r="C971" s="980" t="str">
        <f>'ESCOLA MUNICIPAL DE QUEBEC E Q'!C190</f>
        <v>TERMINAL OU CONECOR DE PRESSÃO - PARA CABO 35mm2</v>
      </c>
      <c r="D971" s="981"/>
      <c r="E971" s="981"/>
      <c r="F971" s="981"/>
      <c r="G971" s="981"/>
      <c r="H971" s="981"/>
      <c r="I971" s="981"/>
      <c r="J971" s="982"/>
      <c r="K971" s="97" t="s">
        <v>21</v>
      </c>
      <c r="L971" s="97">
        <f>K974</f>
        <v>5</v>
      </c>
    </row>
    <row r="972" spans="2:12">
      <c r="B972" s="793"/>
      <c r="C972" s="983" t="s">
        <v>20</v>
      </c>
      <c r="D972" s="983"/>
      <c r="E972" s="983"/>
      <c r="F972" s="87" t="s">
        <v>22</v>
      </c>
      <c r="G972" s="790" t="s">
        <v>111</v>
      </c>
      <c r="H972" s="87" t="s">
        <v>112</v>
      </c>
      <c r="I972" s="790" t="s">
        <v>113</v>
      </c>
      <c r="J972" s="790" t="s">
        <v>114</v>
      </c>
      <c r="K972" s="89" t="s">
        <v>25</v>
      </c>
      <c r="L972" s="90"/>
    </row>
    <row r="973" spans="2:12">
      <c r="B973" s="793"/>
      <c r="C973" s="984" t="s">
        <v>1508</v>
      </c>
      <c r="D973" s="985"/>
      <c r="E973" s="986"/>
      <c r="F973" s="91">
        <v>5</v>
      </c>
      <c r="G973" s="91">
        <v>1</v>
      </c>
      <c r="H973" s="91">
        <v>1</v>
      </c>
      <c r="I973" s="91">
        <v>1</v>
      </c>
      <c r="J973" s="91">
        <v>0</v>
      </c>
      <c r="K973" s="89">
        <f>(G973*H973*I973*F973)-J973</f>
        <v>5</v>
      </c>
      <c r="L973" s="90"/>
    </row>
    <row r="974" spans="2:12">
      <c r="B974" s="793"/>
      <c r="C974" s="987" t="s">
        <v>116</v>
      </c>
      <c r="D974" s="987"/>
      <c r="E974" s="987"/>
      <c r="F974" s="987"/>
      <c r="G974" s="987"/>
      <c r="H974" s="987"/>
      <c r="I974" s="987"/>
      <c r="J974" s="987"/>
      <c r="K974" s="89">
        <f>K973</f>
        <v>5</v>
      </c>
      <c r="L974" s="90"/>
    </row>
    <row r="976" spans="2:12">
      <c r="B976" s="292" t="s">
        <v>1462</v>
      </c>
      <c r="C976" s="1093" t="str">
        <f>'ESCOLA MUNICIPAL DE QUEBEC E Q'!C192</f>
        <v>DIVERSOS</v>
      </c>
      <c r="D976" s="1093"/>
      <c r="E976" s="1093"/>
      <c r="F976" s="1093"/>
      <c r="G976" s="1093"/>
      <c r="H976" s="1093"/>
      <c r="I976" s="1093"/>
      <c r="J976" s="1093"/>
      <c r="K976" s="293"/>
      <c r="L976" s="293"/>
    </row>
    <row r="978" spans="2:12">
      <c r="B978" s="632" t="s">
        <v>1500</v>
      </c>
      <c r="C978" s="980" t="str">
        <f>'ESCOLA MUNICIPAL DE QUEBEC E Q'!C193</f>
        <v>LIMPEZA DE PISO CERÂMICO OU PORCELANATO COM PANO ÚMIDO. AF_04/2019</v>
      </c>
      <c r="D978" s="981"/>
      <c r="E978" s="981"/>
      <c r="F978" s="981"/>
      <c r="G978" s="981"/>
      <c r="H978" s="981"/>
      <c r="I978" s="981"/>
      <c r="J978" s="982"/>
      <c r="K978" s="97" t="s">
        <v>77</v>
      </c>
      <c r="L978" s="97">
        <f>K981</f>
        <v>523.32000000000005</v>
      </c>
    </row>
    <row r="979" spans="2:12">
      <c r="B979" s="632"/>
      <c r="C979" s="983" t="s">
        <v>20</v>
      </c>
      <c r="D979" s="983"/>
      <c r="E979" s="983"/>
      <c r="F979" s="87" t="s">
        <v>22</v>
      </c>
      <c r="G979" s="631" t="s">
        <v>111</v>
      </c>
      <c r="H979" s="87" t="s">
        <v>112</v>
      </c>
      <c r="I979" s="631" t="s">
        <v>113</v>
      </c>
      <c r="J979" s="631" t="s">
        <v>114</v>
      </c>
      <c r="K979" s="89" t="s">
        <v>25</v>
      </c>
      <c r="L979" s="90"/>
    </row>
    <row r="980" spans="2:12">
      <c r="B980" s="632"/>
      <c r="C980" s="984" t="s">
        <v>1512</v>
      </c>
      <c r="D980" s="985"/>
      <c r="E980" s="986"/>
      <c r="F980" s="91">
        <v>1</v>
      </c>
      <c r="G980" s="91">
        <v>1</v>
      </c>
      <c r="H980" s="91">
        <v>2</v>
      </c>
      <c r="I980" s="91">
        <v>261.66000000000003</v>
      </c>
      <c r="J980" s="91">
        <v>0</v>
      </c>
      <c r="K980" s="89">
        <f>(G980*H980*I980*F980)-J980</f>
        <v>523.32000000000005</v>
      </c>
      <c r="L980" s="90"/>
    </row>
    <row r="981" spans="2:12">
      <c r="B981" s="632"/>
      <c r="C981" s="987" t="s">
        <v>116</v>
      </c>
      <c r="D981" s="987"/>
      <c r="E981" s="987"/>
      <c r="F981" s="987"/>
      <c r="G981" s="987"/>
      <c r="H981" s="987"/>
      <c r="I981" s="987"/>
      <c r="J981" s="987"/>
      <c r="K981" s="89">
        <f>K980</f>
        <v>523.32000000000005</v>
      </c>
      <c r="L981" s="90"/>
    </row>
  </sheetData>
  <mergeCells count="790">
    <mergeCell ref="C851:J851"/>
    <mergeCell ref="C853:J853"/>
    <mergeCell ref="C855:J855"/>
    <mergeCell ref="C856:E856"/>
    <mergeCell ref="C857:E857"/>
    <mergeCell ref="C858:J858"/>
    <mergeCell ref="C844:E844"/>
    <mergeCell ref="C845:E845"/>
    <mergeCell ref="C846:J846"/>
    <mergeCell ref="C848:J848"/>
    <mergeCell ref="C849:E849"/>
    <mergeCell ref="C850:E850"/>
    <mergeCell ref="C836:J836"/>
    <mergeCell ref="C838:J838"/>
    <mergeCell ref="C839:E839"/>
    <mergeCell ref="C840:E840"/>
    <mergeCell ref="C841:J841"/>
    <mergeCell ref="C843:J843"/>
    <mergeCell ref="C824:E824"/>
    <mergeCell ref="C825:E825"/>
    <mergeCell ref="C826:J826"/>
    <mergeCell ref="C833:J833"/>
    <mergeCell ref="C834:E834"/>
    <mergeCell ref="C835:E835"/>
    <mergeCell ref="C828:J828"/>
    <mergeCell ref="C829:E829"/>
    <mergeCell ref="C830:E830"/>
    <mergeCell ref="C831:J831"/>
    <mergeCell ref="C702:J702"/>
    <mergeCell ref="C703:E703"/>
    <mergeCell ref="C818:J818"/>
    <mergeCell ref="C819:E819"/>
    <mergeCell ref="C820:E820"/>
    <mergeCell ref="C821:J821"/>
    <mergeCell ref="C817:J817"/>
    <mergeCell ref="C823:J823"/>
    <mergeCell ref="C747:E747"/>
    <mergeCell ref="C804:J804"/>
    <mergeCell ref="C805:E805"/>
    <mergeCell ref="C806:E806"/>
    <mergeCell ref="C807:J807"/>
    <mergeCell ref="C811:J811"/>
    <mergeCell ref="C765:E765"/>
    <mergeCell ref="C802:J802"/>
    <mergeCell ref="C812:E812"/>
    <mergeCell ref="C813:E813"/>
    <mergeCell ref="C814:J814"/>
    <mergeCell ref="C816:J816"/>
    <mergeCell ref="C797:J797"/>
    <mergeCell ref="C799:J799"/>
    <mergeCell ref="C800:E800"/>
    <mergeCell ref="C801:E801"/>
    <mergeCell ref="C728:E728"/>
    <mergeCell ref="C729:E729"/>
    <mergeCell ref="C709:J709"/>
    <mergeCell ref="C710:E710"/>
    <mergeCell ref="C711:E711"/>
    <mergeCell ref="C712:J712"/>
    <mergeCell ref="C719:J719"/>
    <mergeCell ref="C721:J721"/>
    <mergeCell ref="C720:J720"/>
    <mergeCell ref="C707:J707"/>
    <mergeCell ref="C714:J714"/>
    <mergeCell ref="C715:E715"/>
    <mergeCell ref="C716:E716"/>
    <mergeCell ref="C717:J717"/>
    <mergeCell ref="C722:E722"/>
    <mergeCell ref="C723:E723"/>
    <mergeCell ref="C724:J724"/>
    <mergeCell ref="C727:J727"/>
    <mergeCell ref="C653:E653"/>
    <mergeCell ref="C654:E654"/>
    <mergeCell ref="C655:J655"/>
    <mergeCell ref="C657:J657"/>
    <mergeCell ref="C658:E658"/>
    <mergeCell ref="C659:E659"/>
    <mergeCell ref="C645:J645"/>
    <mergeCell ref="C647:J647"/>
    <mergeCell ref="C648:E648"/>
    <mergeCell ref="C649:E649"/>
    <mergeCell ref="C650:J650"/>
    <mergeCell ref="C652:J652"/>
    <mergeCell ref="C792:J792"/>
    <mergeCell ref="C793:E793"/>
    <mergeCell ref="C794:E794"/>
    <mergeCell ref="C795:J795"/>
    <mergeCell ref="C782:J782"/>
    <mergeCell ref="C783:E783"/>
    <mergeCell ref="C784:E784"/>
    <mergeCell ref="C785:J785"/>
    <mergeCell ref="C787:J787"/>
    <mergeCell ref="C788:E788"/>
    <mergeCell ref="C766:J766"/>
    <mergeCell ref="C764:E764"/>
    <mergeCell ref="C761:J761"/>
    <mergeCell ref="C763:J763"/>
    <mergeCell ref="C760:E760"/>
    <mergeCell ref="C759:E759"/>
    <mergeCell ref="C758:J758"/>
    <mergeCell ref="C789:E789"/>
    <mergeCell ref="C790:J790"/>
    <mergeCell ref="C775:J775"/>
    <mergeCell ref="C777:J777"/>
    <mergeCell ref="C778:E778"/>
    <mergeCell ref="C779:E779"/>
    <mergeCell ref="C780:J780"/>
    <mergeCell ref="C771:E771"/>
    <mergeCell ref="C772:E772"/>
    <mergeCell ref="C773:J773"/>
    <mergeCell ref="C768:J768"/>
    <mergeCell ref="C770:J770"/>
    <mergeCell ref="C752:J752"/>
    <mergeCell ref="C753:E753"/>
    <mergeCell ref="C754:E754"/>
    <mergeCell ref="C755:J755"/>
    <mergeCell ref="C732:J732"/>
    <mergeCell ref="C735:J735"/>
    <mergeCell ref="C736:E736"/>
    <mergeCell ref="C737:E737"/>
    <mergeCell ref="C738:J738"/>
    <mergeCell ref="C733:J733"/>
    <mergeCell ref="C740:J740"/>
    <mergeCell ref="C748:J748"/>
    <mergeCell ref="C750:J750"/>
    <mergeCell ref="C741:E741"/>
    <mergeCell ref="C742:E742"/>
    <mergeCell ref="C745:J745"/>
    <mergeCell ref="C746:E746"/>
    <mergeCell ref="C743:J743"/>
    <mergeCell ref="C730:J730"/>
    <mergeCell ref="B751:L751"/>
    <mergeCell ref="C704:E704"/>
    <mergeCell ref="C705:J705"/>
    <mergeCell ref="C694:J694"/>
    <mergeCell ref="C697:J697"/>
    <mergeCell ref="C698:E698"/>
    <mergeCell ref="C674:J674"/>
    <mergeCell ref="C675:E675"/>
    <mergeCell ref="C676:E676"/>
    <mergeCell ref="C677:J677"/>
    <mergeCell ref="C686:E686"/>
    <mergeCell ref="C687:J687"/>
    <mergeCell ref="C689:J689"/>
    <mergeCell ref="C690:E690"/>
    <mergeCell ref="C691:E691"/>
    <mergeCell ref="C692:J692"/>
    <mergeCell ref="C679:J679"/>
    <mergeCell ref="C680:E680"/>
    <mergeCell ref="C681:E681"/>
    <mergeCell ref="C682:J682"/>
    <mergeCell ref="C684:J684"/>
    <mergeCell ref="C685:E685"/>
    <mergeCell ref="C695:J695"/>
    <mergeCell ref="C699:E699"/>
    <mergeCell ref="C700:J700"/>
    <mergeCell ref="C660:J660"/>
    <mergeCell ref="C662:J662"/>
    <mergeCell ref="C663:E663"/>
    <mergeCell ref="C664:E664"/>
    <mergeCell ref="C665:J665"/>
    <mergeCell ref="C669:J669"/>
    <mergeCell ref="C670:E670"/>
    <mergeCell ref="C671:E671"/>
    <mergeCell ref="C672:J672"/>
    <mergeCell ref="C638:E638"/>
    <mergeCell ref="C639:E639"/>
    <mergeCell ref="C640:J640"/>
    <mergeCell ref="C642:J642"/>
    <mergeCell ref="C643:E643"/>
    <mergeCell ref="C644:E644"/>
    <mergeCell ref="C629:J629"/>
    <mergeCell ref="C630:E630"/>
    <mergeCell ref="C631:E631"/>
    <mergeCell ref="C632:J632"/>
    <mergeCell ref="C634:J634"/>
    <mergeCell ref="C637:J637"/>
    <mergeCell ref="C620:J620"/>
    <mergeCell ref="C623:J623"/>
    <mergeCell ref="C624:E624"/>
    <mergeCell ref="C625:E625"/>
    <mergeCell ref="C626:E626"/>
    <mergeCell ref="C627:J627"/>
    <mergeCell ref="C613:E613"/>
    <mergeCell ref="C614:J614"/>
    <mergeCell ref="C616:J616"/>
    <mergeCell ref="C617:J617"/>
    <mergeCell ref="C618:E618"/>
    <mergeCell ref="C619:E619"/>
    <mergeCell ref="C606:E606"/>
    <mergeCell ref="C607:E607"/>
    <mergeCell ref="C608:J608"/>
    <mergeCell ref="C610:J610"/>
    <mergeCell ref="C611:J611"/>
    <mergeCell ref="C612:E612"/>
    <mergeCell ref="C599:E599"/>
    <mergeCell ref="C600:E600"/>
    <mergeCell ref="C601:E601"/>
    <mergeCell ref="C602:J602"/>
    <mergeCell ref="C604:J604"/>
    <mergeCell ref="C605:E605"/>
    <mergeCell ref="C591:J591"/>
    <mergeCell ref="C593:J593"/>
    <mergeCell ref="C594:E594"/>
    <mergeCell ref="C595:E595"/>
    <mergeCell ref="C596:J596"/>
    <mergeCell ref="C598:J598"/>
    <mergeCell ref="C584:E584"/>
    <mergeCell ref="C585:E585"/>
    <mergeCell ref="C586:J586"/>
    <mergeCell ref="C588:J588"/>
    <mergeCell ref="C589:E589"/>
    <mergeCell ref="C590:E590"/>
    <mergeCell ref="C577:E577"/>
    <mergeCell ref="C578:E578"/>
    <mergeCell ref="C579:E579"/>
    <mergeCell ref="C580:J580"/>
    <mergeCell ref="C582:J582"/>
    <mergeCell ref="C583:J583"/>
    <mergeCell ref="C570:J570"/>
    <mergeCell ref="C571:E571"/>
    <mergeCell ref="C572:E572"/>
    <mergeCell ref="C573:E573"/>
    <mergeCell ref="C574:J574"/>
    <mergeCell ref="C576:J576"/>
    <mergeCell ref="C562:E562"/>
    <mergeCell ref="C563:J563"/>
    <mergeCell ref="C565:J565"/>
    <mergeCell ref="C566:E566"/>
    <mergeCell ref="C567:E567"/>
    <mergeCell ref="C568:J568"/>
    <mergeCell ref="C555:J555"/>
    <mergeCell ref="C556:E556"/>
    <mergeCell ref="C557:E557"/>
    <mergeCell ref="C558:J558"/>
    <mergeCell ref="C560:J560"/>
    <mergeCell ref="C561:E561"/>
    <mergeCell ref="C548:J548"/>
    <mergeCell ref="C549:E549"/>
    <mergeCell ref="C550:E550"/>
    <mergeCell ref="C551:E551"/>
    <mergeCell ref="C552:J552"/>
    <mergeCell ref="C554:J554"/>
    <mergeCell ref="C540:J540"/>
    <mergeCell ref="C542:J542"/>
    <mergeCell ref="C543:E543"/>
    <mergeCell ref="C544:E544"/>
    <mergeCell ref="C545:E545"/>
    <mergeCell ref="C546:J546"/>
    <mergeCell ref="C533:J533"/>
    <mergeCell ref="C535:J535"/>
    <mergeCell ref="C536:E536"/>
    <mergeCell ref="C537:E537"/>
    <mergeCell ref="C538:E538"/>
    <mergeCell ref="C539:E539"/>
    <mergeCell ref="C526:E526"/>
    <mergeCell ref="C527:E527"/>
    <mergeCell ref="C528:J528"/>
    <mergeCell ref="C530:J530"/>
    <mergeCell ref="C531:E531"/>
    <mergeCell ref="C532:E532"/>
    <mergeCell ref="C519:E519"/>
    <mergeCell ref="C520:J520"/>
    <mergeCell ref="C522:J522"/>
    <mergeCell ref="C523:J523"/>
    <mergeCell ref="C524:E524"/>
    <mergeCell ref="C525:E525"/>
    <mergeCell ref="C512:E512"/>
    <mergeCell ref="C513:J513"/>
    <mergeCell ref="C515:J515"/>
    <mergeCell ref="C516:E516"/>
    <mergeCell ref="C517:E517"/>
    <mergeCell ref="C518:E518"/>
    <mergeCell ref="C505:E505"/>
    <mergeCell ref="C506:J506"/>
    <mergeCell ref="C508:J508"/>
    <mergeCell ref="C509:E509"/>
    <mergeCell ref="C510:E510"/>
    <mergeCell ref="C511:E511"/>
    <mergeCell ref="C498:J498"/>
    <mergeCell ref="C499:E499"/>
    <mergeCell ref="C500:E500"/>
    <mergeCell ref="C501:J501"/>
    <mergeCell ref="C503:J503"/>
    <mergeCell ref="C504:E504"/>
    <mergeCell ref="C490:J490"/>
    <mergeCell ref="C492:J492"/>
    <mergeCell ref="C493:J493"/>
    <mergeCell ref="C494:E494"/>
    <mergeCell ref="C495:E495"/>
    <mergeCell ref="C496:J496"/>
    <mergeCell ref="C483:J483"/>
    <mergeCell ref="C485:J485"/>
    <mergeCell ref="C486:E486"/>
    <mergeCell ref="C487:E487"/>
    <mergeCell ref="C488:E488"/>
    <mergeCell ref="C489:E489"/>
    <mergeCell ref="C476:E476"/>
    <mergeCell ref="C477:J477"/>
    <mergeCell ref="C479:J479"/>
    <mergeCell ref="C480:E480"/>
    <mergeCell ref="C481:E481"/>
    <mergeCell ref="C482:E482"/>
    <mergeCell ref="C469:J469"/>
    <mergeCell ref="C470:E470"/>
    <mergeCell ref="C471:E471"/>
    <mergeCell ref="C472:J472"/>
    <mergeCell ref="C474:J474"/>
    <mergeCell ref="C475:E475"/>
    <mergeCell ref="C462:J462"/>
    <mergeCell ref="C463:J463"/>
    <mergeCell ref="C464:J464"/>
    <mergeCell ref="C465:E465"/>
    <mergeCell ref="C466:E466"/>
    <mergeCell ref="C467:J467"/>
    <mergeCell ref="C454:J454"/>
    <mergeCell ref="C456:J456"/>
    <mergeCell ref="C457:E457"/>
    <mergeCell ref="C458:E458"/>
    <mergeCell ref="C459:E459"/>
    <mergeCell ref="C460:J460"/>
    <mergeCell ref="C447:E447"/>
    <mergeCell ref="C448:J448"/>
    <mergeCell ref="C450:J450"/>
    <mergeCell ref="C451:E451"/>
    <mergeCell ref="C452:E452"/>
    <mergeCell ref="C453:E453"/>
    <mergeCell ref="C440:E440"/>
    <mergeCell ref="C441:E441"/>
    <mergeCell ref="C442:J442"/>
    <mergeCell ref="C444:J444"/>
    <mergeCell ref="C445:E445"/>
    <mergeCell ref="C446:E446"/>
    <mergeCell ref="C433:J433"/>
    <mergeCell ref="C435:J435"/>
    <mergeCell ref="C436:E436"/>
    <mergeCell ref="C437:E437"/>
    <mergeCell ref="C438:E438"/>
    <mergeCell ref="C439:E439"/>
    <mergeCell ref="C427:E427"/>
    <mergeCell ref="C428:E428"/>
    <mergeCell ref="C429:E429"/>
    <mergeCell ref="C430:E430"/>
    <mergeCell ref="C431:E431"/>
    <mergeCell ref="C432:E432"/>
    <mergeCell ref="C420:E420"/>
    <mergeCell ref="C421:E421"/>
    <mergeCell ref="C422:E422"/>
    <mergeCell ref="C423:E423"/>
    <mergeCell ref="C424:J424"/>
    <mergeCell ref="C426:J426"/>
    <mergeCell ref="C413:E413"/>
    <mergeCell ref="C414:J414"/>
    <mergeCell ref="C416:J416"/>
    <mergeCell ref="C417:J417"/>
    <mergeCell ref="C418:E418"/>
    <mergeCell ref="C419:E419"/>
    <mergeCell ref="C406:J406"/>
    <mergeCell ref="C407:E407"/>
    <mergeCell ref="C408:E408"/>
    <mergeCell ref="C409:J409"/>
    <mergeCell ref="C411:J411"/>
    <mergeCell ref="C412:E412"/>
    <mergeCell ref="C398:E398"/>
    <mergeCell ref="C399:J399"/>
    <mergeCell ref="C401:J401"/>
    <mergeCell ref="C402:E402"/>
    <mergeCell ref="C403:E403"/>
    <mergeCell ref="C404:J404"/>
    <mergeCell ref="C391:J391"/>
    <mergeCell ref="C392:E392"/>
    <mergeCell ref="C393:E393"/>
    <mergeCell ref="C394:J394"/>
    <mergeCell ref="C396:J396"/>
    <mergeCell ref="C397:E397"/>
    <mergeCell ref="C383:E383"/>
    <mergeCell ref="C384:J384"/>
    <mergeCell ref="C386:J386"/>
    <mergeCell ref="C387:E387"/>
    <mergeCell ref="C388:E388"/>
    <mergeCell ref="C389:J389"/>
    <mergeCell ref="C376:J376"/>
    <mergeCell ref="C377:E377"/>
    <mergeCell ref="C378:E378"/>
    <mergeCell ref="C379:J379"/>
    <mergeCell ref="C381:J381"/>
    <mergeCell ref="C382:E382"/>
    <mergeCell ref="C368:E368"/>
    <mergeCell ref="C369:J369"/>
    <mergeCell ref="C371:J371"/>
    <mergeCell ref="C372:E372"/>
    <mergeCell ref="C373:E373"/>
    <mergeCell ref="C374:J374"/>
    <mergeCell ref="C361:J361"/>
    <mergeCell ref="C362:E362"/>
    <mergeCell ref="C363:E363"/>
    <mergeCell ref="C364:J364"/>
    <mergeCell ref="C366:J366"/>
    <mergeCell ref="C367:E367"/>
    <mergeCell ref="C353:E353"/>
    <mergeCell ref="C354:J354"/>
    <mergeCell ref="C356:J356"/>
    <mergeCell ref="C357:E357"/>
    <mergeCell ref="C358:E358"/>
    <mergeCell ref="C359:J359"/>
    <mergeCell ref="C346:J346"/>
    <mergeCell ref="C347:E347"/>
    <mergeCell ref="C348:E348"/>
    <mergeCell ref="C349:J349"/>
    <mergeCell ref="C351:J351"/>
    <mergeCell ref="C352:E352"/>
    <mergeCell ref="C338:J338"/>
    <mergeCell ref="C340:J340"/>
    <mergeCell ref="C341:J341"/>
    <mergeCell ref="C342:E342"/>
    <mergeCell ref="C343:E343"/>
    <mergeCell ref="C344:J344"/>
    <mergeCell ref="C331:E331"/>
    <mergeCell ref="C332:E332"/>
    <mergeCell ref="C333:J333"/>
    <mergeCell ref="C335:J335"/>
    <mergeCell ref="C336:E336"/>
    <mergeCell ref="C337:E337"/>
    <mergeCell ref="C323:J323"/>
    <mergeCell ref="C325:J325"/>
    <mergeCell ref="C326:E326"/>
    <mergeCell ref="C327:E327"/>
    <mergeCell ref="C328:J328"/>
    <mergeCell ref="C330:J330"/>
    <mergeCell ref="C316:E316"/>
    <mergeCell ref="C317:E317"/>
    <mergeCell ref="C318:J318"/>
    <mergeCell ref="C320:J320"/>
    <mergeCell ref="C321:E321"/>
    <mergeCell ref="C322:E322"/>
    <mergeCell ref="C308:J308"/>
    <mergeCell ref="C310:J310"/>
    <mergeCell ref="C311:E311"/>
    <mergeCell ref="C312:E312"/>
    <mergeCell ref="C313:J313"/>
    <mergeCell ref="C315:J315"/>
    <mergeCell ref="C301:E301"/>
    <mergeCell ref="C302:E302"/>
    <mergeCell ref="C303:J303"/>
    <mergeCell ref="C305:J305"/>
    <mergeCell ref="C306:E306"/>
    <mergeCell ref="C307:E307"/>
    <mergeCell ref="C293:J293"/>
    <mergeCell ref="C295:J295"/>
    <mergeCell ref="C296:E296"/>
    <mergeCell ref="C297:E297"/>
    <mergeCell ref="C298:J298"/>
    <mergeCell ref="C300:J300"/>
    <mergeCell ref="C286:J286"/>
    <mergeCell ref="C287:E287"/>
    <mergeCell ref="C288:J288"/>
    <mergeCell ref="C290:J290"/>
    <mergeCell ref="C291:E291"/>
    <mergeCell ref="C292:E292"/>
    <mergeCell ref="C279:J279"/>
    <mergeCell ref="C280:E280"/>
    <mergeCell ref="C281:E281"/>
    <mergeCell ref="C282:J282"/>
    <mergeCell ref="C284:J284"/>
    <mergeCell ref="C285:E285"/>
    <mergeCell ref="C272:E272"/>
    <mergeCell ref="C273:E273"/>
    <mergeCell ref="C274:J274"/>
    <mergeCell ref="C275:E275"/>
    <mergeCell ref="C276:E276"/>
    <mergeCell ref="C277:J277"/>
    <mergeCell ref="C266:E266"/>
    <mergeCell ref="C267:E267"/>
    <mergeCell ref="C268:E268"/>
    <mergeCell ref="C269:E269"/>
    <mergeCell ref="C270:E270"/>
    <mergeCell ref="C271:J271"/>
    <mergeCell ref="C258:E258"/>
    <mergeCell ref="C259:E259"/>
    <mergeCell ref="C260:E260"/>
    <mergeCell ref="C261:J261"/>
    <mergeCell ref="C263:J263"/>
    <mergeCell ref="C265:E265"/>
    <mergeCell ref="C251:E251"/>
    <mergeCell ref="C252:E252"/>
    <mergeCell ref="C253:J253"/>
    <mergeCell ref="C255:J255"/>
    <mergeCell ref="C256:E256"/>
    <mergeCell ref="C257:E257"/>
    <mergeCell ref="C234:E234"/>
    <mergeCell ref="C235:E235"/>
    <mergeCell ref="C236:J236"/>
    <mergeCell ref="C248:E248"/>
    <mergeCell ref="C249:E249"/>
    <mergeCell ref="C250:E250"/>
    <mergeCell ref="C240:E240"/>
    <mergeCell ref="C241:J241"/>
    <mergeCell ref="C243:J243"/>
    <mergeCell ref="C244:E244"/>
    <mergeCell ref="C245:E245"/>
    <mergeCell ref="C246:J246"/>
    <mergeCell ref="C238:J238"/>
    <mergeCell ref="C239:E239"/>
    <mergeCell ref="C211:J211"/>
    <mergeCell ref="C212:E212"/>
    <mergeCell ref="C213:E213"/>
    <mergeCell ref="C214:J214"/>
    <mergeCell ref="C231:J231"/>
    <mergeCell ref="C233:J233"/>
    <mergeCell ref="C221:J221"/>
    <mergeCell ref="C222:E222"/>
    <mergeCell ref="C223:E223"/>
    <mergeCell ref="C224:J224"/>
    <mergeCell ref="C226:J226"/>
    <mergeCell ref="C227:E227"/>
    <mergeCell ref="C228:E228"/>
    <mergeCell ref="C229:J229"/>
    <mergeCell ref="C216:J216"/>
    <mergeCell ref="C217:E217"/>
    <mergeCell ref="C218:E218"/>
    <mergeCell ref="C219:J219"/>
    <mergeCell ref="C203:E203"/>
    <mergeCell ref="C204:J204"/>
    <mergeCell ref="C206:J206"/>
    <mergeCell ref="C207:E207"/>
    <mergeCell ref="C208:E208"/>
    <mergeCell ref="C209:J209"/>
    <mergeCell ref="C196:J196"/>
    <mergeCell ref="C197:E197"/>
    <mergeCell ref="C198:E198"/>
    <mergeCell ref="C199:J199"/>
    <mergeCell ref="C201:J201"/>
    <mergeCell ref="C202:E202"/>
    <mergeCell ref="C187:J187"/>
    <mergeCell ref="C189:J189"/>
    <mergeCell ref="C191:J191"/>
    <mergeCell ref="C192:E192"/>
    <mergeCell ref="C193:E193"/>
    <mergeCell ref="C194:J194"/>
    <mergeCell ref="C181:J181"/>
    <mergeCell ref="C182:J182"/>
    <mergeCell ref="C183:E183"/>
    <mergeCell ref="C184:E184"/>
    <mergeCell ref="C185:E185"/>
    <mergeCell ref="C186:E186"/>
    <mergeCell ref="C173:E173"/>
    <mergeCell ref="C174:J174"/>
    <mergeCell ref="C176:J176"/>
    <mergeCell ref="C177:E177"/>
    <mergeCell ref="C178:E178"/>
    <mergeCell ref="C179:J179"/>
    <mergeCell ref="C166:J166"/>
    <mergeCell ref="C167:E167"/>
    <mergeCell ref="C168:E168"/>
    <mergeCell ref="C169:J169"/>
    <mergeCell ref="C171:J171"/>
    <mergeCell ref="C172:E172"/>
    <mergeCell ref="C158:E158"/>
    <mergeCell ref="C159:J159"/>
    <mergeCell ref="C161:J161"/>
    <mergeCell ref="C162:E162"/>
    <mergeCell ref="C163:E163"/>
    <mergeCell ref="C164:J164"/>
    <mergeCell ref="C151:E151"/>
    <mergeCell ref="C152:E152"/>
    <mergeCell ref="C153:E153"/>
    <mergeCell ref="C154:J154"/>
    <mergeCell ref="C156:J156"/>
    <mergeCell ref="C157:E157"/>
    <mergeCell ref="C144:J144"/>
    <mergeCell ref="C145:E145"/>
    <mergeCell ref="C146:E146"/>
    <mergeCell ref="C147:E147"/>
    <mergeCell ref="C148:J148"/>
    <mergeCell ref="C150:J150"/>
    <mergeCell ref="C136:J136"/>
    <mergeCell ref="C138:J138"/>
    <mergeCell ref="C139:E139"/>
    <mergeCell ref="C140:E140"/>
    <mergeCell ref="C141:E141"/>
    <mergeCell ref="C142:J142"/>
    <mergeCell ref="C129:J129"/>
    <mergeCell ref="C131:J131"/>
    <mergeCell ref="C132:E132"/>
    <mergeCell ref="C133:E133"/>
    <mergeCell ref="C134:E134"/>
    <mergeCell ref="C135:E135"/>
    <mergeCell ref="C123:E123"/>
    <mergeCell ref="C124:E124"/>
    <mergeCell ref="C125:E125"/>
    <mergeCell ref="C126:E126"/>
    <mergeCell ref="C127:E127"/>
    <mergeCell ref="C128:E128"/>
    <mergeCell ref="C116:E116"/>
    <mergeCell ref="C117:E117"/>
    <mergeCell ref="C118:E118"/>
    <mergeCell ref="C119:E119"/>
    <mergeCell ref="C120:J120"/>
    <mergeCell ref="C122:J122"/>
    <mergeCell ref="C109:E109"/>
    <mergeCell ref="C110:E110"/>
    <mergeCell ref="C111:J111"/>
    <mergeCell ref="C113:J113"/>
    <mergeCell ref="C114:E114"/>
    <mergeCell ref="C115:E115"/>
    <mergeCell ref="C102:E102"/>
    <mergeCell ref="C103:E103"/>
    <mergeCell ref="C104:J104"/>
    <mergeCell ref="C106:J106"/>
    <mergeCell ref="C107:E107"/>
    <mergeCell ref="C108:E108"/>
    <mergeCell ref="C95:J95"/>
    <mergeCell ref="C96:E96"/>
    <mergeCell ref="C97:E97"/>
    <mergeCell ref="C98:J98"/>
    <mergeCell ref="C100:J100"/>
    <mergeCell ref="C101:J101"/>
    <mergeCell ref="C87:E87"/>
    <mergeCell ref="C88:J88"/>
    <mergeCell ref="C90:J90"/>
    <mergeCell ref="C91:E91"/>
    <mergeCell ref="C92:E92"/>
    <mergeCell ref="C93:J93"/>
    <mergeCell ref="C80:E80"/>
    <mergeCell ref="C81:E81"/>
    <mergeCell ref="C82:E82"/>
    <mergeCell ref="C83:J83"/>
    <mergeCell ref="C85:J85"/>
    <mergeCell ref="C86:E86"/>
    <mergeCell ref="C73:E73"/>
    <mergeCell ref="C74:J74"/>
    <mergeCell ref="C76:J76"/>
    <mergeCell ref="C77:E77"/>
    <mergeCell ref="C78:E78"/>
    <mergeCell ref="C79:E79"/>
    <mergeCell ref="C67:J67"/>
    <mergeCell ref="C68:E68"/>
    <mergeCell ref="C69:E69"/>
    <mergeCell ref="C70:E70"/>
    <mergeCell ref="C71:E71"/>
    <mergeCell ref="C72:E72"/>
    <mergeCell ref="C60:E60"/>
    <mergeCell ref="C61:E61"/>
    <mergeCell ref="C62:E62"/>
    <mergeCell ref="C63:E63"/>
    <mergeCell ref="C64:E64"/>
    <mergeCell ref="C65:J65"/>
    <mergeCell ref="C53:E53"/>
    <mergeCell ref="C54:J54"/>
    <mergeCell ref="C56:J56"/>
    <mergeCell ref="C57:J57"/>
    <mergeCell ref="C58:E58"/>
    <mergeCell ref="C59:E59"/>
    <mergeCell ref="C46:E46"/>
    <mergeCell ref="C47:E47"/>
    <mergeCell ref="C48:E48"/>
    <mergeCell ref="C49:J49"/>
    <mergeCell ref="C51:J51"/>
    <mergeCell ref="C52:E52"/>
    <mergeCell ref="C39:J39"/>
    <mergeCell ref="C41:J41"/>
    <mergeCell ref="C42:E42"/>
    <mergeCell ref="C43:E43"/>
    <mergeCell ref="C44:E44"/>
    <mergeCell ref="C45:E45"/>
    <mergeCell ref="C32:E32"/>
    <mergeCell ref="C33:J33"/>
    <mergeCell ref="C35:J35"/>
    <mergeCell ref="C36:J36"/>
    <mergeCell ref="C37:E37"/>
    <mergeCell ref="C38:E38"/>
    <mergeCell ref="C25:E25"/>
    <mergeCell ref="C26:E26"/>
    <mergeCell ref="C27:J27"/>
    <mergeCell ref="C29:J29"/>
    <mergeCell ref="C30:J30"/>
    <mergeCell ref="C31:E31"/>
    <mergeCell ref="C21:J21"/>
    <mergeCell ref="C23:J23"/>
    <mergeCell ref="C24:E24"/>
    <mergeCell ref="C8:D8"/>
    <mergeCell ref="C12:J12"/>
    <mergeCell ref="C13:J13"/>
    <mergeCell ref="C14:E14"/>
    <mergeCell ref="C15:E15"/>
    <mergeCell ref="C16:J16"/>
    <mergeCell ref="B2:C5"/>
    <mergeCell ref="D2:I2"/>
    <mergeCell ref="J2:L5"/>
    <mergeCell ref="D3:I3"/>
    <mergeCell ref="D4:I5"/>
    <mergeCell ref="B7:C7"/>
    <mergeCell ref="C18:J18"/>
    <mergeCell ref="C19:E19"/>
    <mergeCell ref="C20:E20"/>
    <mergeCell ref="C860:J860"/>
    <mergeCell ref="C861:E861"/>
    <mergeCell ref="C862:E862"/>
    <mergeCell ref="C863:J863"/>
    <mergeCell ref="C865:J865"/>
    <mergeCell ref="C866:E866"/>
    <mergeCell ref="C867:E867"/>
    <mergeCell ref="C868:J868"/>
    <mergeCell ref="C870:J870"/>
    <mergeCell ref="C881:E881"/>
    <mergeCell ref="C880:J880"/>
    <mergeCell ref="C882:E882"/>
    <mergeCell ref="C883:J883"/>
    <mergeCell ref="C885:J885"/>
    <mergeCell ref="C886:E886"/>
    <mergeCell ref="C887:E887"/>
    <mergeCell ref="C888:J888"/>
    <mergeCell ref="C871:E871"/>
    <mergeCell ref="C872:E872"/>
    <mergeCell ref="C873:J873"/>
    <mergeCell ref="C875:J875"/>
    <mergeCell ref="C876:E876"/>
    <mergeCell ref="C877:E877"/>
    <mergeCell ref="C878:J878"/>
    <mergeCell ref="C890:J890"/>
    <mergeCell ref="C891:E891"/>
    <mergeCell ref="C892:E892"/>
    <mergeCell ref="C893:J893"/>
    <mergeCell ref="C895:J895"/>
    <mergeCell ref="C897:J897"/>
    <mergeCell ref="C898:E898"/>
    <mergeCell ref="C899:E899"/>
    <mergeCell ref="C900:J900"/>
    <mergeCell ref="C902:J902"/>
    <mergeCell ref="C903:E903"/>
    <mergeCell ref="C904:E904"/>
    <mergeCell ref="C905:J905"/>
    <mergeCell ref="C907:J907"/>
    <mergeCell ref="C909:J909"/>
    <mergeCell ref="C910:E910"/>
    <mergeCell ref="C911:E911"/>
    <mergeCell ref="C912:J912"/>
    <mergeCell ref="C914:J914"/>
    <mergeCell ref="C915:E915"/>
    <mergeCell ref="C916:E916"/>
    <mergeCell ref="C917:J917"/>
    <mergeCell ref="C919:J919"/>
    <mergeCell ref="C921:J921"/>
    <mergeCell ref="C922:E922"/>
    <mergeCell ref="C923:E923"/>
    <mergeCell ref="C924:J924"/>
    <mergeCell ref="C926:J926"/>
    <mergeCell ref="C927:E927"/>
    <mergeCell ref="C928:E928"/>
    <mergeCell ref="C929:J929"/>
    <mergeCell ref="C931:J931"/>
    <mergeCell ref="C932:E932"/>
    <mergeCell ref="C933:E933"/>
    <mergeCell ref="C934:J934"/>
    <mergeCell ref="C936:J936"/>
    <mergeCell ref="C937:E937"/>
    <mergeCell ref="C938:E938"/>
    <mergeCell ref="C939:J939"/>
    <mergeCell ref="C941:J941"/>
    <mergeCell ref="C942:E942"/>
    <mergeCell ref="C943:E943"/>
    <mergeCell ref="C944:J944"/>
    <mergeCell ref="C946:J946"/>
    <mergeCell ref="C947:E947"/>
    <mergeCell ref="C948:E948"/>
    <mergeCell ref="C949:J949"/>
    <mergeCell ref="C951:J951"/>
    <mergeCell ref="C952:E952"/>
    <mergeCell ref="C953:E953"/>
    <mergeCell ref="C954:J954"/>
    <mergeCell ref="C956:J956"/>
    <mergeCell ref="C957:E957"/>
    <mergeCell ref="C958:E958"/>
    <mergeCell ref="C959:J959"/>
    <mergeCell ref="C976:J976"/>
    <mergeCell ref="C978:J978"/>
    <mergeCell ref="C979:E979"/>
    <mergeCell ref="C980:E980"/>
    <mergeCell ref="C981:J981"/>
    <mergeCell ref="C961:J961"/>
    <mergeCell ref="C962:E962"/>
    <mergeCell ref="C963:E963"/>
    <mergeCell ref="C964:J964"/>
    <mergeCell ref="C966:J966"/>
    <mergeCell ref="C967:E967"/>
    <mergeCell ref="C968:E968"/>
    <mergeCell ref="C969:J969"/>
    <mergeCell ref="C971:J971"/>
    <mergeCell ref="C972:E972"/>
    <mergeCell ref="C973:E973"/>
    <mergeCell ref="C974:J974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52" orientation="portrait" horizontalDpi="360" verticalDpi="360" r:id="rId1"/>
  <headerFooter>
    <oddFooter>Página &amp;P de &amp;N</oddFooter>
  </headerFooter>
  <rowBreaks count="4" manualBreakCount="4">
    <brk id="693" min="1" max="11" man="1"/>
    <brk id="767" min="1" max="11" man="1"/>
    <brk id="842" min="1" max="11" man="1"/>
    <brk id="906" min="1" max="11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L794"/>
  <sheetViews>
    <sheetView showGridLines="0" view="pageBreakPreview" topLeftCell="A769" zoomScale="85" zoomScaleNormal="100" zoomScaleSheetLayoutView="85" workbookViewId="0">
      <selection activeCell="A685" sqref="A685:XFD685"/>
    </sheetView>
  </sheetViews>
  <sheetFormatPr defaultRowHeight="15"/>
  <cols>
    <col min="2" max="8" width="10.7109375" customWidth="1"/>
    <col min="9" max="9" width="12" customWidth="1"/>
    <col min="10" max="10" width="12.85546875" customWidth="1"/>
    <col min="11" max="12" width="10.7109375" customWidth="1"/>
  </cols>
  <sheetData>
    <row r="1" spans="2:12" ht="15.75" thickBot="1"/>
    <row r="2" spans="2:12">
      <c r="B2" s="1033" t="s">
        <v>103</v>
      </c>
      <c r="C2" s="1034"/>
      <c r="D2" s="1039" t="str">
        <f>'[6]PLANILHA ORÇAMENTÁRIA'!E2</f>
        <v>PREFEITURA MUNICIPAL DE ITAMBÉ</v>
      </c>
      <c r="E2" s="1040"/>
      <c r="F2" s="1040"/>
      <c r="G2" s="1040"/>
      <c r="H2" s="1040"/>
      <c r="I2" s="1041"/>
      <c r="J2" s="1042"/>
      <c r="K2" s="1043"/>
      <c r="L2" s="1044"/>
    </row>
    <row r="3" spans="2:12">
      <c r="B3" s="1035"/>
      <c r="C3" s="1036"/>
      <c r="D3" s="1051" t="s">
        <v>1041</v>
      </c>
      <c r="E3" s="1052"/>
      <c r="F3" s="1052"/>
      <c r="G3" s="1052"/>
      <c r="H3" s="1052"/>
      <c r="I3" s="1053"/>
      <c r="J3" s="1045"/>
      <c r="K3" s="1046"/>
      <c r="L3" s="1047"/>
    </row>
    <row r="4" spans="2:12" ht="66.75" customHeight="1">
      <c r="B4" s="1035"/>
      <c r="C4" s="1036"/>
      <c r="D4" s="1054" t="s">
        <v>1129</v>
      </c>
      <c r="E4" s="1055"/>
      <c r="F4" s="1055"/>
      <c r="G4" s="1055"/>
      <c r="H4" s="1055"/>
      <c r="I4" s="1056"/>
      <c r="J4" s="1045"/>
      <c r="K4" s="1046"/>
      <c r="L4" s="1047"/>
    </row>
    <row r="5" spans="2:12" ht="9.75" customHeight="1" thickBot="1">
      <c r="B5" s="1037"/>
      <c r="C5" s="1038"/>
      <c r="D5" s="1057"/>
      <c r="E5" s="1058"/>
      <c r="F5" s="1058"/>
      <c r="G5" s="1058"/>
      <c r="H5" s="1058"/>
      <c r="I5" s="1059"/>
      <c r="J5" s="1048"/>
      <c r="K5" s="1049"/>
      <c r="L5" s="1050"/>
    </row>
    <row r="6" spans="2:12" hidden="1">
      <c r="B6" s="40"/>
      <c r="C6" s="40"/>
      <c r="D6" s="40"/>
      <c r="E6" s="40"/>
      <c r="F6" s="40"/>
      <c r="G6" s="40"/>
      <c r="H6" s="40"/>
      <c r="I6" s="40"/>
      <c r="J6" s="41"/>
      <c r="K6" s="40"/>
      <c r="L6" s="40"/>
    </row>
    <row r="7" spans="2:12" hidden="1">
      <c r="B7" s="1060" t="s">
        <v>104</v>
      </c>
      <c r="C7" s="1060"/>
      <c r="D7" s="42" t="e">
        <f>'[6]PLANILHA ORÇAMENTÁRIA'!J6</f>
        <v>#REF!</v>
      </c>
      <c r="E7" s="43"/>
      <c r="F7" s="281" t="s">
        <v>105</v>
      </c>
      <c r="G7" s="42" t="e">
        <f>'[6]PLANILHA ORÇAMENTÁRIA'!J7</f>
        <v>#REF!</v>
      </c>
      <c r="H7" s="45" t="s">
        <v>1</v>
      </c>
      <c r="I7" s="46"/>
      <c r="J7" s="46" t="str">
        <f>'[6]PLANILHA ORÇAMENTÁRIA'!B8</f>
        <v>SINAPI - FEV/2019 DESONERADO</v>
      </c>
      <c r="K7" s="43"/>
      <c r="L7" s="43"/>
    </row>
    <row r="8" spans="2:12" hidden="1">
      <c r="B8" s="281" t="s">
        <v>106</v>
      </c>
      <c r="C8" s="1061" t="e">
        <f>'[6]PLANILHA ORÇAMENTÁRIA'!J8</f>
        <v>#REF!</v>
      </c>
      <c r="D8" s="1061"/>
      <c r="E8" s="43"/>
      <c r="F8" s="281" t="s">
        <v>0</v>
      </c>
      <c r="G8" s="47">
        <f>'[6]PLANILHA ORÇAMENTÁRIA'!J5</f>
        <v>43641</v>
      </c>
      <c r="H8" s="46"/>
      <c r="I8" s="48"/>
      <c r="J8" s="46"/>
      <c r="K8" s="43"/>
      <c r="L8" s="43"/>
    </row>
    <row r="9" spans="2:12" hidden="1">
      <c r="B9" s="49"/>
      <c r="C9" s="50"/>
      <c r="D9" s="46"/>
      <c r="E9" s="46"/>
      <c r="F9" s="46"/>
      <c r="G9" s="46"/>
      <c r="H9" s="46"/>
      <c r="I9" s="46"/>
      <c r="J9" s="46"/>
      <c r="K9" s="43"/>
      <c r="L9" s="51"/>
    </row>
    <row r="10" spans="2:12" hidden="1">
      <c r="B10" s="52" t="s">
        <v>107</v>
      </c>
      <c r="C10" s="53" t="s">
        <v>108</v>
      </c>
      <c r="D10" s="54"/>
      <c r="E10" s="55"/>
      <c r="F10" s="56"/>
      <c r="G10" s="54"/>
      <c r="H10" s="57" t="s">
        <v>109</v>
      </c>
      <c r="I10" s="53" t="s">
        <v>110</v>
      </c>
      <c r="J10" s="46"/>
      <c r="K10" s="43"/>
      <c r="L10" s="51"/>
    </row>
    <row r="11" spans="2:12" hidden="1">
      <c r="B11" s="49"/>
      <c r="C11" s="50"/>
      <c r="D11" s="46"/>
      <c r="E11" s="46"/>
      <c r="F11" s="46"/>
      <c r="G11" s="46"/>
      <c r="H11" s="46"/>
      <c r="I11" s="46"/>
      <c r="J11" s="46"/>
      <c r="K11" s="43"/>
      <c r="L11" s="51"/>
    </row>
    <row r="12" spans="2:12" hidden="1">
      <c r="B12" s="58" t="str">
        <f>'[6]PLANILHA ORÇAMENTÁRIA'!D11</f>
        <v>1.0</v>
      </c>
      <c r="C12" s="1000" t="str">
        <f>'[6]PLANILHA ORÇAMENTÁRIA'!E11</f>
        <v>SERVIÇOS PRELIMINARES</v>
      </c>
      <c r="D12" s="1000"/>
      <c r="E12" s="1000"/>
      <c r="F12" s="1000"/>
      <c r="G12" s="1000"/>
      <c r="H12" s="1000"/>
      <c r="I12" s="1000"/>
      <c r="J12" s="1000"/>
      <c r="K12" s="59"/>
      <c r="L12" s="59"/>
    </row>
    <row r="13" spans="2:12" hidden="1">
      <c r="B13" s="60" t="str">
        <f>'[6]PLANILHA ORÇAMENTÁRIA'!D12</f>
        <v>1.1</v>
      </c>
      <c r="C13" s="1003" t="str">
        <f>'[6]PLANILHA ORÇAMENTÁRIA'!E12</f>
        <v>PLACA DE OBRA EM CHAPA DE ACO GALVANIZADO</v>
      </c>
      <c r="D13" s="1003"/>
      <c r="E13" s="1003"/>
      <c r="F13" s="1003"/>
      <c r="G13" s="1003"/>
      <c r="H13" s="1003"/>
      <c r="I13" s="1003"/>
      <c r="J13" s="1003"/>
      <c r="K13" s="61" t="str">
        <f>'[6]PLANILHA ORÇAMENTÁRIA'!F12</f>
        <v>M2</v>
      </c>
      <c r="L13" s="62">
        <f>K16</f>
        <v>6</v>
      </c>
    </row>
    <row r="14" spans="2:12" hidden="1">
      <c r="B14" s="63"/>
      <c r="C14" s="1004" t="s">
        <v>20</v>
      </c>
      <c r="D14" s="1004"/>
      <c r="E14" s="1004"/>
      <c r="F14" s="64" t="s">
        <v>3</v>
      </c>
      <c r="G14" s="277" t="s">
        <v>111</v>
      </c>
      <c r="H14" s="64" t="s">
        <v>112</v>
      </c>
      <c r="I14" s="277" t="s">
        <v>113</v>
      </c>
      <c r="J14" s="277" t="s">
        <v>114</v>
      </c>
      <c r="K14" s="66" t="s">
        <v>25</v>
      </c>
      <c r="L14" s="67"/>
    </row>
    <row r="15" spans="2:12" hidden="1">
      <c r="B15" s="63"/>
      <c r="C15" s="1001" t="s">
        <v>115</v>
      </c>
      <c r="D15" s="1001"/>
      <c r="E15" s="1001"/>
      <c r="F15" s="68"/>
      <c r="G15" s="68">
        <v>2</v>
      </c>
      <c r="H15" s="68"/>
      <c r="I15" s="68">
        <v>3</v>
      </c>
      <c r="J15" s="68"/>
      <c r="K15" s="69">
        <f>TRUNC(G15*I15,2)</f>
        <v>6</v>
      </c>
      <c r="L15" s="67"/>
    </row>
    <row r="16" spans="2:12" hidden="1">
      <c r="B16" s="63"/>
      <c r="C16" s="1002" t="s">
        <v>116</v>
      </c>
      <c r="D16" s="1002"/>
      <c r="E16" s="1002"/>
      <c r="F16" s="1002"/>
      <c r="G16" s="1002"/>
      <c r="H16" s="1002"/>
      <c r="I16" s="1002"/>
      <c r="J16" s="1002"/>
      <c r="K16" s="70">
        <f>SUM(K15:K15)</f>
        <v>6</v>
      </c>
      <c r="L16" s="67"/>
    </row>
    <row r="17" spans="2:12" hidden="1"/>
    <row r="18" spans="2:12" ht="25.5" hidden="1" customHeight="1">
      <c r="B18" s="60" t="str">
        <f>'[6]PLANILHA ORÇAMENTÁRIA'!D13</f>
        <v>1.2</v>
      </c>
      <c r="C18" s="1003" t="str">
        <f>'[6]PLANILHA ORÇAMENTÁRIA'!E13</f>
        <v>LIMPEZA MECANIZADA DE TERRENO COM REMOCAO DE CAMADA VEGETAL, UTILIZANDO MOTONIVELADORA</v>
      </c>
      <c r="D18" s="1003"/>
      <c r="E18" s="1003"/>
      <c r="F18" s="1003"/>
      <c r="G18" s="1003"/>
      <c r="H18" s="1003"/>
      <c r="I18" s="1003"/>
      <c r="J18" s="1003"/>
      <c r="K18" s="61" t="str">
        <f>'[6]PLANILHA ORÇAMENTÁRIA'!F13</f>
        <v>M2</v>
      </c>
      <c r="L18" s="62">
        <f>K21</f>
        <v>780.75</v>
      </c>
    </row>
    <row r="19" spans="2:12" hidden="1">
      <c r="B19" s="63"/>
      <c r="C19" s="1004" t="s">
        <v>20</v>
      </c>
      <c r="D19" s="1004"/>
      <c r="E19" s="1004"/>
      <c r="F19" s="64" t="s">
        <v>117</v>
      </c>
      <c r="G19" s="277" t="s">
        <v>111</v>
      </c>
      <c r="H19" s="64" t="s">
        <v>112</v>
      </c>
      <c r="I19" s="277" t="s">
        <v>113</v>
      </c>
      <c r="J19" s="277" t="s">
        <v>114</v>
      </c>
      <c r="K19" s="66" t="s">
        <v>25</v>
      </c>
      <c r="L19" s="67"/>
    </row>
    <row r="20" spans="2:12" ht="27.75" hidden="1" customHeight="1">
      <c r="B20" s="63"/>
      <c r="C20" s="1001" t="s">
        <v>118</v>
      </c>
      <c r="D20" s="1001"/>
      <c r="E20" s="1001"/>
      <c r="F20" s="68">
        <v>780.75</v>
      </c>
      <c r="G20" s="68"/>
      <c r="H20" s="68"/>
      <c r="I20" s="68"/>
      <c r="J20" s="68"/>
      <c r="K20" s="69">
        <f>F20</f>
        <v>780.75</v>
      </c>
      <c r="L20" s="67"/>
    </row>
    <row r="21" spans="2:12" hidden="1">
      <c r="B21" s="63"/>
      <c r="C21" s="1002" t="s">
        <v>116</v>
      </c>
      <c r="D21" s="1002"/>
      <c r="E21" s="1002"/>
      <c r="F21" s="1002"/>
      <c r="G21" s="1002"/>
      <c r="H21" s="1002"/>
      <c r="I21" s="1002"/>
      <c r="J21" s="1002"/>
      <c r="K21" s="70">
        <f>SUM(K20:K20)</f>
        <v>780.75</v>
      </c>
      <c r="L21" s="67"/>
    </row>
    <row r="22" spans="2:12" hidden="1">
      <c r="B22" s="63"/>
      <c r="C22" s="71"/>
      <c r="D22" s="71"/>
      <c r="E22" s="71"/>
      <c r="F22" s="71"/>
      <c r="G22" s="71"/>
      <c r="H22" s="71"/>
      <c r="I22" s="71"/>
      <c r="J22" s="71"/>
      <c r="K22" s="72"/>
      <c r="L22" s="67"/>
    </row>
    <row r="23" spans="2:12" ht="15" hidden="1" customHeight="1">
      <c r="B23" s="60" t="str">
        <f>'[6]PLANILHA ORÇAMENTÁRIA'!D14</f>
        <v>1.3</v>
      </c>
      <c r="C23" s="1003" t="str">
        <f>'[6]PLANILHA ORÇAMENTÁRIA'!E14</f>
        <v>LOCAÇÃO DA OBRA - EXECUÇÃO DE GABARITO</v>
      </c>
      <c r="D23" s="1003"/>
      <c r="E23" s="1003"/>
      <c r="F23" s="1003"/>
      <c r="G23" s="1003"/>
      <c r="H23" s="1003"/>
      <c r="I23" s="1003"/>
      <c r="J23" s="1003"/>
      <c r="K23" s="61" t="str">
        <f>'[6]PLANILHA ORÇAMENTÁRIA'!F14</f>
        <v>M2</v>
      </c>
      <c r="L23" s="62">
        <f>K27</f>
        <v>157.78</v>
      </c>
    </row>
    <row r="24" spans="2:12" hidden="1">
      <c r="B24" s="63"/>
      <c r="C24" s="1004" t="s">
        <v>20</v>
      </c>
      <c r="D24" s="1004"/>
      <c r="E24" s="1004"/>
      <c r="F24" s="64" t="s">
        <v>22</v>
      </c>
      <c r="G24" s="277" t="s">
        <v>111</v>
      </c>
      <c r="H24" s="64" t="s">
        <v>112</v>
      </c>
      <c r="I24" s="277" t="s">
        <v>113</v>
      </c>
      <c r="J24" s="277" t="s">
        <v>114</v>
      </c>
      <c r="K24" s="66" t="s">
        <v>25</v>
      </c>
      <c r="L24" s="67"/>
    </row>
    <row r="25" spans="2:12" hidden="1">
      <c r="B25" s="63"/>
      <c r="C25" s="1001" t="s">
        <v>119</v>
      </c>
      <c r="D25" s="1001"/>
      <c r="E25" s="1001"/>
      <c r="F25" s="68">
        <v>1</v>
      </c>
      <c r="G25" s="68"/>
      <c r="H25" s="68">
        <v>6.7</v>
      </c>
      <c r="I25" s="68">
        <v>12</v>
      </c>
      <c r="J25" s="68"/>
      <c r="K25" s="69">
        <f>PRODUCT(F25:I25)</f>
        <v>80.400000000000006</v>
      </c>
      <c r="L25" s="67"/>
    </row>
    <row r="26" spans="2:12" hidden="1">
      <c r="B26" s="63"/>
      <c r="C26" s="1001" t="s">
        <v>120</v>
      </c>
      <c r="D26" s="1001"/>
      <c r="E26" s="1001"/>
      <c r="F26" s="68">
        <v>4</v>
      </c>
      <c r="G26" s="68"/>
      <c r="H26" s="68">
        <v>3.65</v>
      </c>
      <c r="I26" s="68">
        <v>5.3</v>
      </c>
      <c r="J26" s="68"/>
      <c r="K26" s="69">
        <f>PRODUCT(F26:I26)</f>
        <v>77.38</v>
      </c>
      <c r="L26" s="67"/>
    </row>
    <row r="27" spans="2:12" hidden="1">
      <c r="B27" s="63"/>
      <c r="C27" s="1002" t="s">
        <v>116</v>
      </c>
      <c r="D27" s="1002"/>
      <c r="E27" s="1002"/>
      <c r="F27" s="1002"/>
      <c r="G27" s="1002"/>
      <c r="H27" s="1002"/>
      <c r="I27" s="1002"/>
      <c r="J27" s="1002"/>
      <c r="K27" s="70">
        <f>SUM(K25:K26)</f>
        <v>157.78</v>
      </c>
      <c r="L27" s="67"/>
    </row>
    <row r="28" spans="2:12" hidden="1">
      <c r="B28" s="63"/>
      <c r="C28" s="71"/>
      <c r="D28" s="71"/>
      <c r="E28" s="71"/>
      <c r="F28" s="71"/>
      <c r="G28" s="71"/>
      <c r="H28" s="71"/>
      <c r="I28" s="71"/>
      <c r="J28" s="71"/>
      <c r="K28" s="72"/>
      <c r="L28" s="67"/>
    </row>
    <row r="29" spans="2:12" hidden="1">
      <c r="B29" s="58" t="str">
        <f>'[6]PLANILHA ORÇAMENTÁRIA'!D15</f>
        <v>2.0</v>
      </c>
      <c r="C29" s="1000" t="str">
        <f>'[6]PLANILHA ORÇAMENTÁRIA'!E15</f>
        <v>DEMOLIÇÕES</v>
      </c>
      <c r="D29" s="1000"/>
      <c r="E29" s="1000"/>
      <c r="F29" s="1000"/>
      <c r="G29" s="1000"/>
      <c r="H29" s="1000"/>
      <c r="I29" s="1000"/>
      <c r="J29" s="1000"/>
      <c r="K29" s="59"/>
      <c r="L29" s="59"/>
    </row>
    <row r="30" spans="2:12" ht="23.25" hidden="1" customHeight="1">
      <c r="B30" s="60" t="str">
        <f>'[6]PLANILHA ORÇAMENTÁRIA'!D16</f>
        <v>2.1</v>
      </c>
      <c r="C30" s="1003" t="str">
        <f>'[6]PLANILHA ORÇAMENTÁRIA'!E16</f>
        <v>DEMOLIÇÃO DE ALVENARIA DE BLOCO FURADO, SEM REAPROVEITAMENTO, INCLUSIVE REVESTIMENTO.</v>
      </c>
      <c r="D30" s="1003"/>
      <c r="E30" s="1003"/>
      <c r="F30" s="1003"/>
      <c r="G30" s="1003"/>
      <c r="H30" s="1003"/>
      <c r="I30" s="1003"/>
      <c r="J30" s="1003"/>
      <c r="K30" s="61" t="str">
        <f>'[6]PLANILHA ORÇAMENTÁRIA'!F16</f>
        <v>M3</v>
      </c>
      <c r="L30" s="62">
        <f>K33</f>
        <v>17.39</v>
      </c>
    </row>
    <row r="31" spans="2:12" hidden="1">
      <c r="B31" s="63"/>
      <c r="C31" s="1004" t="s">
        <v>20</v>
      </c>
      <c r="D31" s="1004"/>
      <c r="E31" s="1004"/>
      <c r="F31" s="64" t="s">
        <v>117</v>
      </c>
      <c r="G31" s="277" t="s">
        <v>111</v>
      </c>
      <c r="H31" s="64" t="s">
        <v>112</v>
      </c>
      <c r="I31" s="277" t="s">
        <v>113</v>
      </c>
      <c r="J31" s="277" t="s">
        <v>114</v>
      </c>
      <c r="K31" s="66" t="s">
        <v>25</v>
      </c>
      <c r="L31" s="67"/>
    </row>
    <row r="32" spans="2:12" hidden="1">
      <c r="B32" s="63"/>
      <c r="C32" s="1001" t="s">
        <v>121</v>
      </c>
      <c r="D32" s="1001"/>
      <c r="E32" s="1001"/>
      <c r="F32" s="68"/>
      <c r="G32" s="68">
        <v>2.2000000000000002</v>
      </c>
      <c r="H32" s="68">
        <v>0.15</v>
      </c>
      <c r="I32" s="68">
        <v>52.71</v>
      </c>
      <c r="J32" s="68"/>
      <c r="K32" s="69">
        <f>TRUNC(I32*G32*H32,2)</f>
        <v>17.39</v>
      </c>
      <c r="L32" s="67"/>
    </row>
    <row r="33" spans="2:12" hidden="1">
      <c r="B33" s="63"/>
      <c r="C33" s="1002" t="s">
        <v>116</v>
      </c>
      <c r="D33" s="1002"/>
      <c r="E33" s="1002"/>
      <c r="F33" s="1002"/>
      <c r="G33" s="1002"/>
      <c r="H33" s="1002"/>
      <c r="I33" s="1002"/>
      <c r="J33" s="1002"/>
      <c r="K33" s="70">
        <f>SUM(K32:K32)</f>
        <v>17.39</v>
      </c>
      <c r="L33" s="67"/>
    </row>
    <row r="34" spans="2:12" hidden="1">
      <c r="B34" s="63"/>
      <c r="C34" s="71"/>
      <c r="D34" s="71"/>
      <c r="E34" s="71"/>
      <c r="F34" s="71"/>
      <c r="G34" s="71"/>
      <c r="H34" s="71"/>
      <c r="I34" s="71"/>
      <c r="J34" s="71"/>
      <c r="K34" s="72"/>
      <c r="L34" s="67"/>
    </row>
    <row r="35" spans="2:12" hidden="1">
      <c r="B35" s="58" t="str">
        <f>'[6]PLANILHA ORÇAMENTÁRIA'!D17</f>
        <v>3.0</v>
      </c>
      <c r="C35" s="1000" t="str">
        <f>'[6]PLANILHA ORÇAMENTÁRIA'!E17</f>
        <v>TRABALHOS EM TERRA</v>
      </c>
      <c r="D35" s="1000"/>
      <c r="E35" s="1000"/>
      <c r="F35" s="1000"/>
      <c r="G35" s="1000"/>
      <c r="H35" s="1000"/>
      <c r="I35" s="1000"/>
      <c r="J35" s="1000"/>
      <c r="K35" s="59"/>
      <c r="L35" s="59"/>
    </row>
    <row r="36" spans="2:12" ht="15" hidden="1" customHeight="1">
      <c r="B36" s="60" t="str">
        <f>'[6]PLANILHA ORÇAMENTÁRIA'!D18</f>
        <v>3.1</v>
      </c>
      <c r="C36" s="1003" t="str">
        <f>'[6]PLANILHA ORÇAMENTÁRIA'!E18</f>
        <v>CORTE E ATERRO COMPENSADO</v>
      </c>
      <c r="D36" s="1003"/>
      <c r="E36" s="1003"/>
      <c r="F36" s="1003"/>
      <c r="G36" s="1003"/>
      <c r="H36" s="1003"/>
      <c r="I36" s="1003"/>
      <c r="J36" s="1003"/>
      <c r="K36" s="61" t="str">
        <f>'[6]PLANILHA ORÇAMENTÁRIA'!F18</f>
        <v>M3</v>
      </c>
      <c r="L36" s="62">
        <f>K39</f>
        <v>156.15</v>
      </c>
    </row>
    <row r="37" spans="2:12" hidden="1">
      <c r="B37" s="63"/>
      <c r="C37" s="1004" t="s">
        <v>20</v>
      </c>
      <c r="D37" s="1004"/>
      <c r="E37" s="1004"/>
      <c r="F37" s="64" t="s">
        <v>117</v>
      </c>
      <c r="G37" s="277" t="s">
        <v>111</v>
      </c>
      <c r="H37" s="64" t="s">
        <v>112</v>
      </c>
      <c r="I37" s="277" t="s">
        <v>113</v>
      </c>
      <c r="J37" s="277" t="s">
        <v>114</v>
      </c>
      <c r="K37" s="66" t="s">
        <v>25</v>
      </c>
      <c r="L37" s="67"/>
    </row>
    <row r="38" spans="2:12" hidden="1">
      <c r="B38" s="63"/>
      <c r="C38" s="1001" t="s">
        <v>122</v>
      </c>
      <c r="D38" s="1001"/>
      <c r="E38" s="1001"/>
      <c r="F38" s="68">
        <f>F20</f>
        <v>780.75</v>
      </c>
      <c r="G38" s="68">
        <v>0.2</v>
      </c>
      <c r="H38" s="68"/>
      <c r="I38" s="68"/>
      <c r="J38" s="68"/>
      <c r="K38" s="69">
        <f>TRUNC(F38*G38,2)</f>
        <v>156.15</v>
      </c>
      <c r="L38" s="67"/>
    </row>
    <row r="39" spans="2:12" hidden="1">
      <c r="B39" s="63"/>
      <c r="C39" s="1002" t="s">
        <v>116</v>
      </c>
      <c r="D39" s="1002"/>
      <c r="E39" s="1002"/>
      <c r="F39" s="1002"/>
      <c r="G39" s="1002"/>
      <c r="H39" s="1002"/>
      <c r="I39" s="1002"/>
      <c r="J39" s="1002"/>
      <c r="K39" s="70">
        <f>SUM(K38:K38)</f>
        <v>156.15</v>
      </c>
      <c r="L39" s="67"/>
    </row>
    <row r="40" spans="2:12" hidden="1"/>
    <row r="41" spans="2:12" ht="15" hidden="1" customHeight="1">
      <c r="B41" s="60" t="str">
        <f>'[6]PLANILHA ORÇAMENTÁRIA'!D19</f>
        <v>3.2</v>
      </c>
      <c r="C41" s="1003" t="str">
        <f>'[6]PLANILHA ORÇAMENTÁRIA'!E19</f>
        <v>ESCAVAÇÃO MANUAL DE VALA COM PROFUNDIDADE MENOR OU IGUAL A 1,30 M. AF_ 03/2016</v>
      </c>
      <c r="D41" s="1003"/>
      <c r="E41" s="1003"/>
      <c r="F41" s="1003"/>
      <c r="G41" s="1003"/>
      <c r="H41" s="1003"/>
      <c r="I41" s="1003"/>
      <c r="J41" s="1003"/>
      <c r="K41" s="61" t="str">
        <f>'[6]PLANILHA ORÇAMENTÁRIA'!F19</f>
        <v>M3</v>
      </c>
      <c r="L41" s="62">
        <f>K49</f>
        <v>12.827999999999999</v>
      </c>
    </row>
    <row r="42" spans="2:12" hidden="1">
      <c r="B42" s="63"/>
      <c r="C42" s="1004" t="s">
        <v>20</v>
      </c>
      <c r="D42" s="1004"/>
      <c r="E42" s="1004"/>
      <c r="F42" s="64" t="s">
        <v>22</v>
      </c>
      <c r="G42" s="277" t="s">
        <v>111</v>
      </c>
      <c r="H42" s="64" t="s">
        <v>112</v>
      </c>
      <c r="I42" s="277" t="s">
        <v>113</v>
      </c>
      <c r="J42" s="277" t="s">
        <v>114</v>
      </c>
      <c r="K42" s="66" t="s">
        <v>25</v>
      </c>
      <c r="L42" s="67"/>
    </row>
    <row r="43" spans="2:12" hidden="1">
      <c r="B43" s="63"/>
      <c r="C43" s="1001" t="s">
        <v>123</v>
      </c>
      <c r="D43" s="1001"/>
      <c r="E43" s="1001"/>
      <c r="F43" s="68">
        <v>2</v>
      </c>
      <c r="G43" s="68">
        <v>0.6</v>
      </c>
      <c r="H43" s="68">
        <v>0.4</v>
      </c>
      <c r="I43" s="68">
        <v>5.4</v>
      </c>
      <c r="J43" s="68"/>
      <c r="K43" s="69">
        <f t="shared" ref="K43:K48" si="0">PRODUCT(F43:I43)</f>
        <v>2.5920000000000001</v>
      </c>
      <c r="L43" s="67"/>
    </row>
    <row r="44" spans="2:12" hidden="1">
      <c r="B44" s="63"/>
      <c r="C44" s="1001" t="s">
        <v>124</v>
      </c>
      <c r="D44" s="1001"/>
      <c r="E44" s="1001"/>
      <c r="F44" s="68">
        <v>2</v>
      </c>
      <c r="G44" s="68">
        <v>0.6</v>
      </c>
      <c r="H44" s="68">
        <v>0.4</v>
      </c>
      <c r="I44" s="68">
        <v>3.6</v>
      </c>
      <c r="J44" s="68"/>
      <c r="K44" s="69">
        <f t="shared" si="0"/>
        <v>1.728</v>
      </c>
      <c r="L44" s="67"/>
    </row>
    <row r="45" spans="2:12" hidden="1">
      <c r="B45" s="63"/>
      <c r="C45" s="1001" t="s">
        <v>125</v>
      </c>
      <c r="D45" s="1001"/>
      <c r="E45" s="1001"/>
      <c r="F45" s="68">
        <v>1</v>
      </c>
      <c r="G45" s="68">
        <v>0.6</v>
      </c>
      <c r="H45" s="68">
        <v>0.4</v>
      </c>
      <c r="I45" s="68">
        <v>4.2</v>
      </c>
      <c r="J45" s="68"/>
      <c r="K45" s="69">
        <f t="shared" si="0"/>
        <v>1.008</v>
      </c>
      <c r="L45" s="67"/>
    </row>
    <row r="46" spans="2:12" hidden="1">
      <c r="B46" s="63"/>
      <c r="C46" s="1001" t="s">
        <v>126</v>
      </c>
      <c r="D46" s="1001"/>
      <c r="E46" s="1001"/>
      <c r="F46" s="68">
        <v>1</v>
      </c>
      <c r="G46" s="68">
        <v>0.6</v>
      </c>
      <c r="H46" s="68">
        <v>0.4</v>
      </c>
      <c r="I46" s="68">
        <v>3.15</v>
      </c>
      <c r="J46" s="68"/>
      <c r="K46" s="69">
        <f t="shared" si="0"/>
        <v>0.75600000000000001</v>
      </c>
      <c r="L46" s="67"/>
    </row>
    <row r="47" spans="2:12" hidden="1">
      <c r="B47" s="63"/>
      <c r="C47" s="1001" t="s">
        <v>127</v>
      </c>
      <c r="D47" s="1001"/>
      <c r="E47" s="1001"/>
      <c r="F47" s="68">
        <v>1</v>
      </c>
      <c r="G47" s="68">
        <v>0.6</v>
      </c>
      <c r="H47" s="68">
        <v>0.4</v>
      </c>
      <c r="I47" s="68">
        <f>5.7+5.7+4.7</f>
        <v>16.100000000000001</v>
      </c>
      <c r="J47" s="68"/>
      <c r="K47" s="69">
        <f t="shared" si="0"/>
        <v>3.8640000000000003</v>
      </c>
      <c r="L47" s="67"/>
    </row>
    <row r="48" spans="2:12" hidden="1">
      <c r="B48" s="63"/>
      <c r="C48" s="1001" t="s">
        <v>128</v>
      </c>
      <c r="D48" s="1001"/>
      <c r="E48" s="1001"/>
      <c r="F48" s="68">
        <v>8</v>
      </c>
      <c r="G48" s="68">
        <v>1</v>
      </c>
      <c r="H48" s="68">
        <v>0.6</v>
      </c>
      <c r="I48" s="68">
        <v>0.6</v>
      </c>
      <c r="J48" s="68"/>
      <c r="K48" s="69">
        <f t="shared" si="0"/>
        <v>2.88</v>
      </c>
      <c r="L48" s="67"/>
    </row>
    <row r="49" spans="2:12" hidden="1">
      <c r="B49" s="63"/>
      <c r="C49" s="1002" t="s">
        <v>116</v>
      </c>
      <c r="D49" s="1002"/>
      <c r="E49" s="1002"/>
      <c r="F49" s="1002"/>
      <c r="G49" s="1002"/>
      <c r="H49" s="1002"/>
      <c r="I49" s="1002"/>
      <c r="J49" s="1002"/>
      <c r="K49" s="70">
        <f>SUM(K43:K48)</f>
        <v>12.827999999999999</v>
      </c>
      <c r="L49" s="67"/>
    </row>
    <row r="50" spans="2:12" hidden="1"/>
    <row r="51" spans="2:12" ht="15" hidden="1" customHeight="1">
      <c r="B51" s="60" t="str">
        <f>'[6]PLANILHA ORÇAMENTÁRIA'!D20</f>
        <v>3.3</v>
      </c>
      <c r="C51" s="1003" t="str">
        <f>'[6]PLANILHA ORÇAMENTÁRIA'!E20</f>
        <v>REATERRO MANUAL APILOADO COM SOQUETE</v>
      </c>
      <c r="D51" s="1003"/>
      <c r="E51" s="1003"/>
      <c r="F51" s="1003"/>
      <c r="G51" s="1003"/>
      <c r="H51" s="1003"/>
      <c r="I51" s="1003"/>
      <c r="J51" s="1003"/>
      <c r="K51" s="61" t="str">
        <f>'[6]PLANILHA ORÇAMENTÁRIA'!F20</f>
        <v>M3</v>
      </c>
      <c r="L51" s="62">
        <f>K54</f>
        <v>4.0992499999999996</v>
      </c>
    </row>
    <row r="52" spans="2:12" hidden="1">
      <c r="B52" s="63"/>
      <c r="C52" s="1004" t="s">
        <v>20</v>
      </c>
      <c r="D52" s="1004"/>
      <c r="E52" s="1004"/>
      <c r="F52" s="64" t="s">
        <v>129</v>
      </c>
      <c r="G52" s="277" t="s">
        <v>130</v>
      </c>
      <c r="H52" s="64" t="s">
        <v>131</v>
      </c>
      <c r="I52" s="277" t="s">
        <v>132</v>
      </c>
      <c r="J52" s="277"/>
      <c r="K52" s="66" t="s">
        <v>25</v>
      </c>
      <c r="L52" s="67"/>
    </row>
    <row r="53" spans="2:12" hidden="1">
      <c r="B53" s="63"/>
      <c r="C53" s="1001"/>
      <c r="D53" s="1001"/>
      <c r="E53" s="1001"/>
      <c r="F53" s="68">
        <f>L41</f>
        <v>12.827999999999999</v>
      </c>
      <c r="G53" s="68">
        <f>L67</f>
        <v>3.4812500000000002</v>
      </c>
      <c r="H53" s="68">
        <f>L76</f>
        <v>4.1775000000000002</v>
      </c>
      <c r="I53" s="68">
        <v>1.07</v>
      </c>
      <c r="J53" s="68"/>
      <c r="K53" s="69">
        <f>F53-G53-H53-I53</f>
        <v>4.0992499999999996</v>
      </c>
      <c r="L53" s="67"/>
    </row>
    <row r="54" spans="2:12" hidden="1">
      <c r="B54" s="63"/>
      <c r="C54" s="1002" t="s">
        <v>116</v>
      </c>
      <c r="D54" s="1002"/>
      <c r="E54" s="1002"/>
      <c r="F54" s="1002"/>
      <c r="G54" s="1002"/>
      <c r="H54" s="1002"/>
      <c r="I54" s="1002"/>
      <c r="J54" s="1002"/>
      <c r="K54" s="70">
        <f>SUM(K53:K53)</f>
        <v>4.0992499999999996</v>
      </c>
      <c r="L54" s="67"/>
    </row>
    <row r="55" spans="2:12" hidden="1"/>
    <row r="56" spans="2:12" hidden="1">
      <c r="B56" s="58" t="str">
        <f>'[6]PLANILHA ORÇAMENTÁRIA'!D21</f>
        <v>4.0</v>
      </c>
      <c r="C56" s="1000" t="str">
        <f>'[6]PLANILHA ORÇAMENTÁRIA'!E21</f>
        <v>FUNDAÇÃO</v>
      </c>
      <c r="D56" s="1000"/>
      <c r="E56" s="1000"/>
      <c r="F56" s="1000"/>
      <c r="G56" s="1000"/>
      <c r="H56" s="1000"/>
      <c r="I56" s="1000"/>
      <c r="J56" s="1000"/>
      <c r="K56" s="59"/>
      <c r="L56" s="59"/>
    </row>
    <row r="57" spans="2:12" ht="24.75" hidden="1" customHeight="1">
      <c r="B57" s="60" t="str">
        <f>'[6]PLANILHA ORÇAMENTÁRIA'!D22</f>
        <v>4.1</v>
      </c>
      <c r="C57" s="1003" t="str">
        <f>'[6]PLANILHA ORÇAMENTÁRIA'!E22</f>
        <v>LASTRO DE CONCRETO MAGRO, APLICADO EM BLOCOS DE COROAMENTO OU SAPATAS, ESPESSURA DE 5 CM. AF_08/2017</v>
      </c>
      <c r="D57" s="1003"/>
      <c r="E57" s="1003"/>
      <c r="F57" s="1003"/>
      <c r="G57" s="1003"/>
      <c r="H57" s="1003"/>
      <c r="I57" s="1003"/>
      <c r="J57" s="1003"/>
      <c r="K57" s="61" t="str">
        <f>'[6]PLANILHA ORÇAMENTÁRIA'!F22</f>
        <v>M2</v>
      </c>
      <c r="L57" s="62">
        <f>K65</f>
        <v>21.532500000000002</v>
      </c>
    </row>
    <row r="58" spans="2:12" hidden="1">
      <c r="B58" s="63"/>
      <c r="C58" s="1004" t="s">
        <v>20</v>
      </c>
      <c r="D58" s="1004"/>
      <c r="E58" s="1004"/>
      <c r="F58" s="64" t="s">
        <v>22</v>
      </c>
      <c r="G58" s="277" t="s">
        <v>111</v>
      </c>
      <c r="H58" s="64" t="s">
        <v>112</v>
      </c>
      <c r="I58" s="277" t="s">
        <v>113</v>
      </c>
      <c r="J58" s="277" t="s">
        <v>114</v>
      </c>
      <c r="K58" s="66" t="s">
        <v>25</v>
      </c>
      <c r="L58" s="67"/>
    </row>
    <row r="59" spans="2:12" hidden="1">
      <c r="B59" s="63"/>
      <c r="C59" s="1001" t="s">
        <v>123</v>
      </c>
      <c r="D59" s="1001"/>
      <c r="E59" s="1001"/>
      <c r="F59" s="68">
        <v>2</v>
      </c>
      <c r="G59" s="68"/>
      <c r="H59" s="68">
        <v>0.45</v>
      </c>
      <c r="I59" s="68">
        <v>5.4</v>
      </c>
      <c r="J59" s="68"/>
      <c r="K59" s="69">
        <f t="shared" ref="K59:K64" si="1">PRODUCT(F59:I59)</f>
        <v>4.8600000000000003</v>
      </c>
      <c r="L59" s="67"/>
    </row>
    <row r="60" spans="2:12" hidden="1">
      <c r="B60" s="63"/>
      <c r="C60" s="1001" t="s">
        <v>124</v>
      </c>
      <c r="D60" s="1001"/>
      <c r="E60" s="1001"/>
      <c r="F60" s="68">
        <v>2</v>
      </c>
      <c r="G60" s="68"/>
      <c r="H60" s="68">
        <v>0.45</v>
      </c>
      <c r="I60" s="68">
        <v>3.6</v>
      </c>
      <c r="J60" s="68"/>
      <c r="K60" s="69">
        <f t="shared" si="1"/>
        <v>3.24</v>
      </c>
      <c r="L60" s="67"/>
    </row>
    <row r="61" spans="2:12" hidden="1">
      <c r="B61" s="63"/>
      <c r="C61" s="1001" t="s">
        <v>125</v>
      </c>
      <c r="D61" s="1001"/>
      <c r="E61" s="1001"/>
      <c r="F61" s="68">
        <v>1</v>
      </c>
      <c r="G61" s="68"/>
      <c r="H61" s="68">
        <v>0.45</v>
      </c>
      <c r="I61" s="68">
        <v>4.2</v>
      </c>
      <c r="J61" s="68"/>
      <c r="K61" s="69">
        <f t="shared" si="1"/>
        <v>1.8900000000000001</v>
      </c>
      <c r="L61" s="67"/>
    </row>
    <row r="62" spans="2:12" hidden="1">
      <c r="B62" s="63"/>
      <c r="C62" s="1001" t="s">
        <v>126</v>
      </c>
      <c r="D62" s="1001"/>
      <c r="E62" s="1001"/>
      <c r="F62" s="68">
        <v>1</v>
      </c>
      <c r="G62" s="68"/>
      <c r="H62" s="68">
        <v>0.45</v>
      </c>
      <c r="I62" s="68">
        <v>3.15</v>
      </c>
      <c r="J62" s="68"/>
      <c r="K62" s="69">
        <f t="shared" si="1"/>
        <v>1.4175</v>
      </c>
      <c r="L62" s="67"/>
    </row>
    <row r="63" spans="2:12" hidden="1">
      <c r="B63" s="63"/>
      <c r="C63" s="1001" t="s">
        <v>127</v>
      </c>
      <c r="D63" s="1001"/>
      <c r="E63" s="1001"/>
      <c r="F63" s="68">
        <v>1</v>
      </c>
      <c r="G63" s="68"/>
      <c r="H63" s="68">
        <v>0.45</v>
      </c>
      <c r="I63" s="68">
        <f>5.7+5.7+4.7</f>
        <v>16.100000000000001</v>
      </c>
      <c r="J63" s="68"/>
      <c r="K63" s="69">
        <f t="shared" si="1"/>
        <v>7.245000000000001</v>
      </c>
      <c r="L63" s="67"/>
    </row>
    <row r="64" spans="2:12" hidden="1">
      <c r="B64" s="63"/>
      <c r="C64" s="1001" t="s">
        <v>128</v>
      </c>
      <c r="D64" s="1001"/>
      <c r="E64" s="1001"/>
      <c r="F64" s="68">
        <v>8</v>
      </c>
      <c r="G64" s="68"/>
      <c r="H64" s="68">
        <v>0.6</v>
      </c>
      <c r="I64" s="68">
        <v>0.6</v>
      </c>
      <c r="J64" s="68"/>
      <c r="K64" s="69">
        <f t="shared" si="1"/>
        <v>2.88</v>
      </c>
      <c r="L64" s="67"/>
    </row>
    <row r="65" spans="2:12" hidden="1">
      <c r="B65" s="63"/>
      <c r="C65" s="1002" t="s">
        <v>116</v>
      </c>
      <c r="D65" s="1002"/>
      <c r="E65" s="1002"/>
      <c r="F65" s="1002"/>
      <c r="G65" s="1002"/>
      <c r="H65" s="1002"/>
      <c r="I65" s="1002"/>
      <c r="J65" s="1002"/>
      <c r="K65" s="70">
        <f>SUM(K59:K64)</f>
        <v>21.532500000000002</v>
      </c>
      <c r="L65" s="67"/>
    </row>
    <row r="66" spans="2:12" hidden="1">
      <c r="B66" s="63"/>
      <c r="C66" s="71"/>
      <c r="D66" s="71"/>
      <c r="E66" s="71"/>
      <c r="F66" s="71"/>
      <c r="G66" s="71"/>
      <c r="H66" s="71"/>
      <c r="I66" s="71"/>
      <c r="J66" s="71"/>
      <c r="K66" s="72"/>
      <c r="L66" s="67"/>
    </row>
    <row r="67" spans="2:12" ht="15" hidden="1" customHeight="1">
      <c r="B67" s="60" t="str">
        <f>'[6]PLANILHA ORÇAMENTÁRIA'!D23</f>
        <v>4.2</v>
      </c>
      <c r="C67" s="1003" t="str">
        <f>'[6]PLANILHA ORÇAMENTÁRIA'!E23</f>
        <v>EMBASAMENTO C/PEDRA ARGAMASSADA UTILIZANDO ARG.CIM/AREIA 1:4</v>
      </c>
      <c r="D67" s="1003"/>
      <c r="E67" s="1003"/>
      <c r="F67" s="1003"/>
      <c r="G67" s="1003"/>
      <c r="H67" s="1003"/>
      <c r="I67" s="1003"/>
      <c r="J67" s="1003"/>
      <c r="K67" s="61" t="str">
        <f>'[6]PLANILHA ORÇAMENTÁRIA'!F23</f>
        <v>M3</v>
      </c>
      <c r="L67" s="62">
        <f>K74</f>
        <v>3.4812500000000002</v>
      </c>
    </row>
    <row r="68" spans="2:12" hidden="1">
      <c r="B68" s="63"/>
      <c r="C68" s="1004" t="s">
        <v>20</v>
      </c>
      <c r="D68" s="1004"/>
      <c r="E68" s="1004"/>
      <c r="F68" s="64" t="s">
        <v>22</v>
      </c>
      <c r="G68" s="277" t="s">
        <v>111</v>
      </c>
      <c r="H68" s="64" t="s">
        <v>112</v>
      </c>
      <c r="I68" s="277" t="s">
        <v>113</v>
      </c>
      <c r="J68" s="277" t="s">
        <v>114</v>
      </c>
      <c r="K68" s="66" t="s">
        <v>25</v>
      </c>
      <c r="L68" s="67"/>
    </row>
    <row r="69" spans="2:12" hidden="1">
      <c r="B69" s="63"/>
      <c r="C69" s="1001" t="s">
        <v>123</v>
      </c>
      <c r="D69" s="1001"/>
      <c r="E69" s="1001"/>
      <c r="F69" s="68">
        <v>2</v>
      </c>
      <c r="G69" s="68">
        <v>0.25</v>
      </c>
      <c r="H69" s="68">
        <v>0.4</v>
      </c>
      <c r="I69" s="68">
        <v>5.4</v>
      </c>
      <c r="J69" s="68"/>
      <c r="K69" s="69">
        <f>PRODUCT(F69:J69)</f>
        <v>1.08</v>
      </c>
      <c r="L69" s="67"/>
    </row>
    <row r="70" spans="2:12" hidden="1">
      <c r="B70" s="63"/>
      <c r="C70" s="1001" t="s">
        <v>124</v>
      </c>
      <c r="D70" s="1001"/>
      <c r="E70" s="1001"/>
      <c r="F70" s="68">
        <v>2</v>
      </c>
      <c r="G70" s="68">
        <v>0.25</v>
      </c>
      <c r="H70" s="68">
        <v>0.4</v>
      </c>
      <c r="I70" s="68">
        <v>3.6</v>
      </c>
      <c r="J70" s="68"/>
      <c r="K70" s="69">
        <f>PRODUCT(F70:J70)</f>
        <v>0.72000000000000008</v>
      </c>
      <c r="L70" s="67"/>
    </row>
    <row r="71" spans="2:12" hidden="1">
      <c r="B71" s="63"/>
      <c r="C71" s="1001" t="s">
        <v>125</v>
      </c>
      <c r="D71" s="1001"/>
      <c r="E71" s="1001"/>
      <c r="F71" s="68">
        <v>1</v>
      </c>
      <c r="G71" s="68">
        <v>0.25</v>
      </c>
      <c r="H71" s="68">
        <v>0.4</v>
      </c>
      <c r="I71" s="68">
        <v>3.6</v>
      </c>
      <c r="J71" s="68"/>
      <c r="K71" s="69">
        <f>PRODUCT(F71:J71)</f>
        <v>0.36000000000000004</v>
      </c>
      <c r="L71" s="67"/>
    </row>
    <row r="72" spans="2:12" hidden="1">
      <c r="B72" s="63"/>
      <c r="C72" s="1001" t="s">
        <v>127</v>
      </c>
      <c r="D72" s="1001"/>
      <c r="E72" s="1001"/>
      <c r="F72" s="68">
        <v>1</v>
      </c>
      <c r="G72" s="68">
        <v>0.25</v>
      </c>
      <c r="H72" s="68">
        <v>0.25</v>
      </c>
      <c r="I72" s="68">
        <f>5.7+5.7+4.7</f>
        <v>16.100000000000001</v>
      </c>
      <c r="J72" s="68"/>
      <c r="K72" s="69">
        <f>PRODUCT(F72:I72)</f>
        <v>1.0062500000000001</v>
      </c>
      <c r="L72" s="67"/>
    </row>
    <row r="73" spans="2:12" hidden="1">
      <c r="B73" s="63"/>
      <c r="C73" s="1001" t="s">
        <v>126</v>
      </c>
      <c r="D73" s="1001"/>
      <c r="E73" s="1001"/>
      <c r="F73" s="68">
        <v>1</v>
      </c>
      <c r="G73" s="68">
        <v>0.25</v>
      </c>
      <c r="H73" s="68">
        <v>0.4</v>
      </c>
      <c r="I73" s="68">
        <v>3.15</v>
      </c>
      <c r="J73" s="68"/>
      <c r="K73" s="69">
        <f>PRODUCT(F73:J73)</f>
        <v>0.315</v>
      </c>
      <c r="L73" s="67"/>
    </row>
    <row r="74" spans="2:12" hidden="1">
      <c r="B74" s="63"/>
      <c r="C74" s="1002" t="s">
        <v>116</v>
      </c>
      <c r="D74" s="1002"/>
      <c r="E74" s="1002"/>
      <c r="F74" s="1002"/>
      <c r="G74" s="1002"/>
      <c r="H74" s="1002"/>
      <c r="I74" s="1002"/>
      <c r="J74" s="1002"/>
      <c r="K74" s="70">
        <f>SUM(K69:K73)</f>
        <v>3.4812500000000002</v>
      </c>
      <c r="L74" s="67"/>
    </row>
    <row r="75" spans="2:12" hidden="1">
      <c r="B75" s="63"/>
      <c r="C75" s="71"/>
      <c r="D75" s="71"/>
      <c r="E75" s="71"/>
      <c r="F75" s="71"/>
      <c r="G75" s="71"/>
      <c r="H75" s="71"/>
      <c r="I75" s="71"/>
      <c r="J75" s="71"/>
      <c r="K75" s="72"/>
      <c r="L75" s="67"/>
    </row>
    <row r="76" spans="2:12" ht="27" hidden="1" customHeight="1">
      <c r="B76" s="60" t="str">
        <f>'[6]PLANILHA ORÇAMENTÁRIA'!D24</f>
        <v>4.3</v>
      </c>
      <c r="C76" s="1003" t="str">
        <f>'[6]PLANILHA ORÇAMENTÁRIA'!E24</f>
        <v>ALVENARIA DE EMBASAMENTO EM BLOCO CERAMICO, 8 FUROS, DE 9 X 19 X 19 CM, ASSENTADO COM ARGAMASSA TRACO 1:2:8 (CIMENTO, CAL E AREIA)</v>
      </c>
      <c r="D76" s="1003"/>
      <c r="E76" s="1003"/>
      <c r="F76" s="1003"/>
      <c r="G76" s="1003"/>
      <c r="H76" s="1003"/>
      <c r="I76" s="1003"/>
      <c r="J76" s="1003"/>
      <c r="K76" s="61" t="str">
        <f>'[6]PLANILHA ORÇAMENTÁRIA'!F24</f>
        <v>M3</v>
      </c>
      <c r="L76" s="62">
        <f>K83</f>
        <v>4.1775000000000002</v>
      </c>
    </row>
    <row r="77" spans="2:12" hidden="1">
      <c r="B77" s="63"/>
      <c r="C77" s="1004" t="s">
        <v>20</v>
      </c>
      <c r="D77" s="1004"/>
      <c r="E77" s="1004"/>
      <c r="F77" s="64" t="s">
        <v>22</v>
      </c>
      <c r="G77" s="277" t="s">
        <v>111</v>
      </c>
      <c r="H77" s="64" t="s">
        <v>112</v>
      </c>
      <c r="I77" s="277" t="s">
        <v>113</v>
      </c>
      <c r="J77" s="277" t="s">
        <v>114</v>
      </c>
      <c r="K77" s="66" t="s">
        <v>25</v>
      </c>
      <c r="L77" s="67"/>
    </row>
    <row r="78" spans="2:12" hidden="1">
      <c r="B78" s="63"/>
      <c r="C78" s="1001" t="s">
        <v>123</v>
      </c>
      <c r="D78" s="1001"/>
      <c r="E78" s="1001"/>
      <c r="F78" s="68">
        <v>2</v>
      </c>
      <c r="G78" s="68">
        <v>0.3</v>
      </c>
      <c r="H78" s="68">
        <v>0.4</v>
      </c>
      <c r="I78" s="68">
        <v>5.4</v>
      </c>
      <c r="J78" s="68"/>
      <c r="K78" s="69">
        <f>PRODUCT(F78:J78)</f>
        <v>1.296</v>
      </c>
      <c r="L78" s="67"/>
    </row>
    <row r="79" spans="2:12" hidden="1">
      <c r="B79" s="63"/>
      <c r="C79" s="1001" t="s">
        <v>124</v>
      </c>
      <c r="D79" s="1001"/>
      <c r="E79" s="1001"/>
      <c r="F79" s="68">
        <v>2</v>
      </c>
      <c r="G79" s="68">
        <v>0.3</v>
      </c>
      <c r="H79" s="68">
        <v>0.4</v>
      </c>
      <c r="I79" s="68">
        <v>3.6</v>
      </c>
      <c r="J79" s="68"/>
      <c r="K79" s="69">
        <f>PRODUCT(F79:J79)</f>
        <v>0.86399999999999999</v>
      </c>
      <c r="L79" s="67"/>
    </row>
    <row r="80" spans="2:12" hidden="1">
      <c r="B80" s="63"/>
      <c r="C80" s="1001" t="s">
        <v>125</v>
      </c>
      <c r="D80" s="1001"/>
      <c r="E80" s="1001"/>
      <c r="F80" s="68">
        <v>1</v>
      </c>
      <c r="G80" s="68">
        <v>0.3</v>
      </c>
      <c r="H80" s="68">
        <v>0.4</v>
      </c>
      <c r="I80" s="68">
        <v>3.6</v>
      </c>
      <c r="J80" s="68"/>
      <c r="K80" s="69">
        <f>PRODUCT(F80:J80)</f>
        <v>0.432</v>
      </c>
      <c r="L80" s="67"/>
    </row>
    <row r="81" spans="2:12" hidden="1">
      <c r="B81" s="63"/>
      <c r="C81" s="1001" t="s">
        <v>127</v>
      </c>
      <c r="D81" s="1001"/>
      <c r="E81" s="1001"/>
      <c r="F81" s="68">
        <v>1</v>
      </c>
      <c r="G81" s="68">
        <v>0.3</v>
      </c>
      <c r="H81" s="68">
        <v>0.25</v>
      </c>
      <c r="I81" s="68">
        <f>5.7+5.7+4.7</f>
        <v>16.100000000000001</v>
      </c>
      <c r="J81" s="68"/>
      <c r="K81" s="69">
        <f>PRODUCT(F81:I81)</f>
        <v>1.2075</v>
      </c>
      <c r="L81" s="67"/>
    </row>
    <row r="82" spans="2:12" hidden="1">
      <c r="B82" s="63"/>
      <c r="C82" s="1001" t="s">
        <v>126</v>
      </c>
      <c r="D82" s="1001"/>
      <c r="E82" s="1001"/>
      <c r="F82" s="68">
        <v>1</v>
      </c>
      <c r="G82" s="68">
        <v>0.3</v>
      </c>
      <c r="H82" s="68">
        <v>0.4</v>
      </c>
      <c r="I82" s="68">
        <v>3.15</v>
      </c>
      <c r="J82" s="68"/>
      <c r="K82" s="69">
        <f>PRODUCT(F82:J82)</f>
        <v>0.378</v>
      </c>
      <c r="L82" s="67"/>
    </row>
    <row r="83" spans="2:12" hidden="1">
      <c r="B83" s="63"/>
      <c r="C83" s="1002" t="s">
        <v>116</v>
      </c>
      <c r="D83" s="1002"/>
      <c r="E83" s="1002"/>
      <c r="F83" s="1002"/>
      <c r="G83" s="1002"/>
      <c r="H83" s="1002"/>
      <c r="I83" s="1002"/>
      <c r="J83" s="1002"/>
      <c r="K83" s="70">
        <f>SUM(K78:K82)</f>
        <v>4.1775000000000002</v>
      </c>
      <c r="L83" s="67"/>
    </row>
    <row r="84" spans="2:12" hidden="1">
      <c r="B84" s="63"/>
      <c r="C84" s="71"/>
      <c r="D84" s="71"/>
      <c r="E84" s="71"/>
      <c r="F84" s="71"/>
      <c r="G84" s="71"/>
      <c r="H84" s="71"/>
      <c r="I84" s="71"/>
      <c r="J84" s="71"/>
      <c r="K84" s="72"/>
      <c r="L84" s="67"/>
    </row>
    <row r="85" spans="2:12" ht="29.25" hidden="1" customHeight="1">
      <c r="B85" s="60" t="str">
        <f>'[6]PLANILHA ORÇAMENTÁRIA'!D25</f>
        <v>4.4</v>
      </c>
      <c r="C85" s="1003" t="str">
        <f>'[6]PLANILHA ORÇAMENTÁRIA'!E25</f>
        <v>ARMAÇÃO DE BLOCO, VIGA BALDRAME OU SAPATA UTILIZANDO AÇO CA-50 DE 10 MM - MONTAGEM. AF_06/2017</v>
      </c>
      <c r="D85" s="1003"/>
      <c r="E85" s="1003"/>
      <c r="F85" s="1003"/>
      <c r="G85" s="1003"/>
      <c r="H85" s="1003"/>
      <c r="I85" s="1003"/>
      <c r="J85" s="1003"/>
      <c r="K85" s="61" t="str">
        <f>'[6]PLANILHA ORÇAMENTÁRIA'!F25</f>
        <v>KG</v>
      </c>
      <c r="L85" s="62">
        <f>K88</f>
        <v>41.32</v>
      </c>
    </row>
    <row r="86" spans="2:12" hidden="1">
      <c r="B86" s="63"/>
      <c r="C86" s="1004" t="s">
        <v>20</v>
      </c>
      <c r="D86" s="1004"/>
      <c r="E86" s="1004"/>
      <c r="F86" s="64" t="s">
        <v>22</v>
      </c>
      <c r="G86" s="277" t="s">
        <v>113</v>
      </c>
      <c r="H86" s="64" t="s">
        <v>133</v>
      </c>
      <c r="I86" s="277" t="s">
        <v>112</v>
      </c>
      <c r="J86" s="277" t="s">
        <v>114</v>
      </c>
      <c r="K86" s="66" t="s">
        <v>25</v>
      </c>
      <c r="L86" s="67"/>
    </row>
    <row r="87" spans="2:12" ht="22.5" hidden="1" customHeight="1">
      <c r="B87" s="63"/>
      <c r="C87" s="1001" t="s">
        <v>134</v>
      </c>
      <c r="D87" s="1001"/>
      <c r="E87" s="1001"/>
      <c r="F87" s="68">
        <v>8</v>
      </c>
      <c r="G87" s="68">
        <v>8.1999999999999993</v>
      </c>
      <c r="H87" s="68">
        <v>0.63</v>
      </c>
      <c r="I87" s="68"/>
      <c r="J87" s="68"/>
      <c r="K87" s="278">
        <f>TRUNC((G87*H87)*F87,2)</f>
        <v>41.32</v>
      </c>
      <c r="L87" s="67"/>
    </row>
    <row r="88" spans="2:12" hidden="1">
      <c r="B88" s="63"/>
      <c r="C88" s="1002" t="s">
        <v>116</v>
      </c>
      <c r="D88" s="1002"/>
      <c r="E88" s="1002"/>
      <c r="F88" s="1002"/>
      <c r="G88" s="1002"/>
      <c r="H88" s="1002"/>
      <c r="I88" s="1002"/>
      <c r="J88" s="1002"/>
      <c r="K88" s="66">
        <f>SUM(K87:K87)</f>
        <v>41.32</v>
      </c>
      <c r="L88" s="67"/>
    </row>
    <row r="89" spans="2:12" hidden="1"/>
    <row r="90" spans="2:12" ht="27.75" hidden="1" customHeight="1">
      <c r="B90" s="60" t="str">
        <f>'[6]PLANILHA ORÇAMENTÁRIA'!D26</f>
        <v>4.5</v>
      </c>
      <c r="C90" s="1003" t="str">
        <f>'[6]PLANILHA ORÇAMENTÁRIA'!E26</f>
        <v>CONCRETAGEM DE BLOCOS DE COROAMENTO E VIGAS BALDRAMES, FCK 30 MPA, COM USO DE BOMBA LANÇAMENTO, ADENSAMENTO E ACABAMENTO. AF_06/2017</v>
      </c>
      <c r="D90" s="1003"/>
      <c r="E90" s="1003"/>
      <c r="F90" s="1003"/>
      <c r="G90" s="1003"/>
      <c r="H90" s="1003"/>
      <c r="I90" s="1003"/>
      <c r="J90" s="1003"/>
      <c r="K90" s="61" t="str">
        <f>'[6]PLANILHA ORÇAMENTÁRIA'!F26</f>
        <v>M3</v>
      </c>
      <c r="L90" s="62">
        <f>K93</f>
        <v>1.72</v>
      </c>
    </row>
    <row r="91" spans="2:12" hidden="1">
      <c r="B91" s="63"/>
      <c r="C91" s="1004" t="s">
        <v>20</v>
      </c>
      <c r="D91" s="1004"/>
      <c r="E91" s="1004"/>
      <c r="F91" s="64" t="s">
        <v>22</v>
      </c>
      <c r="G91" s="277" t="s">
        <v>111</v>
      </c>
      <c r="H91" s="64" t="s">
        <v>112</v>
      </c>
      <c r="I91" s="277" t="s">
        <v>113</v>
      </c>
      <c r="J91" s="277" t="s">
        <v>114</v>
      </c>
      <c r="K91" s="66" t="s">
        <v>25</v>
      </c>
      <c r="L91" s="67"/>
    </row>
    <row r="92" spans="2:12" hidden="1">
      <c r="B92" s="63"/>
      <c r="C92" s="1001" t="s">
        <v>135</v>
      </c>
      <c r="D92" s="1001"/>
      <c r="E92" s="1001"/>
      <c r="F92" s="68">
        <v>8</v>
      </c>
      <c r="G92" s="68">
        <v>0.6</v>
      </c>
      <c r="H92" s="68">
        <v>0.6</v>
      </c>
      <c r="I92" s="68">
        <v>0.6</v>
      </c>
      <c r="J92" s="68"/>
      <c r="K92" s="278">
        <f>TRUNC(G92*H92*F92*I92,2)</f>
        <v>1.72</v>
      </c>
      <c r="L92" s="67"/>
    </row>
    <row r="93" spans="2:12" hidden="1">
      <c r="B93" s="63"/>
      <c r="C93" s="1002" t="s">
        <v>116</v>
      </c>
      <c r="D93" s="1002"/>
      <c r="E93" s="1002"/>
      <c r="F93" s="1002"/>
      <c r="G93" s="1002"/>
      <c r="H93" s="1002"/>
      <c r="I93" s="1002"/>
      <c r="J93" s="1002"/>
      <c r="K93" s="66">
        <f>SUM(K92:K92)</f>
        <v>1.72</v>
      </c>
      <c r="L93" s="67"/>
    </row>
    <row r="94" spans="2:12" hidden="1"/>
    <row r="95" spans="2:12" ht="15" hidden="1" customHeight="1">
      <c r="B95" s="60" t="str">
        <f>'[6]PLANILHA ORÇAMENTÁRIA'!D27</f>
        <v>4.6</v>
      </c>
      <c r="C95" s="1003" t="str">
        <f>'[6]PLANILHA ORÇAMENTÁRIA'!E27</f>
        <v>IMPERMEABILIZAÇÃO DE ESTRUTURAS ENTERRADAS, COM TINTA ASFALTICA, DUAS DEMAOS.</v>
      </c>
      <c r="D95" s="1003"/>
      <c r="E95" s="1003"/>
      <c r="F95" s="1003"/>
      <c r="G95" s="1003"/>
      <c r="H95" s="1003"/>
      <c r="I95" s="1003"/>
      <c r="J95" s="1003"/>
      <c r="K95" s="61" t="str">
        <f>'[6]PLANILHA ORÇAMENTÁRIA'!F27</f>
        <v>M2</v>
      </c>
      <c r="L95" s="62">
        <f>K98</f>
        <v>23.88</v>
      </c>
    </row>
    <row r="96" spans="2:12" hidden="1">
      <c r="B96" s="63"/>
      <c r="C96" s="1004" t="s">
        <v>20</v>
      </c>
      <c r="D96" s="1004"/>
      <c r="E96" s="1004"/>
      <c r="F96" s="64" t="s">
        <v>22</v>
      </c>
      <c r="G96" s="277" t="s">
        <v>111</v>
      </c>
      <c r="H96" s="64" t="s">
        <v>112</v>
      </c>
      <c r="I96" s="277" t="s">
        <v>113</v>
      </c>
      <c r="J96" s="277" t="s">
        <v>136</v>
      </c>
      <c r="K96" s="66" t="s">
        <v>25</v>
      </c>
      <c r="L96" s="67"/>
    </row>
    <row r="97" spans="2:12" hidden="1">
      <c r="B97" s="63"/>
      <c r="C97" s="1001"/>
      <c r="D97" s="1001"/>
      <c r="E97" s="1001"/>
      <c r="F97" s="68"/>
      <c r="G97" s="68">
        <v>0.3</v>
      </c>
      <c r="H97" s="68">
        <v>0.15</v>
      </c>
      <c r="I97" s="68">
        <v>31.85</v>
      </c>
      <c r="J97" s="68">
        <v>2</v>
      </c>
      <c r="K97" s="278">
        <f>TRUNC((G97*I97*J97)+(H97*I97),2)</f>
        <v>23.88</v>
      </c>
      <c r="L97" s="67"/>
    </row>
    <row r="98" spans="2:12" hidden="1">
      <c r="B98" s="63"/>
      <c r="C98" s="1002" t="s">
        <v>116</v>
      </c>
      <c r="D98" s="1002"/>
      <c r="E98" s="1002"/>
      <c r="F98" s="1002"/>
      <c r="G98" s="1002"/>
      <c r="H98" s="1002"/>
      <c r="I98" s="1002"/>
      <c r="J98" s="1002"/>
      <c r="K98" s="66">
        <f>SUM(K97:K97)</f>
        <v>23.88</v>
      </c>
      <c r="L98" s="67"/>
    </row>
    <row r="99" spans="2:12" hidden="1"/>
    <row r="100" spans="2:12" hidden="1">
      <c r="B100" s="58" t="str">
        <f>'[6]PLANILHA ORÇAMENTÁRIA'!D28</f>
        <v>5.0</v>
      </c>
      <c r="C100" s="1000" t="str">
        <f>'[6]PLANILHA ORÇAMENTÁRIA'!E28</f>
        <v>ESTRUTURA EM CONCRETO ARMADO</v>
      </c>
      <c r="D100" s="1000"/>
      <c r="E100" s="1000"/>
      <c r="F100" s="1000"/>
      <c r="G100" s="1000"/>
      <c r="H100" s="1000"/>
      <c r="I100" s="1000"/>
      <c r="J100" s="1000"/>
      <c r="K100" s="59"/>
      <c r="L100" s="59"/>
    </row>
    <row r="101" spans="2:12" ht="15" hidden="1" customHeight="1">
      <c r="B101" s="60" t="e">
        <f>'[6]PLANILHA ORÇAMENTÁRIA'!#REF!</f>
        <v>#REF!</v>
      </c>
      <c r="C101" s="1003" t="e">
        <f>'[6]PLANILHA ORÇAMENTÁRIA'!#REF!</f>
        <v>#REF!</v>
      </c>
      <c r="D101" s="1003"/>
      <c r="E101" s="1003"/>
      <c r="F101" s="1003"/>
      <c r="G101" s="1003"/>
      <c r="H101" s="1003"/>
      <c r="I101" s="1003"/>
      <c r="J101" s="1003"/>
      <c r="K101" s="61" t="e">
        <f>'[6]PLANILHA ORÇAMENTÁRIA'!#REF!</f>
        <v>#REF!</v>
      </c>
      <c r="L101" s="62">
        <f>K104</f>
        <v>31.85</v>
      </c>
    </row>
    <row r="102" spans="2:12" hidden="1">
      <c r="B102" s="63"/>
      <c r="C102" s="1004" t="s">
        <v>20</v>
      </c>
      <c r="D102" s="1004"/>
      <c r="E102" s="1004"/>
      <c r="F102" s="64" t="s">
        <v>22</v>
      </c>
      <c r="G102" s="277" t="s">
        <v>111</v>
      </c>
      <c r="H102" s="64" t="s">
        <v>112</v>
      </c>
      <c r="I102" s="277" t="s">
        <v>113</v>
      </c>
      <c r="J102" s="277" t="s">
        <v>114</v>
      </c>
      <c r="K102" s="66" t="s">
        <v>25</v>
      </c>
      <c r="L102" s="67"/>
    </row>
    <row r="103" spans="2:12" hidden="1">
      <c r="B103" s="63"/>
      <c r="C103" s="1001" t="s">
        <v>137</v>
      </c>
      <c r="D103" s="1001"/>
      <c r="E103" s="1001"/>
      <c r="F103" s="68">
        <v>1</v>
      </c>
      <c r="G103" s="68"/>
      <c r="H103" s="68"/>
      <c r="I103" s="68">
        <v>31.85</v>
      </c>
      <c r="J103" s="68"/>
      <c r="K103" s="278">
        <f>I103*F103</f>
        <v>31.85</v>
      </c>
      <c r="L103" s="67"/>
    </row>
    <row r="104" spans="2:12" hidden="1">
      <c r="B104" s="63"/>
      <c r="C104" s="1002" t="s">
        <v>116</v>
      </c>
      <c r="D104" s="1002"/>
      <c r="E104" s="1002"/>
      <c r="F104" s="1002"/>
      <c r="G104" s="1002"/>
      <c r="H104" s="1002"/>
      <c r="I104" s="1002"/>
      <c r="J104" s="1002"/>
      <c r="K104" s="66">
        <f>SUM(K103:K103)</f>
        <v>31.85</v>
      </c>
      <c r="L104" s="67"/>
    </row>
    <row r="105" spans="2:12" hidden="1"/>
    <row r="106" spans="2:12" ht="15" hidden="1" customHeight="1">
      <c r="B106" s="60" t="str">
        <f>'[6]PLANILHA ORÇAMENTÁRIA'!D29</f>
        <v>5.1</v>
      </c>
      <c r="C106" s="1003" t="str">
        <f>'[6]PLANILHA ORÇAMENTÁRIA'!E29</f>
        <v>FORMA PLANA PARA PILARES, EM COMPENSADO RESINADO DE 14MM, 12 USOS, INCLUSIVE ESCORAMENTO</v>
      </c>
      <c r="D106" s="1003"/>
      <c r="E106" s="1003"/>
      <c r="F106" s="1003"/>
      <c r="G106" s="1003"/>
      <c r="H106" s="1003"/>
      <c r="I106" s="1003"/>
      <c r="J106" s="1003"/>
      <c r="K106" s="61" t="str">
        <f>'[6]PLANILHA ORÇAMENTÁRIA'!F29</f>
        <v>M2</v>
      </c>
      <c r="L106" s="62">
        <f>K111</f>
        <v>26.689999999999998</v>
      </c>
    </row>
    <row r="107" spans="2:12" hidden="1">
      <c r="B107" s="63"/>
      <c r="C107" s="1004" t="s">
        <v>20</v>
      </c>
      <c r="D107" s="1004"/>
      <c r="E107" s="1004"/>
      <c r="F107" s="64" t="s">
        <v>22</v>
      </c>
      <c r="G107" s="277" t="s">
        <v>111</v>
      </c>
      <c r="H107" s="64" t="s">
        <v>112</v>
      </c>
      <c r="I107" s="277" t="s">
        <v>113</v>
      </c>
      <c r="J107" s="277" t="s">
        <v>136</v>
      </c>
      <c r="K107" s="66" t="s">
        <v>25</v>
      </c>
      <c r="L107" s="67"/>
    </row>
    <row r="108" spans="2:12" hidden="1">
      <c r="B108" s="63"/>
      <c r="C108" s="1001" t="s">
        <v>138</v>
      </c>
      <c r="D108" s="1001"/>
      <c r="E108" s="1001"/>
      <c r="F108" s="68">
        <v>4</v>
      </c>
      <c r="G108" s="68">
        <v>5.05</v>
      </c>
      <c r="H108" s="68">
        <v>0.19</v>
      </c>
      <c r="I108" s="68">
        <v>0.19</v>
      </c>
      <c r="J108" s="68">
        <v>2</v>
      </c>
      <c r="K108" s="278">
        <f>TRUNC((H108*G108*J108*F108)+(I108*G108*J108*F108),2)</f>
        <v>15.35</v>
      </c>
      <c r="L108" s="67"/>
    </row>
    <row r="109" spans="2:12" hidden="1">
      <c r="B109" s="63"/>
      <c r="C109" s="1001" t="s">
        <v>138</v>
      </c>
      <c r="D109" s="1001"/>
      <c r="E109" s="1001"/>
      <c r="F109" s="68">
        <v>2</v>
      </c>
      <c r="G109" s="68">
        <v>3.7</v>
      </c>
      <c r="H109" s="68">
        <v>0.19</v>
      </c>
      <c r="I109" s="68">
        <v>0.19</v>
      </c>
      <c r="J109" s="68">
        <v>2</v>
      </c>
      <c r="K109" s="278">
        <f>TRUNC((H109*G109*J109*F109)+(I109*G109*J109*F109),2)</f>
        <v>5.62</v>
      </c>
      <c r="L109" s="67"/>
    </row>
    <row r="110" spans="2:12" hidden="1">
      <c r="B110" s="63"/>
      <c r="C110" s="1001" t="s">
        <v>139</v>
      </c>
      <c r="D110" s="1001"/>
      <c r="E110" s="1001"/>
      <c r="F110" s="68">
        <v>2</v>
      </c>
      <c r="G110" s="68">
        <v>2.6</v>
      </c>
      <c r="H110" s="68">
        <v>0.15</v>
      </c>
      <c r="I110" s="68">
        <v>0.4</v>
      </c>
      <c r="J110" s="68">
        <v>2</v>
      </c>
      <c r="K110" s="278">
        <f>TRUNC((H110*G110*J110*F110)+(I110*G110*J110*F110),2)</f>
        <v>5.72</v>
      </c>
      <c r="L110" s="67"/>
    </row>
    <row r="111" spans="2:12" hidden="1">
      <c r="B111" s="63"/>
      <c r="C111" s="1002" t="s">
        <v>116</v>
      </c>
      <c r="D111" s="1002"/>
      <c r="E111" s="1002"/>
      <c r="F111" s="1002"/>
      <c r="G111" s="1002"/>
      <c r="H111" s="1002"/>
      <c r="I111" s="1002"/>
      <c r="J111" s="1002"/>
      <c r="K111" s="66">
        <f>SUM(K108:K110)</f>
        <v>26.689999999999998</v>
      </c>
      <c r="L111" s="67"/>
    </row>
    <row r="112" spans="2:12" hidden="1"/>
    <row r="113" spans="2:12" ht="23.25" hidden="1" customHeight="1">
      <c r="B113" s="60" t="str">
        <f>'[6]PLANILHA ORÇAMENTÁRIA'!D30</f>
        <v>5.2</v>
      </c>
      <c r="C113" s="1003" t="str">
        <f>'[6]PLANILHA ORÇAMENTÁRIA'!E30</f>
        <v>ARMAÇÃO DE PILAR OU VIGA DE UMA ESTRUTURA CONVENCIONAL DE CONCRETO ARMADO EM UMA EDIFICAÇÃO TÉRREA OU SOBRADO UTILIZANDO AÇO CA-50 DE 10,0 MM - MONTAGEM. AF_12/2015</v>
      </c>
      <c r="D113" s="1003"/>
      <c r="E113" s="1003"/>
      <c r="F113" s="1003"/>
      <c r="G113" s="1003"/>
      <c r="H113" s="1003"/>
      <c r="I113" s="1003"/>
      <c r="J113" s="1003"/>
      <c r="K113" s="61" t="str">
        <f>'[6]PLANILHA ORÇAMENTÁRIA'!F30</f>
        <v>KG</v>
      </c>
      <c r="L113" s="62">
        <f>K120</f>
        <v>262.81</v>
      </c>
    </row>
    <row r="114" spans="2:12" hidden="1">
      <c r="B114" s="63"/>
      <c r="C114" s="1004" t="s">
        <v>20</v>
      </c>
      <c r="D114" s="1004"/>
      <c r="E114" s="1004"/>
      <c r="F114" s="64" t="s">
        <v>22</v>
      </c>
      <c r="G114" s="277" t="s">
        <v>113</v>
      </c>
      <c r="H114" s="64" t="s">
        <v>133</v>
      </c>
      <c r="I114" s="277" t="s">
        <v>112</v>
      </c>
      <c r="J114" s="277" t="s">
        <v>114</v>
      </c>
      <c r="K114" s="66" t="s">
        <v>25</v>
      </c>
      <c r="L114" s="67"/>
    </row>
    <row r="115" spans="2:12" hidden="1">
      <c r="B115" s="63"/>
      <c r="C115" s="1001" t="s">
        <v>140</v>
      </c>
      <c r="D115" s="1001"/>
      <c r="E115" s="1001"/>
      <c r="F115" s="68">
        <v>4</v>
      </c>
      <c r="G115" s="68">
        <f>5.05*4</f>
        <v>20.2</v>
      </c>
      <c r="H115" s="68">
        <v>0.63</v>
      </c>
      <c r="I115" s="68"/>
      <c r="J115" s="68"/>
      <c r="K115" s="278">
        <f>TRUNC((G115*F115)*H115,2)</f>
        <v>50.9</v>
      </c>
      <c r="L115" s="67"/>
    </row>
    <row r="116" spans="2:12" hidden="1">
      <c r="B116" s="63"/>
      <c r="C116" s="1001" t="s">
        <v>140</v>
      </c>
      <c r="D116" s="1001"/>
      <c r="E116" s="1001"/>
      <c r="F116" s="68">
        <v>2</v>
      </c>
      <c r="G116" s="68">
        <f>3.7*4</f>
        <v>14.8</v>
      </c>
      <c r="H116" s="68">
        <v>0.63</v>
      </c>
      <c r="I116" s="68"/>
      <c r="J116" s="68"/>
      <c r="K116" s="278">
        <f>TRUNC((G116*F116)*H116,2)</f>
        <v>18.64</v>
      </c>
      <c r="L116" s="67"/>
    </row>
    <row r="117" spans="2:12" hidden="1">
      <c r="B117" s="63"/>
      <c r="C117" s="1001" t="s">
        <v>141</v>
      </c>
      <c r="D117" s="1001"/>
      <c r="E117" s="1001"/>
      <c r="F117" s="68">
        <v>2</v>
      </c>
      <c r="G117" s="68">
        <f>2.6*6</f>
        <v>15.600000000000001</v>
      </c>
      <c r="H117" s="68">
        <v>0.63</v>
      </c>
      <c r="I117" s="68"/>
      <c r="J117" s="68"/>
      <c r="K117" s="278">
        <f>TRUNC((G117*F117)*H117,2)</f>
        <v>19.649999999999999</v>
      </c>
      <c r="L117" s="67"/>
    </row>
    <row r="118" spans="2:12" hidden="1">
      <c r="B118" s="63"/>
      <c r="C118" s="1001" t="s">
        <v>142</v>
      </c>
      <c r="D118" s="1001"/>
      <c r="E118" s="1001"/>
      <c r="F118" s="68">
        <v>2</v>
      </c>
      <c r="G118" s="68">
        <f>25.8*4</f>
        <v>103.2</v>
      </c>
      <c r="H118" s="68">
        <v>0.63</v>
      </c>
      <c r="I118" s="68"/>
      <c r="J118" s="68"/>
      <c r="K118" s="278">
        <f>TRUNC((G118*F118)*H118,2)</f>
        <v>130.03</v>
      </c>
      <c r="L118" s="67"/>
    </row>
    <row r="119" spans="2:12" hidden="1">
      <c r="B119" s="63"/>
      <c r="C119" s="1001" t="s">
        <v>142</v>
      </c>
      <c r="D119" s="1001"/>
      <c r="E119" s="1001"/>
      <c r="F119" s="68">
        <v>1</v>
      </c>
      <c r="G119" s="68">
        <f>17.3*4</f>
        <v>69.2</v>
      </c>
      <c r="H119" s="68">
        <v>0.63</v>
      </c>
      <c r="I119" s="68"/>
      <c r="J119" s="68"/>
      <c r="K119" s="278">
        <f>TRUNC((G119*F119)*H119,2)</f>
        <v>43.59</v>
      </c>
      <c r="L119" s="67"/>
    </row>
    <row r="120" spans="2:12" hidden="1">
      <c r="B120" s="63"/>
      <c r="C120" s="1002" t="s">
        <v>116</v>
      </c>
      <c r="D120" s="1002"/>
      <c r="E120" s="1002"/>
      <c r="F120" s="1002"/>
      <c r="G120" s="1002"/>
      <c r="H120" s="1002"/>
      <c r="I120" s="1002"/>
      <c r="J120" s="1002"/>
      <c r="K120" s="66">
        <f>SUM(K115:K119)</f>
        <v>262.81</v>
      </c>
      <c r="L120" s="67"/>
    </row>
    <row r="121" spans="2:12" hidden="1"/>
    <row r="122" spans="2:12" ht="27" hidden="1" customHeight="1">
      <c r="B122" s="60" t="str">
        <f>'[6]PLANILHA ORÇAMENTÁRIA'!D31</f>
        <v>5.3</v>
      </c>
      <c r="C122" s="1003" t="str">
        <f>'[6]PLANILHA ORÇAMENTÁRIA'!E31</f>
        <v>ARMAÇÃO DE PILAR OU VIGA DE UMA ESTRUTURA CONVENCIONAL DE CONCRETO ARMADO EM UMA EDIFICAÇÃO TÉRREA OU SOBRADO UTILIZANDO AÇO CA-60 DE 5,0 MM - MONTAGEM. AF_12/2015</v>
      </c>
      <c r="D122" s="1003"/>
      <c r="E122" s="1003"/>
      <c r="F122" s="1003"/>
      <c r="G122" s="1003"/>
      <c r="H122" s="1003"/>
      <c r="I122" s="1003"/>
      <c r="J122" s="1003"/>
      <c r="K122" s="61" t="str">
        <f>'[6]PLANILHA ORÇAMENTÁRIA'!F31</f>
        <v>KG</v>
      </c>
      <c r="L122" s="62">
        <f>K129</f>
        <v>67.75</v>
      </c>
    </row>
    <row r="123" spans="2:12" hidden="1">
      <c r="B123" s="63"/>
      <c r="C123" s="1004" t="s">
        <v>20</v>
      </c>
      <c r="D123" s="1004"/>
      <c r="E123" s="1004"/>
      <c r="F123" s="64" t="s">
        <v>22</v>
      </c>
      <c r="G123" s="277" t="s">
        <v>113</v>
      </c>
      <c r="H123" s="64" t="s">
        <v>143</v>
      </c>
      <c r="I123" s="64" t="s">
        <v>144</v>
      </c>
      <c r="J123" s="64" t="s">
        <v>133</v>
      </c>
      <c r="K123" s="66" t="s">
        <v>25</v>
      </c>
      <c r="L123" s="67"/>
    </row>
    <row r="124" spans="2:12" hidden="1">
      <c r="B124" s="63"/>
      <c r="C124" s="1001" t="s">
        <v>145</v>
      </c>
      <c r="D124" s="1001"/>
      <c r="E124" s="1001"/>
      <c r="F124" s="68">
        <v>4</v>
      </c>
      <c r="G124" s="68">
        <f>0.13+0.13+0.13+0.13+0.16</f>
        <v>0.68</v>
      </c>
      <c r="H124" s="68">
        <f>TRUNC(G108/0.2,2)</f>
        <v>25.25</v>
      </c>
      <c r="I124" s="68">
        <f>TRUNC(G124*H124,2)</f>
        <v>17.170000000000002</v>
      </c>
      <c r="J124" s="68">
        <v>0.16</v>
      </c>
      <c r="K124" s="278">
        <f>TRUNC((I124*G124*J124)*F124,2)</f>
        <v>7.47</v>
      </c>
      <c r="L124" s="67"/>
    </row>
    <row r="125" spans="2:12" hidden="1">
      <c r="B125" s="63"/>
      <c r="C125" s="1001" t="s">
        <v>145</v>
      </c>
      <c r="D125" s="1001"/>
      <c r="E125" s="1001"/>
      <c r="F125" s="68">
        <v>2</v>
      </c>
      <c r="G125" s="68">
        <f>0.13+0.13+0.13+0.13+0.16</f>
        <v>0.68</v>
      </c>
      <c r="H125" s="68">
        <f>TRUNC(G109/0.2,2)</f>
        <v>18.5</v>
      </c>
      <c r="I125" s="68">
        <f>TRUNC(G125*H125,2)</f>
        <v>12.58</v>
      </c>
      <c r="J125" s="68">
        <v>0.16</v>
      </c>
      <c r="K125" s="278">
        <f>TRUNC((I125*G125*J125)*F125,2)</f>
        <v>2.73</v>
      </c>
      <c r="L125" s="67"/>
    </row>
    <row r="126" spans="2:12" hidden="1">
      <c r="B126" s="63"/>
      <c r="C126" s="1001" t="s">
        <v>146</v>
      </c>
      <c r="D126" s="1001"/>
      <c r="E126" s="1001"/>
      <c r="F126" s="68">
        <v>2</v>
      </c>
      <c r="G126" s="68">
        <f>0.9+0.9+0.34+0.34+0.16</f>
        <v>2.64</v>
      </c>
      <c r="H126" s="68">
        <f>TRUNC(G110/0.2,2)</f>
        <v>13</v>
      </c>
      <c r="I126" s="68">
        <f>TRUNC(G126*H126,2)</f>
        <v>34.32</v>
      </c>
      <c r="J126" s="68">
        <v>0.16</v>
      </c>
      <c r="K126" s="278">
        <f>TRUNC((I126*G126*J126)*F126,2)</f>
        <v>28.99</v>
      </c>
      <c r="L126" s="67"/>
    </row>
    <row r="127" spans="2:12" hidden="1">
      <c r="B127" s="63"/>
      <c r="C127" s="1001" t="s">
        <v>147</v>
      </c>
      <c r="D127" s="1001"/>
      <c r="E127" s="1001"/>
      <c r="F127" s="68">
        <v>2</v>
      </c>
      <c r="G127" s="68">
        <f>0.09+0.09+0.19+0.19+0.16</f>
        <v>0.72000000000000008</v>
      </c>
      <c r="H127" s="68">
        <f>TRUNC(I140/0.2,2)</f>
        <v>129</v>
      </c>
      <c r="I127" s="68">
        <f>TRUNC(G127*H127,2)</f>
        <v>92.88</v>
      </c>
      <c r="J127" s="68">
        <v>0.16</v>
      </c>
      <c r="K127" s="278">
        <f>TRUNC((I127*G127*J127)*F127,2)</f>
        <v>21.39</v>
      </c>
      <c r="L127" s="67"/>
    </row>
    <row r="128" spans="2:12" hidden="1">
      <c r="B128" s="63"/>
      <c r="C128" s="1001" t="s">
        <v>147</v>
      </c>
      <c r="D128" s="1001"/>
      <c r="E128" s="1001"/>
      <c r="F128" s="68">
        <v>1</v>
      </c>
      <c r="G128" s="68">
        <f>0.09+0.09+0.19+0.19+0.16</f>
        <v>0.72000000000000008</v>
      </c>
      <c r="H128" s="68">
        <f>TRUNC(I141/0.2,2)</f>
        <v>86.5</v>
      </c>
      <c r="I128" s="68">
        <f>TRUNC(G128*H128,2)</f>
        <v>62.28</v>
      </c>
      <c r="J128" s="68">
        <v>0.16</v>
      </c>
      <c r="K128" s="278">
        <f>TRUNC((I128*G128*J128)*F128,2)</f>
        <v>7.17</v>
      </c>
      <c r="L128" s="67"/>
    </row>
    <row r="129" spans="2:12" hidden="1">
      <c r="B129" s="63"/>
      <c r="C129" s="1002" t="s">
        <v>116</v>
      </c>
      <c r="D129" s="1002"/>
      <c r="E129" s="1002"/>
      <c r="F129" s="1002"/>
      <c r="G129" s="1002"/>
      <c r="H129" s="1002"/>
      <c r="I129" s="1002"/>
      <c r="J129" s="1002"/>
      <c r="K129" s="66">
        <f>SUM(K124:K128)</f>
        <v>67.75</v>
      </c>
      <c r="L129" s="67"/>
    </row>
    <row r="130" spans="2:12" hidden="1">
      <c r="B130" s="63"/>
      <c r="C130" s="71"/>
      <c r="D130" s="71"/>
      <c r="E130" s="71"/>
      <c r="F130" s="71"/>
      <c r="G130" s="71"/>
      <c r="H130" s="71"/>
      <c r="I130" s="71"/>
      <c r="J130" s="71"/>
      <c r="K130" s="73"/>
      <c r="L130" s="67"/>
    </row>
    <row r="131" spans="2:12" ht="24.75" hidden="1" customHeight="1">
      <c r="B131" s="60" t="str">
        <f>'[6]PLANILHA ORÇAMENTÁRIA'!D32</f>
        <v>5.4</v>
      </c>
      <c r="C131" s="1003" t="str">
        <f>'[6]PLANILHA ORÇAMENTÁRIA'!E32</f>
        <v>CONCRETAGEM DE PILARES, FCK = 25 MPA, COM USO DE GRUA EM EDIFICAÇÃO COM SEÇÃO MÉDIA DE PILARES MAIOR QUE 0,25 M² - LANÇAMENTO, ADENSAMENTO E ACABAMENTO. AF_12/2015</v>
      </c>
      <c r="D131" s="1003"/>
      <c r="E131" s="1003"/>
      <c r="F131" s="1003"/>
      <c r="G131" s="1003"/>
      <c r="H131" s="1003"/>
      <c r="I131" s="1003"/>
      <c r="J131" s="1003"/>
      <c r="K131" s="61" t="str">
        <f>'[6]PLANILHA ORÇAMENTÁRIA'!F32</f>
        <v>M3</v>
      </c>
      <c r="L131" s="62">
        <f>K136</f>
        <v>1.29</v>
      </c>
    </row>
    <row r="132" spans="2:12" hidden="1">
      <c r="B132" s="63"/>
      <c r="C132" s="1004" t="s">
        <v>20</v>
      </c>
      <c r="D132" s="1004"/>
      <c r="E132" s="1004"/>
      <c r="F132" s="64" t="s">
        <v>22</v>
      </c>
      <c r="G132" s="277" t="s">
        <v>111</v>
      </c>
      <c r="H132" s="64" t="s">
        <v>112</v>
      </c>
      <c r="I132" s="277" t="s">
        <v>113</v>
      </c>
      <c r="J132" s="277" t="s">
        <v>114</v>
      </c>
      <c r="K132" s="66" t="s">
        <v>25</v>
      </c>
      <c r="L132" s="67"/>
    </row>
    <row r="133" spans="2:12" hidden="1">
      <c r="B133" s="63"/>
      <c r="C133" s="1001" t="s">
        <v>138</v>
      </c>
      <c r="D133" s="1001"/>
      <c r="E133" s="1001"/>
      <c r="F133" s="68">
        <v>4</v>
      </c>
      <c r="G133" s="68">
        <v>5.05</v>
      </c>
      <c r="H133" s="68">
        <v>0.19</v>
      </c>
      <c r="I133" s="68">
        <v>0.19</v>
      </c>
      <c r="J133" s="68"/>
      <c r="K133" s="278">
        <f>TRUNC(H133*I133*G133*F133,2)</f>
        <v>0.72</v>
      </c>
      <c r="L133" s="67"/>
    </row>
    <row r="134" spans="2:12" hidden="1">
      <c r="B134" s="63"/>
      <c r="C134" s="1001" t="s">
        <v>138</v>
      </c>
      <c r="D134" s="1001"/>
      <c r="E134" s="1001"/>
      <c r="F134" s="68">
        <v>2</v>
      </c>
      <c r="G134" s="68">
        <v>3.7</v>
      </c>
      <c r="H134" s="68">
        <v>0.19</v>
      </c>
      <c r="I134" s="68">
        <v>0.19</v>
      </c>
      <c r="J134" s="68"/>
      <c r="K134" s="278">
        <f>TRUNC(H134*I134*G134*F134,2)</f>
        <v>0.26</v>
      </c>
      <c r="L134" s="67"/>
    </row>
    <row r="135" spans="2:12" hidden="1">
      <c r="B135" s="63"/>
      <c r="C135" s="1001" t="s">
        <v>139</v>
      </c>
      <c r="D135" s="1001"/>
      <c r="E135" s="1001"/>
      <c r="F135" s="68">
        <v>2</v>
      </c>
      <c r="G135" s="68">
        <v>2.6</v>
      </c>
      <c r="H135" s="68">
        <v>0.15</v>
      </c>
      <c r="I135" s="68">
        <v>0.4</v>
      </c>
      <c r="J135" s="68"/>
      <c r="K135" s="278">
        <f>TRUNC(H135*I135*G135*F135,2)</f>
        <v>0.31</v>
      </c>
      <c r="L135" s="67"/>
    </row>
    <row r="136" spans="2:12" hidden="1">
      <c r="B136" s="63"/>
      <c r="C136" s="1002" t="s">
        <v>116</v>
      </c>
      <c r="D136" s="1002"/>
      <c r="E136" s="1002"/>
      <c r="F136" s="1002"/>
      <c r="G136" s="1002"/>
      <c r="H136" s="1002"/>
      <c r="I136" s="1002"/>
      <c r="J136" s="1002"/>
      <c r="K136" s="66">
        <f>SUM(K133:K135)</f>
        <v>1.29</v>
      </c>
      <c r="L136" s="67"/>
    </row>
    <row r="137" spans="2:12" hidden="1"/>
    <row r="138" spans="2:12" ht="15" hidden="1" customHeight="1">
      <c r="B138" s="60" t="str">
        <f>'[6]PLANILHA ORÇAMENTÁRIA'!D33</f>
        <v>5.5</v>
      </c>
      <c r="C138" s="1003" t="str">
        <f>'[6]PLANILHA ORÇAMENTÁRIA'!E33</f>
        <v>FORMA PLANA PARA VIGAS, EM COMPENSADO RESINADO DE 14MM, 12 USOS, INCLUSIVE ESCORAMENTO</v>
      </c>
      <c r="D138" s="1003"/>
      <c r="E138" s="1003"/>
      <c r="F138" s="1003"/>
      <c r="G138" s="1003"/>
      <c r="H138" s="1003"/>
      <c r="I138" s="1003"/>
      <c r="J138" s="1003"/>
      <c r="K138" s="61" t="str">
        <f>'[6]PLANILHA ORÇAMENTÁRIA'!F33</f>
        <v>M2</v>
      </c>
      <c r="L138" s="62">
        <f>K142</f>
        <v>16.77</v>
      </c>
    </row>
    <row r="139" spans="2:12" hidden="1">
      <c r="B139" s="63"/>
      <c r="C139" s="1004" t="s">
        <v>20</v>
      </c>
      <c r="D139" s="1004"/>
      <c r="E139" s="1004"/>
      <c r="F139" s="64" t="s">
        <v>22</v>
      </c>
      <c r="G139" s="277" t="s">
        <v>111</v>
      </c>
      <c r="H139" s="64" t="s">
        <v>112</v>
      </c>
      <c r="I139" s="277" t="s">
        <v>113</v>
      </c>
      <c r="J139" s="277" t="s">
        <v>148</v>
      </c>
      <c r="K139" s="66" t="s">
        <v>25</v>
      </c>
      <c r="L139" s="67"/>
    </row>
    <row r="140" spans="2:12" hidden="1">
      <c r="B140" s="63"/>
      <c r="C140" s="1001" t="s">
        <v>149</v>
      </c>
      <c r="D140" s="1001"/>
      <c r="E140" s="1001"/>
      <c r="F140" s="68">
        <v>2</v>
      </c>
      <c r="G140" s="68">
        <v>0.25</v>
      </c>
      <c r="H140" s="68">
        <v>0.15</v>
      </c>
      <c r="I140" s="68">
        <v>25.8</v>
      </c>
      <c r="J140" s="68">
        <v>2</v>
      </c>
      <c r="K140" s="278">
        <f>TRUNC((G140*I140*J140)+(H140*I140),2)</f>
        <v>16.77</v>
      </c>
      <c r="L140" s="67"/>
    </row>
    <row r="141" spans="2:12" hidden="1">
      <c r="B141" s="63"/>
      <c r="C141" s="1001" t="s">
        <v>149</v>
      </c>
      <c r="D141" s="1001"/>
      <c r="E141" s="1001"/>
      <c r="F141" s="68">
        <v>1</v>
      </c>
      <c r="G141" s="68">
        <v>0.25</v>
      </c>
      <c r="H141" s="68">
        <v>0.15</v>
      </c>
      <c r="I141" s="68">
        <v>17.3</v>
      </c>
      <c r="J141" s="68">
        <v>2</v>
      </c>
      <c r="K141" s="278">
        <f>TRUNC((G141*I141*J141)+(H141*I141),2)</f>
        <v>11.24</v>
      </c>
      <c r="L141" s="67"/>
    </row>
    <row r="142" spans="2:12" hidden="1">
      <c r="B142" s="63"/>
      <c r="C142" s="1002" t="s">
        <v>116</v>
      </c>
      <c r="D142" s="1002"/>
      <c r="E142" s="1002"/>
      <c r="F142" s="1002"/>
      <c r="G142" s="1002"/>
      <c r="H142" s="1002"/>
      <c r="I142" s="1002"/>
      <c r="J142" s="1002"/>
      <c r="K142" s="66">
        <f>SUM(K140:K140)</f>
        <v>16.77</v>
      </c>
      <c r="L142" s="67"/>
    </row>
    <row r="143" spans="2:12" hidden="1"/>
    <row r="144" spans="2:12" ht="25.5" hidden="1" customHeight="1">
      <c r="B144" s="60" t="str">
        <f>'[6]PLANILHA ORÇAMENTÁRIA'!D34</f>
        <v>5.6</v>
      </c>
      <c r="C144" s="1003" t="str">
        <f>'[6]PLANILHA ORÇAMENTÁRIA'!E34</f>
        <v>CONCRETAGEM DE VIGAS E LAJES, FCK=20 MPA, PARA LAJES MACIÇAS OU NERVURADAS COM GRUA DE CAÇAMBA DE 500 L EM EDIFICAÇÃO DE MULTIPAVIMENTOS ATÉ 16 ANDARES, COM ÁREA MÉDIA DE LAJES MAIOR QUE 20 M² - LANÇAMENTO, ADENSAMENTO E ACABAMENTO. AF_12/2015</v>
      </c>
      <c r="D144" s="1003"/>
      <c r="E144" s="1003"/>
      <c r="F144" s="1003"/>
      <c r="G144" s="1003"/>
      <c r="H144" s="1003"/>
      <c r="I144" s="1003"/>
      <c r="J144" s="1003"/>
      <c r="K144" s="61" t="str">
        <f>'[6]PLANILHA ORÇAMENTÁRIA'!F34</f>
        <v>M3</v>
      </c>
      <c r="L144" s="62">
        <f>K148</f>
        <v>2.57</v>
      </c>
    </row>
    <row r="145" spans="2:12" hidden="1">
      <c r="B145" s="63"/>
      <c r="C145" s="1004" t="s">
        <v>20</v>
      </c>
      <c r="D145" s="1004"/>
      <c r="E145" s="1004"/>
      <c r="F145" s="64" t="s">
        <v>22</v>
      </c>
      <c r="G145" s="277" t="s">
        <v>111</v>
      </c>
      <c r="H145" s="64" t="s">
        <v>112</v>
      </c>
      <c r="I145" s="277" t="s">
        <v>113</v>
      </c>
      <c r="J145" s="277" t="s">
        <v>114</v>
      </c>
      <c r="K145" s="66" t="s">
        <v>25</v>
      </c>
      <c r="L145" s="67"/>
    </row>
    <row r="146" spans="2:12" hidden="1">
      <c r="B146" s="63"/>
      <c r="C146" s="1001" t="s">
        <v>149</v>
      </c>
      <c r="D146" s="1001"/>
      <c r="E146" s="1001"/>
      <c r="F146" s="68">
        <v>2</v>
      </c>
      <c r="G146" s="68">
        <v>0.25</v>
      </c>
      <c r="H146" s="68">
        <v>0.15</v>
      </c>
      <c r="I146" s="68">
        <v>25.8</v>
      </c>
      <c r="J146" s="68"/>
      <c r="K146" s="278">
        <f>TRUNC(G146*H146*I146*F146,2)</f>
        <v>1.93</v>
      </c>
      <c r="L146" s="67"/>
    </row>
    <row r="147" spans="2:12" hidden="1">
      <c r="B147" s="63"/>
      <c r="C147" s="1001" t="s">
        <v>149</v>
      </c>
      <c r="D147" s="1001"/>
      <c r="E147" s="1001"/>
      <c r="F147" s="68">
        <v>1</v>
      </c>
      <c r="G147" s="68">
        <v>0.25</v>
      </c>
      <c r="H147" s="68">
        <v>0.15</v>
      </c>
      <c r="I147" s="68">
        <v>17.3</v>
      </c>
      <c r="J147" s="68"/>
      <c r="K147" s="278">
        <f>TRUNC(G147*H147*I147*F147,2)</f>
        <v>0.64</v>
      </c>
      <c r="L147" s="67"/>
    </row>
    <row r="148" spans="2:12" hidden="1">
      <c r="B148" s="63"/>
      <c r="C148" s="1002" t="s">
        <v>116</v>
      </c>
      <c r="D148" s="1002"/>
      <c r="E148" s="1002"/>
      <c r="F148" s="1002"/>
      <c r="G148" s="1002"/>
      <c r="H148" s="1002"/>
      <c r="I148" s="1002"/>
      <c r="J148" s="1002"/>
      <c r="K148" s="66">
        <f>SUM(K146:K147)</f>
        <v>2.57</v>
      </c>
      <c r="L148" s="67"/>
    </row>
    <row r="149" spans="2:12" hidden="1"/>
    <row r="150" spans="2:12" ht="29.25" hidden="1" customHeight="1">
      <c r="B150" s="60" t="str">
        <f>'[6]PLANILHA ORÇAMENTÁRIA'!D35</f>
        <v>5.7</v>
      </c>
      <c r="C150" s="1003" t="str">
        <f>'[6]PLANILHA ORÇAMENTÁRIA'!E35</f>
        <v>LAJE PRE-MOLDADA P/FORRO, SOBRECARGA 100KG/M2, VAOS ATE 3,50M/E=8CM, C/LAJOTAS E CAP.C/CONC FCK=20MPA, 3CM, INTER-EIXO 38CM, C/ESCORAMENTO (REAPR.3X) E FERRAGEM NEGATIVA</v>
      </c>
      <c r="D150" s="1003"/>
      <c r="E150" s="1003"/>
      <c r="F150" s="1003"/>
      <c r="G150" s="1003"/>
      <c r="H150" s="1003"/>
      <c r="I150" s="1003"/>
      <c r="J150" s="1003"/>
      <c r="K150" s="61" t="str">
        <f>'[6]PLANILHA ORÇAMENTÁRIA'!F35</f>
        <v>M2</v>
      </c>
      <c r="L150" s="62">
        <f>K154</f>
        <v>74.02</v>
      </c>
    </row>
    <row r="151" spans="2:12" hidden="1">
      <c r="B151" s="63"/>
      <c r="C151" s="1004" t="s">
        <v>20</v>
      </c>
      <c r="D151" s="1004"/>
      <c r="E151" s="1004"/>
      <c r="F151" s="64" t="s">
        <v>22</v>
      </c>
      <c r="G151" s="277" t="s">
        <v>111</v>
      </c>
      <c r="H151" s="64" t="s">
        <v>112</v>
      </c>
      <c r="I151" s="277" t="s">
        <v>113</v>
      </c>
      <c r="J151" s="277" t="s">
        <v>114</v>
      </c>
      <c r="K151" s="66" t="s">
        <v>25</v>
      </c>
      <c r="L151" s="67"/>
    </row>
    <row r="152" spans="2:12" hidden="1">
      <c r="B152" s="63"/>
      <c r="C152" s="1001" t="s">
        <v>150</v>
      </c>
      <c r="D152" s="1001"/>
      <c r="E152" s="1001"/>
      <c r="F152" s="68">
        <v>2</v>
      </c>
      <c r="G152" s="68"/>
      <c r="H152" s="68">
        <v>4.5</v>
      </c>
      <c r="I152" s="68">
        <v>6</v>
      </c>
      <c r="J152" s="68"/>
      <c r="K152" s="278">
        <f>TRUNC(H152*I152*F152,2)</f>
        <v>54</v>
      </c>
      <c r="L152" s="67"/>
    </row>
    <row r="153" spans="2:12" hidden="1">
      <c r="B153" s="63"/>
      <c r="C153" s="1001" t="s">
        <v>151</v>
      </c>
      <c r="D153" s="1001"/>
      <c r="E153" s="1001"/>
      <c r="F153" s="68">
        <v>1</v>
      </c>
      <c r="G153" s="68"/>
      <c r="H153" s="68">
        <v>4.45</v>
      </c>
      <c r="I153" s="68">
        <v>4.5</v>
      </c>
      <c r="J153" s="68"/>
      <c r="K153" s="278">
        <f>TRUNC(H153*I153*F153,2)</f>
        <v>20.02</v>
      </c>
      <c r="L153" s="67"/>
    </row>
    <row r="154" spans="2:12" hidden="1">
      <c r="B154" s="63"/>
      <c r="C154" s="1002" t="s">
        <v>116</v>
      </c>
      <c r="D154" s="1002"/>
      <c r="E154" s="1002"/>
      <c r="F154" s="1002"/>
      <c r="G154" s="1002"/>
      <c r="H154" s="1002"/>
      <c r="I154" s="1002"/>
      <c r="J154" s="1002"/>
      <c r="K154" s="66">
        <f>SUM(K152:K153)</f>
        <v>74.02</v>
      </c>
      <c r="L154" s="67"/>
    </row>
    <row r="155" spans="2:12" hidden="1"/>
    <row r="156" spans="2:12" ht="22.5" hidden="1" customHeight="1">
      <c r="B156" s="60" t="str">
        <f>'[6]PLANILHA ORÇAMENTÁRIA'!D36</f>
        <v>5.8</v>
      </c>
      <c r="C156" s="1003" t="str">
        <f>'[6]PLANILHA ORÇAMENTÁRIA'!E36</f>
        <v>IMPERMEABILIZAÇÃO DE PISO COM ARGAMASSA DE CIMENTO E AREIA, COM ADITIVO IMPERMEABILIZANTE, E = 2CM. AF_06/2018</v>
      </c>
      <c r="D156" s="1003"/>
      <c r="E156" s="1003"/>
      <c r="F156" s="1003"/>
      <c r="G156" s="1003"/>
      <c r="H156" s="1003"/>
      <c r="I156" s="1003"/>
      <c r="J156" s="1003"/>
      <c r="K156" s="61" t="str">
        <f>'[6]PLANILHA ORÇAMENTÁRIA'!F36</f>
        <v>M2</v>
      </c>
      <c r="L156" s="62">
        <f>K159</f>
        <v>27</v>
      </c>
    </row>
    <row r="157" spans="2:12" hidden="1">
      <c r="B157" s="63"/>
      <c r="C157" s="1004" t="s">
        <v>20</v>
      </c>
      <c r="D157" s="1004"/>
      <c r="E157" s="1004"/>
      <c r="F157" s="64" t="s">
        <v>22</v>
      </c>
      <c r="G157" s="277" t="s">
        <v>111</v>
      </c>
      <c r="H157" s="64" t="s">
        <v>112</v>
      </c>
      <c r="I157" s="277" t="s">
        <v>113</v>
      </c>
      <c r="J157" s="277" t="s">
        <v>114</v>
      </c>
      <c r="K157" s="66" t="s">
        <v>25</v>
      </c>
      <c r="L157" s="67"/>
    </row>
    <row r="158" spans="2:12" hidden="1">
      <c r="B158" s="63"/>
      <c r="C158" s="1001" t="s">
        <v>152</v>
      </c>
      <c r="D158" s="1001"/>
      <c r="E158" s="1001"/>
      <c r="F158" s="68">
        <v>1</v>
      </c>
      <c r="G158" s="68"/>
      <c r="H158" s="68">
        <v>4.5</v>
      </c>
      <c r="I158" s="68">
        <v>6</v>
      </c>
      <c r="J158" s="68"/>
      <c r="K158" s="278">
        <f>TRUNC(H158*I158*F158,2)</f>
        <v>27</v>
      </c>
      <c r="L158" s="67"/>
    </row>
    <row r="159" spans="2:12" hidden="1">
      <c r="B159" s="63"/>
      <c r="C159" s="1002" t="s">
        <v>116</v>
      </c>
      <c r="D159" s="1002"/>
      <c r="E159" s="1002"/>
      <c r="F159" s="1002"/>
      <c r="G159" s="1002"/>
      <c r="H159" s="1002"/>
      <c r="I159" s="1002"/>
      <c r="J159" s="1002"/>
      <c r="K159" s="66">
        <f>SUM(K158:K158)</f>
        <v>27</v>
      </c>
      <c r="L159" s="67"/>
    </row>
    <row r="160" spans="2:12" hidden="1"/>
    <row r="161" spans="2:12" ht="20.25" hidden="1" customHeight="1">
      <c r="B161" s="60" t="str">
        <f>'[6]PLANILHA ORÇAMENTÁRIA'!D37</f>
        <v>5.9</v>
      </c>
      <c r="C161" s="1003" t="str">
        <f>'[6]PLANILHA ORÇAMENTÁRIA'!E37</f>
        <v>TAMPA DE CONCRETO ARMADO 60X60X5CM PARA CAIXA</v>
      </c>
      <c r="D161" s="1003"/>
      <c r="E161" s="1003"/>
      <c r="F161" s="1003"/>
      <c r="G161" s="1003"/>
      <c r="H161" s="1003"/>
      <c r="I161" s="1003"/>
      <c r="J161" s="1003"/>
      <c r="K161" s="61" t="str">
        <f>'[6]PLANILHA ORÇAMENTÁRIA'!F37</f>
        <v>UND</v>
      </c>
      <c r="L161" s="62">
        <f>K164</f>
        <v>1</v>
      </c>
    </row>
    <row r="162" spans="2:12" hidden="1">
      <c r="B162" s="63"/>
      <c r="C162" s="1004" t="s">
        <v>20</v>
      </c>
      <c r="D162" s="1004"/>
      <c r="E162" s="1004"/>
      <c r="F162" s="64" t="s">
        <v>22</v>
      </c>
      <c r="G162" s="277" t="s">
        <v>111</v>
      </c>
      <c r="H162" s="64" t="s">
        <v>112</v>
      </c>
      <c r="I162" s="277" t="s">
        <v>113</v>
      </c>
      <c r="J162" s="277" t="s">
        <v>114</v>
      </c>
      <c r="K162" s="66" t="s">
        <v>25</v>
      </c>
      <c r="L162" s="67"/>
    </row>
    <row r="163" spans="2:12" hidden="1">
      <c r="B163" s="63"/>
      <c r="C163" s="1001" t="s">
        <v>153</v>
      </c>
      <c r="D163" s="1001"/>
      <c r="E163" s="1001"/>
      <c r="F163" s="68">
        <v>1</v>
      </c>
      <c r="G163" s="68"/>
      <c r="H163" s="68"/>
      <c r="I163" s="68"/>
      <c r="J163" s="68"/>
      <c r="K163" s="278">
        <f>F163</f>
        <v>1</v>
      </c>
      <c r="L163" s="67"/>
    </row>
    <row r="164" spans="2:12" hidden="1">
      <c r="B164" s="63"/>
      <c r="C164" s="1002" t="s">
        <v>116</v>
      </c>
      <c r="D164" s="1002"/>
      <c r="E164" s="1002"/>
      <c r="F164" s="1002"/>
      <c r="G164" s="1002"/>
      <c r="H164" s="1002"/>
      <c r="I164" s="1002"/>
      <c r="J164" s="1002"/>
      <c r="K164" s="66">
        <f>SUM(K163:K163)</f>
        <v>1</v>
      </c>
      <c r="L164" s="67"/>
    </row>
    <row r="165" spans="2:12" hidden="1">
      <c r="B165" s="63"/>
      <c r="C165" s="71"/>
      <c r="D165" s="71"/>
      <c r="E165" s="71"/>
      <c r="F165" s="71"/>
      <c r="G165" s="71"/>
      <c r="H165" s="71"/>
      <c r="I165" s="71"/>
      <c r="J165" s="71"/>
      <c r="K165" s="73"/>
      <c r="L165" s="67"/>
    </row>
    <row r="166" spans="2:12" hidden="1">
      <c r="B166" s="60" t="str">
        <f>'[6]PLANILHA ORÇAMENTÁRIA'!D38</f>
        <v>5.10</v>
      </c>
      <c r="C166" s="1003" t="str">
        <f>'[6]PLANILHA ORÇAMENTÁRIA'!E38</f>
        <v>VERGA PRÉ-MOLDADA PARA JANELAS COM ATÉ 1,5 M DE VÃO. AF_03/2016</v>
      </c>
      <c r="D166" s="1003"/>
      <c r="E166" s="1003"/>
      <c r="F166" s="1003"/>
      <c r="G166" s="1003"/>
      <c r="H166" s="1003"/>
      <c r="I166" s="1003"/>
      <c r="J166" s="1003"/>
      <c r="K166" s="61" t="str">
        <f>'[6]PLANILHA ORÇAMENTÁRIA'!F38</f>
        <v>M</v>
      </c>
      <c r="L166" s="62">
        <f>K169</f>
        <v>3.3000000000000003</v>
      </c>
    </row>
    <row r="167" spans="2:12" hidden="1">
      <c r="B167" s="63"/>
      <c r="C167" s="1004" t="s">
        <v>20</v>
      </c>
      <c r="D167" s="1004"/>
      <c r="E167" s="1004"/>
      <c r="F167" s="64" t="s">
        <v>22</v>
      </c>
      <c r="G167" s="277" t="s">
        <v>111</v>
      </c>
      <c r="H167" s="64" t="s">
        <v>112</v>
      </c>
      <c r="I167" s="277" t="s">
        <v>113</v>
      </c>
      <c r="J167" s="277" t="s">
        <v>114</v>
      </c>
      <c r="K167" s="66" t="s">
        <v>25</v>
      </c>
      <c r="L167" s="67"/>
    </row>
    <row r="168" spans="2:12" hidden="1">
      <c r="B168" s="63"/>
      <c r="C168" s="1001"/>
      <c r="D168" s="1001"/>
      <c r="E168" s="1001"/>
      <c r="F168" s="68">
        <v>3</v>
      </c>
      <c r="G168" s="68"/>
      <c r="H168" s="68"/>
      <c r="I168" s="68">
        <v>1.1000000000000001</v>
      </c>
      <c r="J168" s="68"/>
      <c r="K168" s="278">
        <f>F168*I168</f>
        <v>3.3000000000000003</v>
      </c>
      <c r="L168" s="67"/>
    </row>
    <row r="169" spans="2:12" hidden="1">
      <c r="B169" s="63"/>
      <c r="C169" s="1002" t="s">
        <v>116</v>
      </c>
      <c r="D169" s="1002"/>
      <c r="E169" s="1002"/>
      <c r="F169" s="1002"/>
      <c r="G169" s="1002"/>
      <c r="H169" s="1002"/>
      <c r="I169" s="1002"/>
      <c r="J169" s="1002"/>
      <c r="K169" s="66">
        <f>SUM(K168:K168)</f>
        <v>3.3000000000000003</v>
      </c>
      <c r="L169" s="67"/>
    </row>
    <row r="170" spans="2:12" hidden="1">
      <c r="B170" s="63"/>
      <c r="C170" s="71"/>
      <c r="D170" s="71"/>
      <c r="E170" s="71"/>
      <c r="F170" s="71"/>
      <c r="G170" s="71"/>
      <c r="H170" s="71"/>
      <c r="I170" s="71"/>
      <c r="J170" s="71"/>
      <c r="K170" s="73"/>
      <c r="L170" s="67"/>
    </row>
    <row r="171" spans="2:12" hidden="1">
      <c r="B171" s="60" t="str">
        <f>'[6]PLANILHA ORÇAMENTÁRIA'!D39</f>
        <v>5.11</v>
      </c>
      <c r="C171" s="1003" t="str">
        <f>'[6]PLANILHA ORÇAMENTÁRIA'!E39</f>
        <v>VERGA PRÉ-MOLDADA PARA PORTAS COM ATÉ 1,5 M DE VÃO. AF_03/2016</v>
      </c>
      <c r="D171" s="1003"/>
      <c r="E171" s="1003"/>
      <c r="F171" s="1003"/>
      <c r="G171" s="1003"/>
      <c r="H171" s="1003"/>
      <c r="I171" s="1003"/>
      <c r="J171" s="1003"/>
      <c r="K171" s="61" t="str">
        <f>'[6]PLANILHA ORÇAMENTÁRIA'!F39</f>
        <v>M</v>
      </c>
      <c r="L171" s="62">
        <f>K174</f>
        <v>3.3000000000000003</v>
      </c>
    </row>
    <row r="172" spans="2:12" hidden="1">
      <c r="B172" s="63"/>
      <c r="C172" s="1004" t="s">
        <v>20</v>
      </c>
      <c r="D172" s="1004"/>
      <c r="E172" s="1004"/>
      <c r="F172" s="64" t="s">
        <v>22</v>
      </c>
      <c r="G172" s="277" t="s">
        <v>111</v>
      </c>
      <c r="H172" s="64" t="s">
        <v>112</v>
      </c>
      <c r="I172" s="277" t="s">
        <v>113</v>
      </c>
      <c r="J172" s="277" t="s">
        <v>114</v>
      </c>
      <c r="K172" s="66" t="s">
        <v>25</v>
      </c>
      <c r="L172" s="67"/>
    </row>
    <row r="173" spans="2:12" ht="15" hidden="1" customHeight="1">
      <c r="B173" s="63"/>
      <c r="C173" s="1001"/>
      <c r="D173" s="1001"/>
      <c r="E173" s="1001"/>
      <c r="F173" s="68">
        <v>3</v>
      </c>
      <c r="G173" s="68"/>
      <c r="H173" s="68"/>
      <c r="I173" s="68">
        <v>1.1000000000000001</v>
      </c>
      <c r="J173" s="68"/>
      <c r="K173" s="278">
        <f>F173*I173</f>
        <v>3.3000000000000003</v>
      </c>
      <c r="L173" s="67"/>
    </row>
    <row r="174" spans="2:12" hidden="1">
      <c r="B174" s="63"/>
      <c r="C174" s="1002" t="s">
        <v>116</v>
      </c>
      <c r="D174" s="1002"/>
      <c r="E174" s="1002"/>
      <c r="F174" s="1002"/>
      <c r="G174" s="1002"/>
      <c r="H174" s="1002"/>
      <c r="I174" s="1002"/>
      <c r="J174" s="1002"/>
      <c r="K174" s="66">
        <f>SUM(K173:K173)</f>
        <v>3.3000000000000003</v>
      </c>
      <c r="L174" s="67"/>
    </row>
    <row r="175" spans="2:12" hidden="1">
      <c r="B175" s="63"/>
      <c r="C175" s="71"/>
      <c r="D175" s="71"/>
      <c r="E175" s="71"/>
      <c r="F175" s="71"/>
      <c r="G175" s="71"/>
      <c r="H175" s="71"/>
      <c r="I175" s="71"/>
      <c r="J175" s="71"/>
      <c r="K175" s="73"/>
      <c r="L175" s="67"/>
    </row>
    <row r="176" spans="2:12" hidden="1">
      <c r="B176" s="60" t="str">
        <f>'[6]PLANILHA ORÇAMENTÁRIA'!D40</f>
        <v>5.12</v>
      </c>
      <c r="C176" s="1003" t="str">
        <f>'[6]PLANILHA ORÇAMENTÁRIA'!E40</f>
        <v>CONTRAVERGA PRÉ-MOLDADA PARA VÃOS DE ATÉ 1,5 M DE COMPRIMENTO. AF_03/2016</v>
      </c>
      <c r="D176" s="1003"/>
      <c r="E176" s="1003"/>
      <c r="F176" s="1003"/>
      <c r="G176" s="1003"/>
      <c r="H176" s="1003"/>
      <c r="I176" s="1003"/>
      <c r="J176" s="1003"/>
      <c r="K176" s="61" t="str">
        <f>'[6]PLANILHA ORÇAMENTÁRIA'!F40</f>
        <v>M</v>
      </c>
      <c r="L176" s="62">
        <f>K179</f>
        <v>3.3000000000000003</v>
      </c>
    </row>
    <row r="177" spans="2:12" hidden="1">
      <c r="B177" s="63"/>
      <c r="C177" s="1004" t="s">
        <v>20</v>
      </c>
      <c r="D177" s="1004"/>
      <c r="E177" s="1004"/>
      <c r="F177" s="64" t="s">
        <v>22</v>
      </c>
      <c r="G177" s="277" t="s">
        <v>111</v>
      </c>
      <c r="H177" s="64" t="s">
        <v>112</v>
      </c>
      <c r="I177" s="277" t="s">
        <v>113</v>
      </c>
      <c r="J177" s="277" t="s">
        <v>114</v>
      </c>
      <c r="K177" s="66" t="s">
        <v>25</v>
      </c>
      <c r="L177" s="67"/>
    </row>
    <row r="178" spans="2:12" ht="15" hidden="1" customHeight="1">
      <c r="B178" s="63"/>
      <c r="C178" s="1001"/>
      <c r="D178" s="1001"/>
      <c r="E178" s="1001"/>
      <c r="F178" s="68">
        <v>3</v>
      </c>
      <c r="G178" s="68"/>
      <c r="H178" s="68"/>
      <c r="I178" s="68">
        <v>1.1000000000000001</v>
      </c>
      <c r="J178" s="68"/>
      <c r="K178" s="278">
        <f>F178*I178</f>
        <v>3.3000000000000003</v>
      </c>
      <c r="L178" s="67"/>
    </row>
    <row r="179" spans="2:12" hidden="1">
      <c r="B179" s="63"/>
      <c r="C179" s="1002" t="s">
        <v>116</v>
      </c>
      <c r="D179" s="1002"/>
      <c r="E179" s="1002"/>
      <c r="F179" s="1002"/>
      <c r="G179" s="1002"/>
      <c r="H179" s="1002"/>
      <c r="I179" s="1002"/>
      <c r="J179" s="1002"/>
      <c r="K179" s="66">
        <f>SUM(K178:K178)</f>
        <v>3.3000000000000003</v>
      </c>
      <c r="L179" s="67"/>
    </row>
    <row r="180" spans="2:12" hidden="1">
      <c r="B180" s="63"/>
      <c r="C180" s="71"/>
      <c r="D180" s="71"/>
      <c r="E180" s="71"/>
      <c r="F180" s="71"/>
      <c r="G180" s="71"/>
      <c r="H180" s="71"/>
      <c r="I180" s="71"/>
      <c r="J180" s="71"/>
      <c r="K180" s="73"/>
      <c r="L180" s="67"/>
    </row>
    <row r="181" spans="2:12" hidden="1">
      <c r="B181" s="58" t="str">
        <f>'[6]PLANILHA ORÇAMENTÁRIA'!D41</f>
        <v>6.0</v>
      </c>
      <c r="C181" s="1000" t="str">
        <f>'[6]PLANILHA ORÇAMENTÁRIA'!E41</f>
        <v>ALVENARIA DE VEDAÇÃO</v>
      </c>
      <c r="D181" s="1000"/>
      <c r="E181" s="1000"/>
      <c r="F181" s="1000"/>
      <c r="G181" s="1000"/>
      <c r="H181" s="1000"/>
      <c r="I181" s="1000"/>
      <c r="J181" s="1000"/>
      <c r="K181" s="59"/>
      <c r="L181" s="59"/>
    </row>
    <row r="182" spans="2:12" ht="23.25" hidden="1" customHeight="1">
      <c r="B182" s="60" t="str">
        <f>'[6]PLANILHA ORÇAMENTÁRIA'!D42</f>
        <v>6.1</v>
      </c>
      <c r="C182" s="1003" t="str">
        <f>'[6]PLANILHA ORÇAMENTÁRIA'!E42</f>
        <v>ALVENARIA DE BLOCO CERÂMICO FURADO (9x19x19)cm C/ARGAMASSA MISTA DE CAL HIDRATADA, ESP=9 cm</v>
      </c>
      <c r="D182" s="1003"/>
      <c r="E182" s="1003"/>
      <c r="F182" s="1003"/>
      <c r="G182" s="1003"/>
      <c r="H182" s="1003"/>
      <c r="I182" s="1003"/>
      <c r="J182" s="1003"/>
      <c r="K182" s="61" t="str">
        <f>'[6]PLANILHA ORÇAMENTÁRIA'!F42</f>
        <v>M2</v>
      </c>
      <c r="L182" s="62">
        <f>K187</f>
        <v>133.51999999999998</v>
      </c>
    </row>
    <row r="183" spans="2:12" hidden="1">
      <c r="B183" s="63"/>
      <c r="C183" s="1004" t="s">
        <v>20</v>
      </c>
      <c r="D183" s="1004"/>
      <c r="E183" s="1004"/>
      <c r="F183" s="64" t="s">
        <v>22</v>
      </c>
      <c r="G183" s="277" t="s">
        <v>111</v>
      </c>
      <c r="H183" s="64" t="s">
        <v>112</v>
      </c>
      <c r="I183" s="277" t="s">
        <v>154</v>
      </c>
      <c r="J183" s="277" t="s">
        <v>114</v>
      </c>
      <c r="K183" s="66" t="s">
        <v>25</v>
      </c>
      <c r="L183" s="67"/>
    </row>
    <row r="184" spans="2:12" hidden="1">
      <c r="B184" s="63"/>
      <c r="C184" s="1001" t="s">
        <v>155</v>
      </c>
      <c r="D184" s="1001"/>
      <c r="E184" s="1001"/>
      <c r="F184" s="68"/>
      <c r="G184" s="68">
        <v>2.6</v>
      </c>
      <c r="H184" s="68"/>
      <c r="I184" s="68">
        <f>(6.6*2)+(4.2*3)+3.15+2.16+(1.05*2)</f>
        <v>33.21</v>
      </c>
      <c r="J184" s="68">
        <v>3.88</v>
      </c>
      <c r="K184" s="278">
        <f>TRUNC((G184*I184)-J184,2)</f>
        <v>82.46</v>
      </c>
      <c r="L184" s="67"/>
    </row>
    <row r="185" spans="2:12" hidden="1">
      <c r="B185" s="63"/>
      <c r="C185" s="1001" t="s">
        <v>156</v>
      </c>
      <c r="D185" s="1001"/>
      <c r="E185" s="1001"/>
      <c r="F185" s="68"/>
      <c r="G185" s="68">
        <v>2.15</v>
      </c>
      <c r="H185" s="68"/>
      <c r="I185" s="68">
        <f>(6.6*2)+(4.2*2)</f>
        <v>21.6</v>
      </c>
      <c r="J185" s="68"/>
      <c r="K185" s="278">
        <f>TRUNC((G185*I185),2)</f>
        <v>46.44</v>
      </c>
      <c r="L185" s="67"/>
    </row>
    <row r="186" spans="2:12" hidden="1">
      <c r="B186" s="63"/>
      <c r="C186" s="1001" t="s">
        <v>157</v>
      </c>
      <c r="D186" s="1001"/>
      <c r="E186" s="1001"/>
      <c r="F186" s="68"/>
      <c r="G186" s="68">
        <v>2.1</v>
      </c>
      <c r="H186" s="68"/>
      <c r="I186" s="68">
        <v>2.2000000000000002</v>
      </c>
      <c r="J186" s="68"/>
      <c r="K186" s="278">
        <f>TRUNC((G186*I186),2)</f>
        <v>4.62</v>
      </c>
      <c r="L186" s="67"/>
    </row>
    <row r="187" spans="2:12" hidden="1">
      <c r="B187" s="63"/>
      <c r="C187" s="1002" t="s">
        <v>116</v>
      </c>
      <c r="D187" s="1002"/>
      <c r="E187" s="1002"/>
      <c r="F187" s="1002"/>
      <c r="G187" s="1002"/>
      <c r="H187" s="1002"/>
      <c r="I187" s="1002"/>
      <c r="J187" s="1002"/>
      <c r="K187" s="66">
        <f>SUM(K184:K186)</f>
        <v>133.51999999999998</v>
      </c>
      <c r="L187" s="67"/>
    </row>
    <row r="188" spans="2:12">
      <c r="B188" s="63"/>
      <c r="C188" s="71"/>
      <c r="D188" s="71"/>
      <c r="E188" s="71"/>
      <c r="F188" s="71"/>
      <c r="G188" s="71"/>
      <c r="H188" s="71"/>
      <c r="I188" s="71"/>
      <c r="J188" s="71"/>
      <c r="K188" s="73"/>
      <c r="L188" s="67"/>
    </row>
    <row r="189" spans="2:12">
      <c r="B189" s="292" t="s">
        <v>6</v>
      </c>
      <c r="C189" s="1093" t="s">
        <v>5</v>
      </c>
      <c r="D189" s="1093"/>
      <c r="E189" s="1093"/>
      <c r="F189" s="1093"/>
      <c r="G189" s="1093"/>
      <c r="H189" s="1093"/>
      <c r="I189" s="1093"/>
      <c r="J189" s="1093"/>
      <c r="K189" s="293"/>
      <c r="L189" s="293"/>
    </row>
    <row r="190" spans="2:12">
      <c r="B190" s="301"/>
      <c r="C190" s="211"/>
      <c r="D190" s="211"/>
      <c r="E190" s="211"/>
      <c r="F190" s="211"/>
      <c r="G190" s="211"/>
      <c r="H190" s="211"/>
      <c r="I190" s="211"/>
      <c r="J190" s="211"/>
      <c r="K190" s="212"/>
      <c r="L190" s="90"/>
    </row>
    <row r="191" spans="2:12">
      <c r="B191" s="90"/>
      <c r="C191" s="90"/>
      <c r="D191" s="90"/>
      <c r="E191" s="90"/>
      <c r="F191" s="90"/>
      <c r="G191" s="90"/>
      <c r="H191" s="90"/>
      <c r="I191" s="90"/>
      <c r="J191" s="90"/>
      <c r="K191" s="90"/>
      <c r="L191" s="90"/>
    </row>
    <row r="192" spans="2:12" ht="15" customHeight="1">
      <c r="B192" s="301" t="s">
        <v>1325</v>
      </c>
      <c r="C192" s="980" t="s">
        <v>10</v>
      </c>
      <c r="D192" s="981"/>
      <c r="E192" s="981"/>
      <c r="F192" s="981"/>
      <c r="G192" s="981"/>
      <c r="H192" s="981"/>
      <c r="I192" s="981"/>
      <c r="J192" s="982"/>
      <c r="K192" s="97" t="str">
        <f>'[6]PLANILHA ORÇAMENTÁRIA'!F51</f>
        <v>M2</v>
      </c>
      <c r="L192" s="97">
        <f>K195</f>
        <v>400</v>
      </c>
    </row>
    <row r="193" spans="2:12">
      <c r="B193" s="301"/>
      <c r="C193" s="1027" t="s">
        <v>20</v>
      </c>
      <c r="D193" s="1027"/>
      <c r="E193" s="1027"/>
      <c r="F193" s="92" t="s">
        <v>22</v>
      </c>
      <c r="G193" s="280" t="s">
        <v>111</v>
      </c>
      <c r="H193" s="92" t="s">
        <v>112</v>
      </c>
      <c r="I193" s="280" t="s">
        <v>113</v>
      </c>
      <c r="J193" s="280" t="s">
        <v>114</v>
      </c>
      <c r="K193" s="94" t="s">
        <v>25</v>
      </c>
      <c r="L193" s="90"/>
    </row>
    <row r="194" spans="2:12">
      <c r="B194" s="301"/>
      <c r="C194" s="984" t="s">
        <v>587</v>
      </c>
      <c r="D194" s="985"/>
      <c r="E194" s="986"/>
      <c r="F194" s="91">
        <v>1</v>
      </c>
      <c r="G194" s="91">
        <v>1</v>
      </c>
      <c r="H194" s="91">
        <v>20</v>
      </c>
      <c r="I194" s="91">
        <v>20</v>
      </c>
      <c r="J194" s="91">
        <v>0</v>
      </c>
      <c r="K194" s="282">
        <f>(H194*I194*G194*F194)-J194</f>
        <v>400</v>
      </c>
      <c r="L194" s="90"/>
    </row>
    <row r="195" spans="2:12">
      <c r="B195" s="301"/>
      <c r="C195" s="987" t="s">
        <v>116</v>
      </c>
      <c r="D195" s="987"/>
      <c r="E195" s="987"/>
      <c r="F195" s="987"/>
      <c r="G195" s="987"/>
      <c r="H195" s="987"/>
      <c r="I195" s="987"/>
      <c r="J195" s="987"/>
      <c r="K195" s="89">
        <f>SUM(K194:K194)</f>
        <v>400</v>
      </c>
      <c r="L195" s="90"/>
    </row>
    <row r="196" spans="2:12">
      <c r="B196" s="301"/>
      <c r="C196" s="211"/>
      <c r="D196" s="211"/>
      <c r="E196" s="211"/>
      <c r="F196" s="211"/>
      <c r="G196" s="211"/>
      <c r="H196" s="211"/>
      <c r="I196" s="211"/>
      <c r="J196" s="211"/>
      <c r="K196" s="212"/>
      <c r="L196" s="90"/>
    </row>
    <row r="197" spans="2:12" ht="15" customHeight="1">
      <c r="B197" s="301" t="s">
        <v>1326</v>
      </c>
      <c r="C197" s="1024" t="s">
        <v>645</v>
      </c>
      <c r="D197" s="1025"/>
      <c r="E197" s="1025"/>
      <c r="F197" s="1025"/>
      <c r="G197" s="1025"/>
      <c r="H197" s="1025"/>
      <c r="I197" s="1025"/>
      <c r="J197" s="1026"/>
      <c r="K197" s="97" t="s">
        <v>7</v>
      </c>
      <c r="L197" s="97">
        <f>K200</f>
        <v>50</v>
      </c>
    </row>
    <row r="198" spans="2:12">
      <c r="B198" s="301"/>
      <c r="C198" s="983" t="s">
        <v>20</v>
      </c>
      <c r="D198" s="983"/>
      <c r="E198" s="983"/>
      <c r="F198" s="87" t="s">
        <v>22</v>
      </c>
      <c r="G198" s="279" t="s">
        <v>111</v>
      </c>
      <c r="H198" s="87" t="s">
        <v>112</v>
      </c>
      <c r="I198" s="279" t="s">
        <v>113</v>
      </c>
      <c r="J198" s="279" t="s">
        <v>114</v>
      </c>
      <c r="K198" s="89" t="s">
        <v>25</v>
      </c>
      <c r="L198" s="90"/>
    </row>
    <row r="199" spans="2:12">
      <c r="B199" s="301"/>
      <c r="C199" s="984" t="s">
        <v>237</v>
      </c>
      <c r="D199" s="985"/>
      <c r="E199" s="986"/>
      <c r="F199" s="91">
        <v>1</v>
      </c>
      <c r="G199" s="91">
        <v>1</v>
      </c>
      <c r="H199" s="91">
        <v>5</v>
      </c>
      <c r="I199" s="91">
        <v>10</v>
      </c>
      <c r="J199" s="91">
        <v>0</v>
      </c>
      <c r="K199" s="89">
        <f>(H199*G199*F199*I199)-J199</f>
        <v>50</v>
      </c>
      <c r="L199" s="90"/>
    </row>
    <row r="200" spans="2:12">
      <c r="B200" s="301"/>
      <c r="C200" s="987" t="s">
        <v>116</v>
      </c>
      <c r="D200" s="987"/>
      <c r="E200" s="987"/>
      <c r="F200" s="987"/>
      <c r="G200" s="987"/>
      <c r="H200" s="987"/>
      <c r="I200" s="987"/>
      <c r="J200" s="987"/>
      <c r="K200" s="89">
        <f>SUM(K199:K199)</f>
        <v>50</v>
      </c>
      <c r="L200" s="90"/>
    </row>
    <row r="201" spans="2:12">
      <c r="B201" s="301"/>
      <c r="C201" s="211"/>
      <c r="D201" s="211"/>
      <c r="E201" s="211"/>
      <c r="F201" s="211"/>
      <c r="G201" s="211"/>
      <c r="H201" s="211"/>
      <c r="I201" s="211"/>
      <c r="J201" s="211"/>
      <c r="K201" s="212"/>
      <c r="L201" s="90"/>
    </row>
    <row r="202" spans="2:12">
      <c r="B202" s="301" t="s">
        <v>1327</v>
      </c>
      <c r="C202" s="1024" t="s">
        <v>575</v>
      </c>
      <c r="D202" s="1025"/>
      <c r="E202" s="1025"/>
      <c r="F202" s="1025"/>
      <c r="G202" s="1025"/>
      <c r="H202" s="1025"/>
      <c r="I202" s="1025"/>
      <c r="J202" s="1026"/>
      <c r="K202" s="97" t="s">
        <v>7</v>
      </c>
      <c r="L202" s="97">
        <f>K205</f>
        <v>25</v>
      </c>
    </row>
    <row r="203" spans="2:12">
      <c r="B203" s="301"/>
      <c r="C203" s="983" t="s">
        <v>20</v>
      </c>
      <c r="D203" s="983"/>
      <c r="E203" s="983"/>
      <c r="F203" s="87" t="s">
        <v>22</v>
      </c>
      <c r="G203" s="279" t="s">
        <v>111</v>
      </c>
      <c r="H203" s="87" t="s">
        <v>112</v>
      </c>
      <c r="I203" s="279" t="s">
        <v>113</v>
      </c>
      <c r="J203" s="279" t="s">
        <v>114</v>
      </c>
      <c r="K203" s="89" t="s">
        <v>25</v>
      </c>
      <c r="L203" s="90"/>
    </row>
    <row r="204" spans="2:12">
      <c r="B204" s="301"/>
      <c r="C204" s="984" t="s">
        <v>338</v>
      </c>
      <c r="D204" s="985"/>
      <c r="E204" s="986"/>
      <c r="F204" s="91">
        <v>1</v>
      </c>
      <c r="G204" s="91">
        <v>1</v>
      </c>
      <c r="H204" s="91">
        <v>5</v>
      </c>
      <c r="I204" s="91">
        <v>5</v>
      </c>
      <c r="J204" s="91">
        <v>0</v>
      </c>
      <c r="K204" s="89">
        <f>(H204*G204*F204*I204)-J204</f>
        <v>25</v>
      </c>
      <c r="L204" s="90"/>
    </row>
    <row r="205" spans="2:12">
      <c r="B205" s="301"/>
      <c r="C205" s="987" t="s">
        <v>116</v>
      </c>
      <c r="D205" s="987"/>
      <c r="E205" s="987"/>
      <c r="F205" s="987"/>
      <c r="G205" s="987"/>
      <c r="H205" s="987"/>
      <c r="I205" s="987"/>
      <c r="J205" s="987"/>
      <c r="K205" s="89">
        <f>SUM(K204:K204)</f>
        <v>25</v>
      </c>
      <c r="L205" s="90"/>
    </row>
    <row r="206" spans="2:12">
      <c r="B206" s="301"/>
      <c r="C206" s="211"/>
      <c r="D206" s="211"/>
      <c r="E206" s="211"/>
      <c r="F206" s="211"/>
      <c r="G206" s="211"/>
      <c r="H206" s="211"/>
      <c r="I206" s="211"/>
      <c r="J206" s="211"/>
      <c r="K206" s="212"/>
      <c r="L206" s="90"/>
    </row>
    <row r="207" spans="2:12">
      <c r="B207" s="301" t="s">
        <v>1328</v>
      </c>
      <c r="C207" s="1024" t="s">
        <v>446</v>
      </c>
      <c r="D207" s="1025"/>
      <c r="E207" s="1025"/>
      <c r="F207" s="1025"/>
      <c r="G207" s="1025"/>
      <c r="H207" s="1025"/>
      <c r="I207" s="1025"/>
      <c r="J207" s="1026"/>
      <c r="K207" s="97" t="s">
        <v>7</v>
      </c>
      <c r="L207" s="97">
        <f>K210</f>
        <v>84</v>
      </c>
    </row>
    <row r="208" spans="2:12">
      <c r="B208" s="301"/>
      <c r="C208" s="983" t="s">
        <v>20</v>
      </c>
      <c r="D208" s="983"/>
      <c r="E208" s="983"/>
      <c r="F208" s="87" t="s">
        <v>22</v>
      </c>
      <c r="G208" s="279" t="s">
        <v>111</v>
      </c>
      <c r="H208" s="87" t="s">
        <v>112</v>
      </c>
      <c r="I208" s="279" t="s">
        <v>113</v>
      </c>
      <c r="J208" s="279" t="s">
        <v>114</v>
      </c>
      <c r="K208" s="89" t="s">
        <v>25</v>
      </c>
      <c r="L208" s="90"/>
    </row>
    <row r="209" spans="2:12" ht="15" customHeight="1">
      <c r="B209" s="301"/>
      <c r="C209" s="984" t="s">
        <v>678</v>
      </c>
      <c r="D209" s="985"/>
      <c r="E209" s="986"/>
      <c r="F209" s="91">
        <v>1</v>
      </c>
      <c r="G209" s="91">
        <v>2.1</v>
      </c>
      <c r="H209" s="91">
        <v>1</v>
      </c>
      <c r="I209" s="91">
        <v>40</v>
      </c>
      <c r="J209" s="91">
        <v>0</v>
      </c>
      <c r="K209" s="89">
        <f>(G209*H209*I209*F209)-J209</f>
        <v>84</v>
      </c>
      <c r="L209" s="90"/>
    </row>
    <row r="210" spans="2:12">
      <c r="B210" s="301"/>
      <c r="C210" s="987" t="s">
        <v>116</v>
      </c>
      <c r="D210" s="987"/>
      <c r="E210" s="987"/>
      <c r="F210" s="987"/>
      <c r="G210" s="987"/>
      <c r="H210" s="987"/>
      <c r="I210" s="987"/>
      <c r="J210" s="987"/>
      <c r="K210" s="89">
        <f>SUM(K209:K209)</f>
        <v>84</v>
      </c>
      <c r="L210" s="90"/>
    </row>
    <row r="211" spans="2:12">
      <c r="B211" s="355"/>
      <c r="C211" s="211"/>
      <c r="D211" s="211"/>
      <c r="E211" s="211"/>
      <c r="F211" s="211"/>
      <c r="G211" s="211"/>
      <c r="H211" s="211"/>
      <c r="I211" s="211"/>
      <c r="J211" s="211"/>
      <c r="K211" s="212"/>
      <c r="L211" s="90"/>
    </row>
    <row r="212" spans="2:12">
      <c r="B212" s="355" t="s">
        <v>1329</v>
      </c>
      <c r="C212" s="1024" t="s">
        <v>677</v>
      </c>
      <c r="D212" s="1025"/>
      <c r="E212" s="1025"/>
      <c r="F212" s="1025"/>
      <c r="G212" s="1025"/>
      <c r="H212" s="1025"/>
      <c r="I212" s="1025"/>
      <c r="J212" s="1026"/>
      <c r="K212" s="97" t="s">
        <v>7</v>
      </c>
      <c r="L212" s="97">
        <f>K215</f>
        <v>52.5</v>
      </c>
    </row>
    <row r="213" spans="2:12">
      <c r="B213" s="355"/>
      <c r="C213" s="983" t="s">
        <v>20</v>
      </c>
      <c r="D213" s="983"/>
      <c r="E213" s="983"/>
      <c r="F213" s="87" t="s">
        <v>22</v>
      </c>
      <c r="G213" s="352" t="s">
        <v>111</v>
      </c>
      <c r="H213" s="87" t="s">
        <v>112</v>
      </c>
      <c r="I213" s="352" t="s">
        <v>113</v>
      </c>
      <c r="J213" s="352" t="s">
        <v>114</v>
      </c>
      <c r="K213" s="89" t="s">
        <v>25</v>
      </c>
      <c r="L213" s="90"/>
    </row>
    <row r="214" spans="2:12">
      <c r="B214" s="355"/>
      <c r="C214" s="984" t="s">
        <v>674</v>
      </c>
      <c r="D214" s="985"/>
      <c r="E214" s="986"/>
      <c r="F214" s="91">
        <v>1</v>
      </c>
      <c r="G214" s="91">
        <v>2.1</v>
      </c>
      <c r="H214" s="91">
        <v>1</v>
      </c>
      <c r="I214" s="91">
        <v>25</v>
      </c>
      <c r="J214" s="91">
        <v>0</v>
      </c>
      <c r="K214" s="89">
        <f>(G214*H214*I214*F214)-J214</f>
        <v>52.5</v>
      </c>
      <c r="L214" s="90"/>
    </row>
    <row r="215" spans="2:12">
      <c r="B215" s="355"/>
      <c r="C215" s="987" t="s">
        <v>116</v>
      </c>
      <c r="D215" s="987"/>
      <c r="E215" s="987"/>
      <c r="F215" s="987"/>
      <c r="G215" s="987"/>
      <c r="H215" s="987"/>
      <c r="I215" s="987"/>
      <c r="J215" s="987"/>
      <c r="K215" s="89">
        <f>SUM(K214:K214)</f>
        <v>52.5</v>
      </c>
      <c r="L215" s="90"/>
    </row>
    <row r="216" spans="2:12">
      <c r="B216" s="355"/>
      <c r="C216" s="211"/>
      <c r="D216" s="211"/>
      <c r="E216" s="211"/>
      <c r="F216" s="211"/>
      <c r="G216" s="211"/>
      <c r="H216" s="211"/>
      <c r="I216" s="211"/>
      <c r="J216" s="211"/>
      <c r="K216" s="212"/>
      <c r="L216" s="90"/>
    </row>
    <row r="217" spans="2:12">
      <c r="B217" s="292" t="s">
        <v>29</v>
      </c>
      <c r="C217" s="1093" t="s">
        <v>624</v>
      </c>
      <c r="D217" s="1093"/>
      <c r="E217" s="1093"/>
      <c r="F217" s="1093"/>
      <c r="G217" s="1093"/>
      <c r="H217" s="1093"/>
      <c r="I217" s="1093"/>
      <c r="J217" s="1093"/>
      <c r="K217" s="293"/>
      <c r="L217" s="293"/>
    </row>
    <row r="218" spans="2:12">
      <c r="B218" s="355"/>
      <c r="C218" s="211"/>
      <c r="D218" s="211"/>
      <c r="E218" s="211"/>
      <c r="F218" s="211"/>
      <c r="G218" s="211"/>
      <c r="H218" s="211"/>
      <c r="I218" s="211"/>
      <c r="J218" s="211"/>
      <c r="K218" s="212"/>
      <c r="L218" s="90"/>
    </row>
    <row r="219" spans="2:12" ht="45.75" customHeight="1">
      <c r="B219" s="355" t="s">
        <v>1330</v>
      </c>
      <c r="C219" s="980" t="str">
        <f>'ESCOLA MUNICIPAL DE QUEBEC E Q'!C24</f>
        <v>ALVENARIA DE VEDAÇÃO DE BLOCOS CERÂMICOS FURADOS NA HORIZONTAL DE 9X19X19CM (ESPESSURA 9CM) DE PAREDES COM ÁREA LÍQUIDA MAIOR OU IGUAL A 6M² COM VÃOS E ARGAMASSA DE ASSENTAMENTO COM PREPARO EM BETONEIRA. AF_06/2014.</v>
      </c>
      <c r="D219" s="981"/>
      <c r="E219" s="981"/>
      <c r="F219" s="981"/>
      <c r="G219" s="981"/>
      <c r="H219" s="981"/>
      <c r="I219" s="981"/>
      <c r="J219" s="982"/>
      <c r="K219" s="97" t="s">
        <v>7</v>
      </c>
      <c r="L219" s="97">
        <f>K222</f>
        <v>52.5</v>
      </c>
    </row>
    <row r="220" spans="2:12">
      <c r="B220" s="355"/>
      <c r="C220" s="983" t="s">
        <v>20</v>
      </c>
      <c r="D220" s="983"/>
      <c r="E220" s="983"/>
      <c r="F220" s="87" t="s">
        <v>22</v>
      </c>
      <c r="G220" s="352" t="s">
        <v>111</v>
      </c>
      <c r="H220" s="87" t="s">
        <v>112</v>
      </c>
      <c r="I220" s="352" t="s">
        <v>113</v>
      </c>
      <c r="J220" s="352" t="s">
        <v>114</v>
      </c>
      <c r="K220" s="89" t="s">
        <v>25</v>
      </c>
      <c r="L220" s="90"/>
    </row>
    <row r="221" spans="2:12" ht="15" customHeight="1">
      <c r="B221" s="355"/>
      <c r="C221" s="984" t="s">
        <v>674</v>
      </c>
      <c r="D221" s="985"/>
      <c r="E221" s="986"/>
      <c r="F221" s="91">
        <v>1</v>
      </c>
      <c r="G221" s="91">
        <v>2.1</v>
      </c>
      <c r="H221" s="91">
        <v>1</v>
      </c>
      <c r="I221" s="91">
        <v>25</v>
      </c>
      <c r="J221" s="91">
        <v>0</v>
      </c>
      <c r="K221" s="89">
        <f>(G221*H221*I221*F221)-J221</f>
        <v>52.5</v>
      </c>
      <c r="L221" s="90"/>
    </row>
    <row r="222" spans="2:12">
      <c r="B222" s="355"/>
      <c r="C222" s="987" t="s">
        <v>116</v>
      </c>
      <c r="D222" s="987"/>
      <c r="E222" s="987"/>
      <c r="F222" s="987"/>
      <c r="G222" s="987"/>
      <c r="H222" s="987"/>
      <c r="I222" s="987"/>
      <c r="J222" s="987"/>
      <c r="K222" s="89">
        <f>SUM(K221:K221)</f>
        <v>52.5</v>
      </c>
      <c r="L222" s="90"/>
    </row>
    <row r="223" spans="2:12">
      <c r="B223" s="301"/>
      <c r="C223" s="211"/>
      <c r="D223" s="211"/>
      <c r="E223" s="211"/>
      <c r="F223" s="211"/>
      <c r="G223" s="211"/>
      <c r="H223" s="211"/>
      <c r="I223" s="211"/>
      <c r="J223" s="211"/>
      <c r="K223" s="212"/>
      <c r="L223" s="90"/>
    </row>
    <row r="224" spans="2:12" hidden="1">
      <c r="B224" s="301"/>
      <c r="C224" s="983" t="s">
        <v>20</v>
      </c>
      <c r="D224" s="983"/>
      <c r="E224" s="983"/>
      <c r="F224" s="87" t="s">
        <v>22</v>
      </c>
      <c r="G224" s="279" t="s">
        <v>111</v>
      </c>
      <c r="H224" s="87" t="s">
        <v>112</v>
      </c>
      <c r="I224" s="279" t="s">
        <v>154</v>
      </c>
      <c r="J224" s="279" t="s">
        <v>114</v>
      </c>
      <c r="K224" s="89" t="s">
        <v>25</v>
      </c>
      <c r="L224" s="90"/>
    </row>
    <row r="225" spans="2:12" hidden="1">
      <c r="B225" s="301"/>
      <c r="C225" s="1028" t="s">
        <v>159</v>
      </c>
      <c r="D225" s="1028"/>
      <c r="E225" s="1028"/>
      <c r="F225" s="91">
        <v>1</v>
      </c>
      <c r="G225" s="91">
        <v>5.05</v>
      </c>
      <c r="H225" s="91"/>
      <c r="I225" s="91">
        <f>6.6*2</f>
        <v>13.2</v>
      </c>
      <c r="J225" s="91">
        <v>3.88</v>
      </c>
      <c r="K225" s="282">
        <f>TRUNC(((G225*I225)*F225)-J225,2)</f>
        <v>62.78</v>
      </c>
      <c r="L225" s="90"/>
    </row>
    <row r="226" spans="2:12" hidden="1">
      <c r="B226" s="301"/>
      <c r="C226" s="1028" t="s">
        <v>156</v>
      </c>
      <c r="D226" s="1028"/>
      <c r="E226" s="1028"/>
      <c r="F226" s="91">
        <v>1</v>
      </c>
      <c r="G226" s="91">
        <v>5.05</v>
      </c>
      <c r="H226" s="91"/>
      <c r="I226" s="91">
        <v>9</v>
      </c>
      <c r="J226" s="91"/>
      <c r="K226" s="282">
        <f>TRUNC(((G226*I226)*F226),2)</f>
        <v>45.45</v>
      </c>
      <c r="L226" s="90"/>
    </row>
    <row r="227" spans="2:12" hidden="1">
      <c r="B227" s="301"/>
      <c r="C227" s="1028" t="s">
        <v>160</v>
      </c>
      <c r="D227" s="1028"/>
      <c r="E227" s="1028"/>
      <c r="F227" s="91">
        <v>2</v>
      </c>
      <c r="G227" s="91">
        <v>2.6</v>
      </c>
      <c r="H227" s="91"/>
      <c r="I227" s="91">
        <f>4.2+3.15+2.15+(1.05*2)</f>
        <v>11.6</v>
      </c>
      <c r="J227" s="91"/>
      <c r="K227" s="282">
        <f>TRUNC(((G227*I227)*F227),2)</f>
        <v>60.32</v>
      </c>
      <c r="L227" s="90"/>
    </row>
    <row r="228" spans="2:12" hidden="1">
      <c r="B228" s="301"/>
      <c r="C228" s="1028" t="s">
        <v>161</v>
      </c>
      <c r="D228" s="1028"/>
      <c r="E228" s="1028"/>
      <c r="F228" s="91">
        <v>2</v>
      </c>
      <c r="G228" s="91">
        <v>2.1</v>
      </c>
      <c r="H228" s="91"/>
      <c r="I228" s="91">
        <v>2.2000000000000002</v>
      </c>
      <c r="J228" s="91"/>
      <c r="K228" s="282">
        <f>TRUNC(((G228*I228)*F228),2)</f>
        <v>9.24</v>
      </c>
      <c r="L228" s="90"/>
    </row>
    <row r="229" spans="2:12" hidden="1">
      <c r="B229" s="301"/>
      <c r="C229" s="987" t="s">
        <v>116</v>
      </c>
      <c r="D229" s="987"/>
      <c r="E229" s="987"/>
      <c r="F229" s="987"/>
      <c r="G229" s="987"/>
      <c r="H229" s="987"/>
      <c r="I229" s="987"/>
      <c r="J229" s="987"/>
      <c r="K229" s="89">
        <f>SUM(K225:K228)</f>
        <v>177.79000000000002</v>
      </c>
      <c r="L229" s="90"/>
    </row>
    <row r="230" spans="2:12" hidden="1">
      <c r="B230" s="219"/>
      <c r="C230" s="219"/>
      <c r="D230" s="219"/>
      <c r="E230" s="219"/>
      <c r="F230" s="219"/>
      <c r="G230" s="219"/>
      <c r="H230" s="219"/>
      <c r="I230" s="219"/>
      <c r="J230" s="219"/>
      <c r="K230" s="219"/>
      <c r="L230" s="219"/>
    </row>
    <row r="231" spans="2:12" ht="24" hidden="1" customHeight="1">
      <c r="B231" s="85" t="str">
        <f>'[6]PLANILHA ORÇAMENTÁRIA'!D49</f>
        <v>8.2</v>
      </c>
      <c r="C231" s="1032" t="str">
        <f>'[6]PLANILHA ORÇAMENTÁRIA'!E49</f>
        <v>EMBOÇO, PARA RECEBIMENTO DE CERÂMICA, EM ARGAMASSA TRAÇO 1:2:8, PREPARO MECÂNICO COM BETONEIRA 400L, APLICADO MANUALMENTE EM FACES INTERNAS DE PAREDES, PARA AMBIENTE COM ÁREA MAIOR QUE 10M2, ESPESSURA DE 10MM, COM EXECUÇÃO DE TALISCAS. AF_06/2014</v>
      </c>
      <c r="D231" s="1032"/>
      <c r="E231" s="1032"/>
      <c r="F231" s="1032"/>
      <c r="G231" s="1032"/>
      <c r="H231" s="1032"/>
      <c r="I231" s="1032"/>
      <c r="J231" s="1032"/>
      <c r="K231" s="294" t="str">
        <f>'[6]PLANILHA ORÇAMENTÁRIA'!F49</f>
        <v>M2</v>
      </c>
      <c r="L231" s="295">
        <f>K237</f>
        <v>177.79000000000002</v>
      </c>
    </row>
    <row r="232" spans="2:12" hidden="1">
      <c r="B232" s="301"/>
      <c r="C232" s="983" t="s">
        <v>20</v>
      </c>
      <c r="D232" s="983"/>
      <c r="E232" s="983"/>
      <c r="F232" s="87" t="s">
        <v>22</v>
      </c>
      <c r="G232" s="279" t="s">
        <v>111</v>
      </c>
      <c r="H232" s="87" t="s">
        <v>112</v>
      </c>
      <c r="I232" s="279" t="s">
        <v>154</v>
      </c>
      <c r="J232" s="279" t="s">
        <v>114</v>
      </c>
      <c r="K232" s="89" t="s">
        <v>25</v>
      </c>
      <c r="L232" s="90"/>
    </row>
    <row r="233" spans="2:12" ht="15" hidden="1" customHeight="1">
      <c r="B233" s="301"/>
      <c r="C233" s="1028" t="s">
        <v>159</v>
      </c>
      <c r="D233" s="1028"/>
      <c r="E233" s="1028"/>
      <c r="F233" s="91">
        <v>1</v>
      </c>
      <c r="G233" s="91">
        <v>5.05</v>
      </c>
      <c r="H233" s="91"/>
      <c r="I233" s="91">
        <f>6.6*2</f>
        <v>13.2</v>
      </c>
      <c r="J233" s="91">
        <v>3.88</v>
      </c>
      <c r="K233" s="282">
        <f>TRUNC(((G233*I233)*F233)-J233,2)</f>
        <v>62.78</v>
      </c>
      <c r="L233" s="90"/>
    </row>
    <row r="234" spans="2:12" hidden="1">
      <c r="B234" s="301"/>
      <c r="C234" s="1028" t="s">
        <v>156</v>
      </c>
      <c r="D234" s="1028"/>
      <c r="E234" s="1028"/>
      <c r="F234" s="91">
        <v>1</v>
      </c>
      <c r="G234" s="91">
        <v>5.05</v>
      </c>
      <c r="H234" s="91"/>
      <c r="I234" s="91">
        <v>9</v>
      </c>
      <c r="J234" s="91"/>
      <c r="K234" s="282">
        <f>TRUNC(((G234*I234)*F234),2)</f>
        <v>45.45</v>
      </c>
      <c r="L234" s="90"/>
    </row>
    <row r="235" spans="2:12" ht="15" hidden="1" customHeight="1">
      <c r="B235" s="301"/>
      <c r="C235" s="1028" t="s">
        <v>160</v>
      </c>
      <c r="D235" s="1028"/>
      <c r="E235" s="1028"/>
      <c r="F235" s="91">
        <v>2</v>
      </c>
      <c r="G235" s="91">
        <v>2.6</v>
      </c>
      <c r="H235" s="91"/>
      <c r="I235" s="91">
        <f>4.2+3.15+2.15+(1.05*2)</f>
        <v>11.6</v>
      </c>
      <c r="J235" s="91"/>
      <c r="K235" s="282">
        <f>TRUNC(((G235*I235)*F235),2)</f>
        <v>60.32</v>
      </c>
      <c r="L235" s="90"/>
    </row>
    <row r="236" spans="2:12" ht="15" hidden="1" customHeight="1">
      <c r="B236" s="301"/>
      <c r="C236" s="1028" t="s">
        <v>161</v>
      </c>
      <c r="D236" s="1028"/>
      <c r="E236" s="1028"/>
      <c r="F236" s="91">
        <v>2</v>
      </c>
      <c r="G236" s="91">
        <v>2.1</v>
      </c>
      <c r="H236" s="91"/>
      <c r="I236" s="91">
        <v>2.2000000000000002</v>
      </c>
      <c r="J236" s="91"/>
      <c r="K236" s="282">
        <f>TRUNC(((G236*I236)*F236),2)</f>
        <v>9.24</v>
      </c>
      <c r="L236" s="90"/>
    </row>
    <row r="237" spans="2:12" hidden="1">
      <c r="B237" s="301"/>
      <c r="C237" s="987" t="s">
        <v>116</v>
      </c>
      <c r="D237" s="987"/>
      <c r="E237" s="987"/>
      <c r="F237" s="987"/>
      <c r="G237" s="987"/>
      <c r="H237" s="987"/>
      <c r="I237" s="987"/>
      <c r="J237" s="987"/>
      <c r="K237" s="89">
        <f>SUM(K233:K236)</f>
        <v>177.79000000000002</v>
      </c>
      <c r="L237" s="90"/>
    </row>
    <row r="238" spans="2:12" hidden="1">
      <c r="B238" s="219"/>
      <c r="C238" s="219"/>
      <c r="D238" s="219"/>
      <c r="E238" s="219"/>
      <c r="F238" s="219"/>
      <c r="G238" s="219"/>
      <c r="H238" s="219"/>
      <c r="I238" s="219"/>
      <c r="J238" s="219"/>
      <c r="K238" s="219"/>
      <c r="L238" s="219"/>
    </row>
    <row r="239" spans="2:12" hidden="1">
      <c r="B239" s="301"/>
      <c r="C239" s="987" t="s">
        <v>116</v>
      </c>
      <c r="D239" s="987"/>
      <c r="E239" s="987"/>
      <c r="F239" s="987"/>
      <c r="G239" s="987"/>
      <c r="H239" s="987"/>
      <c r="I239" s="987"/>
      <c r="J239" s="987"/>
      <c r="K239" s="89" t="e">
        <f>SUM(#REF!)</f>
        <v>#REF!</v>
      </c>
      <c r="L239" s="90"/>
    </row>
    <row r="240" spans="2:12" hidden="1">
      <c r="B240" s="219"/>
      <c r="C240" s="219"/>
      <c r="D240" s="219"/>
      <c r="E240" s="219"/>
      <c r="F240" s="219"/>
      <c r="G240" s="219"/>
      <c r="H240" s="219"/>
      <c r="I240" s="219"/>
      <c r="J240" s="219"/>
      <c r="K240" s="219"/>
      <c r="L240" s="219"/>
    </row>
    <row r="241" spans="2:12" ht="15" hidden="1" customHeight="1">
      <c r="B241" s="301"/>
      <c r="C241" s="984" t="s">
        <v>162</v>
      </c>
      <c r="D241" s="985"/>
      <c r="E241" s="986"/>
      <c r="F241" s="91"/>
      <c r="G241" s="91"/>
      <c r="H241" s="91">
        <v>1.8</v>
      </c>
      <c r="I241" s="91">
        <v>14.3</v>
      </c>
      <c r="J241" s="91"/>
      <c r="K241" s="296">
        <f>H241*I241</f>
        <v>25.740000000000002</v>
      </c>
      <c r="L241" s="90"/>
    </row>
    <row r="242" spans="2:12" ht="15" hidden="1" customHeight="1">
      <c r="B242" s="301"/>
      <c r="C242" s="984" t="s">
        <v>162</v>
      </c>
      <c r="D242" s="985"/>
      <c r="E242" s="986"/>
      <c r="F242" s="91">
        <v>2</v>
      </c>
      <c r="G242" s="91"/>
      <c r="H242" s="91">
        <v>1.6</v>
      </c>
      <c r="I242" s="91">
        <v>4</v>
      </c>
      <c r="J242" s="91"/>
      <c r="K242" s="296">
        <f>F242*H242*I242</f>
        <v>12.8</v>
      </c>
      <c r="L242" s="90"/>
    </row>
    <row r="243" spans="2:12" ht="15" hidden="1" customHeight="1">
      <c r="B243" s="301"/>
      <c r="C243" s="984" t="s">
        <v>163</v>
      </c>
      <c r="D243" s="985"/>
      <c r="E243" s="986"/>
      <c r="F243" s="91"/>
      <c r="G243" s="91"/>
      <c r="H243" s="91"/>
      <c r="I243" s="91"/>
      <c r="J243" s="91">
        <v>109.24</v>
      </c>
      <c r="K243" s="296">
        <f>-J243</f>
        <v>-109.24</v>
      </c>
      <c r="L243" s="90"/>
    </row>
    <row r="244" spans="2:12" hidden="1">
      <c r="B244" s="301"/>
      <c r="C244" s="1028" t="s">
        <v>164</v>
      </c>
      <c r="D244" s="1028"/>
      <c r="E244" s="1028"/>
      <c r="F244" s="91"/>
      <c r="G244" s="91"/>
      <c r="H244" s="91">
        <v>1.05</v>
      </c>
      <c r="I244" s="91">
        <v>1.85</v>
      </c>
      <c r="J244" s="91"/>
      <c r="K244" s="282">
        <f>TRUNC(H244*I244,2)</f>
        <v>1.94</v>
      </c>
      <c r="L244" s="90"/>
    </row>
    <row r="245" spans="2:12" hidden="1">
      <c r="B245" s="301"/>
      <c r="C245" s="983" t="s">
        <v>20</v>
      </c>
      <c r="D245" s="983"/>
      <c r="E245" s="983"/>
      <c r="F245" s="87" t="s">
        <v>22</v>
      </c>
      <c r="G245" s="279" t="s">
        <v>111</v>
      </c>
      <c r="H245" s="87" t="s">
        <v>112</v>
      </c>
      <c r="I245" s="279" t="s">
        <v>113</v>
      </c>
      <c r="J245" s="279" t="s">
        <v>114</v>
      </c>
      <c r="K245" s="89" t="s">
        <v>25</v>
      </c>
      <c r="L245" s="90"/>
    </row>
    <row r="246" spans="2:12" ht="15" hidden="1" customHeight="1">
      <c r="B246" s="301"/>
      <c r="C246" s="1028" t="s">
        <v>165</v>
      </c>
      <c r="D246" s="1028"/>
      <c r="E246" s="1028"/>
      <c r="F246" s="91"/>
      <c r="G246" s="91"/>
      <c r="H246" s="91">
        <v>6.4740000000000002</v>
      </c>
      <c r="I246" s="91">
        <v>7.5</v>
      </c>
      <c r="J246" s="91">
        <v>1.75</v>
      </c>
      <c r="K246" s="282">
        <f>TRUNC(H246*I246-J246,2)</f>
        <v>46.8</v>
      </c>
      <c r="L246" s="90"/>
    </row>
    <row r="247" spans="2:12" ht="22.5" hidden="1" customHeight="1">
      <c r="B247" s="85" t="str">
        <f>'[6]PLANILHA ORÇAMENTÁRIA'!D68</f>
        <v>10.2</v>
      </c>
      <c r="C247" s="1032" t="str">
        <f>'[6]PLANILHA ORÇAMENTÁRIA'!E68</f>
        <v>FECHADURA DE EMBUTIR COM CILINDRO, EXTERNA, COMPLETA, ACABAMENTO PADRÃO POPULAR, INCLUSO EXECUÇÃO DE FURO - FORNECIMENTO E INSTALAÇÃO. AF_08/2015</v>
      </c>
      <c r="D247" s="1032"/>
      <c r="E247" s="1032"/>
      <c r="F247" s="1032"/>
      <c r="G247" s="1032"/>
      <c r="H247" s="1032"/>
      <c r="I247" s="1032"/>
      <c r="J247" s="1032"/>
      <c r="K247" s="294" t="str">
        <f>'[6]PLANILHA ORÇAMENTÁRIA'!F68</f>
        <v>UND</v>
      </c>
      <c r="L247" s="295" t="e">
        <f>#REF!</f>
        <v>#REF!</v>
      </c>
    </row>
    <row r="248" spans="2:12" hidden="1">
      <c r="B248" s="301"/>
      <c r="C248" s="983" t="s">
        <v>20</v>
      </c>
      <c r="D248" s="983"/>
      <c r="E248" s="983"/>
      <c r="F248" s="87" t="s">
        <v>22</v>
      </c>
      <c r="G248" s="279" t="s">
        <v>111</v>
      </c>
      <c r="H248" s="279" t="s">
        <v>114</v>
      </c>
      <c r="I248" s="279" t="s">
        <v>113</v>
      </c>
      <c r="J248" s="279" t="s">
        <v>136</v>
      </c>
      <c r="K248" s="89" t="s">
        <v>25</v>
      </c>
      <c r="L248" s="90"/>
    </row>
    <row r="249" spans="2:12" ht="27" hidden="1" customHeight="1">
      <c r="B249" s="301"/>
      <c r="C249" s="1028" t="s">
        <v>166</v>
      </c>
      <c r="D249" s="1028"/>
      <c r="E249" s="1028"/>
      <c r="F249" s="91">
        <v>3</v>
      </c>
      <c r="G249" s="91"/>
      <c r="H249" s="91"/>
      <c r="I249" s="91"/>
      <c r="J249" s="91"/>
      <c r="K249" s="282"/>
      <c r="L249" s="90"/>
    </row>
    <row r="250" spans="2:12" ht="15" hidden="1" customHeight="1">
      <c r="B250" s="85" t="str">
        <f>'[6]PLANILHA ORÇAMENTÁRIA'!D72</f>
        <v>11.2</v>
      </c>
      <c r="C250" s="1032" t="str">
        <f>'[6]PLANILHA ORÇAMENTÁRIA'!E72</f>
        <v>CAIXA D'ÁGUA EM POLIETILENO, 500 LITROS, COM ACESSÓRIOS.</v>
      </c>
      <c r="D250" s="1032"/>
      <c r="E250" s="1032"/>
      <c r="F250" s="1032"/>
      <c r="G250" s="1032"/>
      <c r="H250" s="1032"/>
      <c r="I250" s="1032"/>
      <c r="J250" s="1032"/>
      <c r="K250" s="294" t="str">
        <f>'[6]PLANILHA ORÇAMENTÁRIA'!F72</f>
        <v>UND</v>
      </c>
      <c r="L250" s="295" t="e">
        <f>#REF!</f>
        <v>#REF!</v>
      </c>
    </row>
    <row r="251" spans="2:12" hidden="1">
      <c r="B251" s="301"/>
      <c r="C251" s="983" t="s">
        <v>20</v>
      </c>
      <c r="D251" s="983"/>
      <c r="E251" s="983"/>
      <c r="F251" s="87" t="s">
        <v>22</v>
      </c>
      <c r="G251" s="279" t="s">
        <v>111</v>
      </c>
      <c r="H251" s="279" t="s">
        <v>114</v>
      </c>
      <c r="I251" s="279" t="s">
        <v>113</v>
      </c>
      <c r="J251" s="279" t="s">
        <v>136</v>
      </c>
      <c r="K251" s="89" t="s">
        <v>25</v>
      </c>
      <c r="L251" s="90"/>
    </row>
    <row r="252" spans="2:12" hidden="1">
      <c r="B252" s="301"/>
      <c r="C252" s="1028"/>
      <c r="D252" s="1028"/>
      <c r="E252" s="1028"/>
      <c r="F252" s="91">
        <v>2</v>
      </c>
      <c r="G252" s="91"/>
      <c r="H252" s="91"/>
      <c r="I252" s="91"/>
      <c r="J252" s="91"/>
      <c r="K252" s="282">
        <f>F252</f>
        <v>2</v>
      </c>
      <c r="L252" s="90"/>
    </row>
    <row r="253" spans="2:12" hidden="1">
      <c r="B253" s="301"/>
      <c r="C253" s="987" t="s">
        <v>116</v>
      </c>
      <c r="D253" s="987"/>
      <c r="E253" s="987"/>
      <c r="F253" s="987"/>
      <c r="G253" s="987"/>
      <c r="H253" s="987"/>
      <c r="I253" s="987"/>
      <c r="J253" s="987"/>
      <c r="K253" s="89" t="e">
        <f>SUM(#REF!)</f>
        <v>#REF!</v>
      </c>
      <c r="L253" s="90"/>
    </row>
    <row r="254" spans="2:12" hidden="1">
      <c r="B254" s="301"/>
      <c r="C254" s="211"/>
      <c r="D254" s="211"/>
      <c r="E254" s="211"/>
      <c r="F254" s="211"/>
      <c r="G254" s="211"/>
      <c r="H254" s="211"/>
      <c r="I254" s="211"/>
      <c r="J254" s="211"/>
      <c r="K254" s="212"/>
      <c r="L254" s="90"/>
    </row>
    <row r="255" spans="2:12" ht="22.5" hidden="1" customHeight="1">
      <c r="B255" s="85" t="str">
        <f>'[6]PLANILHA ORÇAMENTÁRIA'!D76</f>
        <v>11.6</v>
      </c>
      <c r="C255" s="1032" t="str">
        <f>'[6]PLANILHA ORÇAMENTÁRIA'!E76</f>
        <v>SIFÃO DO TIPO GARRAFA/COPO EM PVC 1.1/4 X 1.1/2" - FORNECIMENTO E INSTALAÇÃO. AF_12/2013</v>
      </c>
      <c r="D255" s="1032"/>
      <c r="E255" s="1032"/>
      <c r="F255" s="1032"/>
      <c r="G255" s="1032"/>
      <c r="H255" s="1032"/>
      <c r="I255" s="1032"/>
      <c r="J255" s="1032"/>
      <c r="K255" s="294" t="str">
        <f>'[6]PLANILHA ORÇAMENTÁRIA'!F76</f>
        <v>UND</v>
      </c>
      <c r="L255" s="295" t="e">
        <f>#REF!</f>
        <v>#REF!</v>
      </c>
    </row>
    <row r="256" spans="2:12" hidden="1">
      <c r="B256" s="301"/>
      <c r="C256" s="983" t="s">
        <v>20</v>
      </c>
      <c r="D256" s="983"/>
      <c r="E256" s="983"/>
      <c r="F256" s="87" t="s">
        <v>22</v>
      </c>
      <c r="G256" s="279" t="s">
        <v>111</v>
      </c>
      <c r="H256" s="279" t="s">
        <v>114</v>
      </c>
      <c r="I256" s="279" t="s">
        <v>113</v>
      </c>
      <c r="J256" s="279" t="s">
        <v>136</v>
      </c>
      <c r="K256" s="89" t="s">
        <v>25</v>
      </c>
      <c r="L256" s="90"/>
    </row>
    <row r="257" spans="2:12" hidden="1">
      <c r="B257" s="301"/>
      <c r="C257" s="1028"/>
      <c r="D257" s="1028"/>
      <c r="E257" s="1028"/>
      <c r="F257" s="91">
        <v>2</v>
      </c>
      <c r="G257" s="91"/>
      <c r="H257" s="91"/>
      <c r="I257" s="91"/>
      <c r="J257" s="91"/>
      <c r="K257" s="282">
        <f>F257</f>
        <v>2</v>
      </c>
      <c r="L257" s="90"/>
    </row>
    <row r="258" spans="2:12" hidden="1">
      <c r="B258" s="301"/>
      <c r="C258" s="987" t="s">
        <v>116</v>
      </c>
      <c r="D258" s="987"/>
      <c r="E258" s="987"/>
      <c r="F258" s="987"/>
      <c r="G258" s="987"/>
      <c r="H258" s="987"/>
      <c r="I258" s="987"/>
      <c r="J258" s="987"/>
      <c r="K258" s="89">
        <f>SUM(K257:K257)</f>
        <v>2</v>
      </c>
      <c r="L258" s="90"/>
    </row>
    <row r="259" spans="2:12" hidden="1">
      <c r="B259" s="301"/>
      <c r="C259" s="211"/>
      <c r="D259" s="211"/>
      <c r="E259" s="211"/>
      <c r="F259" s="211"/>
      <c r="G259" s="211"/>
      <c r="H259" s="211"/>
      <c r="I259" s="211"/>
      <c r="J259" s="211"/>
      <c r="K259" s="212"/>
      <c r="L259" s="90"/>
    </row>
    <row r="260" spans="2:12" ht="27.75" hidden="1" customHeight="1">
      <c r="B260" s="85" t="str">
        <f>'[6]PLANILHA ORÇAMENTÁRIA'!D80</f>
        <v>11.10</v>
      </c>
      <c r="C260" s="1032" t="str">
        <f>'[6]PLANILHA ORÇAMENTÁRIA'!E80</f>
        <v>TORNEIRA CROMADA DE MESA, 1/2" OU 3/4", PARA LAVATÓRIO, PADRÃO POPULAR - FORNECIMENTO E INSTALAÇÃO. AF_12/2013</v>
      </c>
      <c r="D260" s="1032"/>
      <c r="E260" s="1032"/>
      <c r="F260" s="1032"/>
      <c r="G260" s="1032"/>
      <c r="H260" s="1032"/>
      <c r="I260" s="1032"/>
      <c r="J260" s="1032"/>
      <c r="K260" s="294" t="str">
        <f>'[6]PLANILHA ORÇAMENTÁRIA'!F80</f>
        <v>UND</v>
      </c>
      <c r="L260" s="295" t="e">
        <f>#REF!</f>
        <v>#REF!</v>
      </c>
    </row>
    <row r="261" spans="2:12" hidden="1">
      <c r="B261" s="301"/>
      <c r="C261" s="1028"/>
      <c r="D261" s="1028"/>
      <c r="E261" s="1028"/>
      <c r="F261" s="91">
        <v>2</v>
      </c>
      <c r="G261" s="91"/>
      <c r="H261" s="91"/>
      <c r="I261" s="91"/>
      <c r="J261" s="91"/>
      <c r="K261" s="282">
        <f>F261</f>
        <v>2</v>
      </c>
      <c r="L261" s="90"/>
    </row>
    <row r="262" spans="2:12" hidden="1">
      <c r="B262" s="301"/>
      <c r="C262" s="987" t="s">
        <v>116</v>
      </c>
      <c r="D262" s="987"/>
      <c r="E262" s="987"/>
      <c r="F262" s="987"/>
      <c r="G262" s="987"/>
      <c r="H262" s="987"/>
      <c r="I262" s="987"/>
      <c r="J262" s="987"/>
      <c r="K262" s="89">
        <f>SUM(K261:K261)</f>
        <v>2</v>
      </c>
      <c r="L262" s="90"/>
    </row>
    <row r="263" spans="2:12" hidden="1">
      <c r="B263" s="301"/>
      <c r="C263" s="1028"/>
      <c r="D263" s="1028"/>
      <c r="E263" s="1028"/>
      <c r="F263" s="91">
        <v>1</v>
      </c>
      <c r="G263" s="91"/>
      <c r="H263" s="91"/>
      <c r="I263" s="91"/>
      <c r="J263" s="91"/>
      <c r="K263" s="282">
        <f>F263</f>
        <v>1</v>
      </c>
      <c r="L263" s="90"/>
    </row>
    <row r="264" spans="2:12" hidden="1">
      <c r="B264" s="301"/>
      <c r="C264" s="987" t="s">
        <v>116</v>
      </c>
      <c r="D264" s="987"/>
      <c r="E264" s="987"/>
      <c r="F264" s="987"/>
      <c r="G264" s="987"/>
      <c r="H264" s="987"/>
      <c r="I264" s="987"/>
      <c r="J264" s="987"/>
      <c r="K264" s="89">
        <f>SUM(K263:K263)</f>
        <v>1</v>
      </c>
      <c r="L264" s="90"/>
    </row>
    <row r="265" spans="2:12" hidden="1">
      <c r="B265" s="301"/>
      <c r="C265" s="211"/>
      <c r="D265" s="211"/>
      <c r="E265" s="211"/>
      <c r="F265" s="211"/>
      <c r="G265" s="211"/>
      <c r="H265" s="211"/>
      <c r="I265" s="211"/>
      <c r="J265" s="211"/>
      <c r="K265" s="212"/>
      <c r="L265" s="90"/>
    </row>
    <row r="266" spans="2:12" ht="31.5" hidden="1" customHeight="1">
      <c r="B266" s="85" t="str">
        <f>'[6]PLANILHA ORÇAMENTÁRIA'!D83</f>
        <v>11.13</v>
      </c>
      <c r="C266" s="1032" t="str">
        <f>'[6]PLANILHA ORÇAMENTÁRIA'!E83</f>
        <v>JOELHO 45 GRAUS, PVC, SERIE NORMAL, ESGOTO PREDIAL, DN 40 MM, JUNTA SOLDÁVEL, FORNECIDO E INSTALADO EM RAMAL DE DESCARGA OU RAMAL DE ESGOTO SANITÁRIO. AF_12/2014.</v>
      </c>
      <c r="D266" s="1032"/>
      <c r="E266" s="1032"/>
      <c r="F266" s="1032"/>
      <c r="G266" s="1032"/>
      <c r="H266" s="1032"/>
      <c r="I266" s="1032"/>
      <c r="J266" s="1032"/>
      <c r="K266" s="294" t="str">
        <f>'[6]PLANILHA ORÇAMENTÁRIA'!F83</f>
        <v>UND</v>
      </c>
      <c r="L266" s="295">
        <f>K269</f>
        <v>3</v>
      </c>
    </row>
    <row r="267" spans="2:12" hidden="1">
      <c r="B267" s="301"/>
      <c r="C267" s="983" t="s">
        <v>20</v>
      </c>
      <c r="D267" s="983"/>
      <c r="E267" s="983"/>
      <c r="F267" s="87" t="s">
        <v>22</v>
      </c>
      <c r="G267" s="279" t="s">
        <v>111</v>
      </c>
      <c r="H267" s="279" t="s">
        <v>114</v>
      </c>
      <c r="I267" s="279" t="s">
        <v>113</v>
      </c>
      <c r="J267" s="279" t="s">
        <v>136</v>
      </c>
      <c r="K267" s="89" t="s">
        <v>25</v>
      </c>
      <c r="L267" s="90"/>
    </row>
    <row r="268" spans="2:12" hidden="1">
      <c r="B268" s="301"/>
      <c r="C268" s="1028"/>
      <c r="D268" s="1028"/>
      <c r="E268" s="1028"/>
      <c r="F268" s="91">
        <v>3</v>
      </c>
      <c r="G268" s="91"/>
      <c r="H268" s="91"/>
      <c r="I268" s="91"/>
      <c r="J268" s="91"/>
      <c r="K268" s="282">
        <f>F268</f>
        <v>3</v>
      </c>
      <c r="L268" s="90"/>
    </row>
    <row r="269" spans="2:12" hidden="1">
      <c r="B269" s="301"/>
      <c r="C269" s="987" t="s">
        <v>116</v>
      </c>
      <c r="D269" s="987"/>
      <c r="E269" s="987"/>
      <c r="F269" s="987"/>
      <c r="G269" s="987"/>
      <c r="H269" s="987"/>
      <c r="I269" s="987"/>
      <c r="J269" s="987"/>
      <c r="K269" s="89">
        <f>SUM(K268:K268)</f>
        <v>3</v>
      </c>
      <c r="L269" s="90"/>
    </row>
    <row r="270" spans="2:12" hidden="1">
      <c r="B270" s="219"/>
      <c r="C270" s="219"/>
      <c r="D270" s="219"/>
      <c r="E270" s="219"/>
      <c r="F270" s="219"/>
      <c r="G270" s="219"/>
      <c r="H270" s="219"/>
      <c r="I270" s="219"/>
      <c r="J270" s="219"/>
      <c r="K270" s="219"/>
      <c r="L270" s="219"/>
    </row>
    <row r="271" spans="2:12" ht="29.25" hidden="1" customHeight="1">
      <c r="B271" s="85" t="str">
        <f>'[6]PLANILHA ORÇAMENTÁRIA'!D84</f>
        <v>11.14</v>
      </c>
      <c r="C271" s="1032" t="str">
        <f>'[6]PLANILHA ORÇAMENTÁRIA'!E84</f>
        <v>JOELHO 90 GRAUS, PVC, SERIE NORMAL, ESGOTO PREDIAL, DN 40 MM, JUNTA SOLDÁVEL, FORNECIDO E INSTALADO EM RAMAL DE DESCARGA OU RAMAL DE ESGOTO SANITÁRIO. AF_12/2014.</v>
      </c>
      <c r="D271" s="1032"/>
      <c r="E271" s="1032"/>
      <c r="F271" s="1032"/>
      <c r="G271" s="1032"/>
      <c r="H271" s="1032"/>
      <c r="I271" s="1032"/>
      <c r="J271" s="1032"/>
      <c r="K271" s="294" t="str">
        <f>'[6]PLANILHA ORÇAMENTÁRIA'!F84</f>
        <v>UND</v>
      </c>
      <c r="L271" s="295">
        <f>K274</f>
        <v>3</v>
      </c>
    </row>
    <row r="272" spans="2:12" hidden="1">
      <c r="B272" s="301"/>
      <c r="C272" s="983" t="s">
        <v>20</v>
      </c>
      <c r="D272" s="983"/>
      <c r="E272" s="983"/>
      <c r="F272" s="87" t="s">
        <v>22</v>
      </c>
      <c r="G272" s="279" t="s">
        <v>111</v>
      </c>
      <c r="H272" s="279" t="s">
        <v>114</v>
      </c>
      <c r="I272" s="279" t="s">
        <v>113</v>
      </c>
      <c r="J272" s="279" t="s">
        <v>136</v>
      </c>
      <c r="K272" s="89" t="s">
        <v>25</v>
      </c>
      <c r="L272" s="90"/>
    </row>
    <row r="273" spans="2:12" hidden="1">
      <c r="B273" s="301"/>
      <c r="C273" s="1028"/>
      <c r="D273" s="1028"/>
      <c r="E273" s="1028"/>
      <c r="F273" s="91">
        <v>3</v>
      </c>
      <c r="G273" s="91"/>
      <c r="H273" s="91"/>
      <c r="I273" s="91"/>
      <c r="J273" s="91"/>
      <c r="K273" s="282">
        <f>F273</f>
        <v>3</v>
      </c>
      <c r="L273" s="90"/>
    </row>
    <row r="274" spans="2:12" hidden="1">
      <c r="B274" s="301"/>
      <c r="C274" s="987" t="s">
        <v>116</v>
      </c>
      <c r="D274" s="987"/>
      <c r="E274" s="987"/>
      <c r="F274" s="987"/>
      <c r="G274" s="987"/>
      <c r="H274" s="987"/>
      <c r="I274" s="987"/>
      <c r="J274" s="987"/>
      <c r="K274" s="89">
        <f>SUM(K273:K273)</f>
        <v>3</v>
      </c>
      <c r="L274" s="90"/>
    </row>
    <row r="275" spans="2:12" hidden="1">
      <c r="B275" s="219"/>
      <c r="C275" s="219"/>
      <c r="D275" s="219"/>
      <c r="E275" s="219"/>
      <c r="F275" s="219"/>
      <c r="G275" s="219"/>
      <c r="H275" s="219"/>
      <c r="I275" s="219"/>
      <c r="J275" s="219"/>
      <c r="K275" s="219"/>
      <c r="L275" s="219"/>
    </row>
    <row r="276" spans="2:12" ht="25.5" hidden="1" customHeight="1">
      <c r="B276" s="85" t="str">
        <f>'[6]PLANILHA ORÇAMENTÁRIA'!D85</f>
        <v>11.15</v>
      </c>
      <c r="C276" s="1032" t="str">
        <f>'[6]PLANILHA ORÇAMENTÁRIA'!E85</f>
        <v>TUBO PVC, SERIE NORMAL, ESGOTO PREDIAL, DN 40 MM, FORNECIDO E INSTALADO EM RAMAL DE DESCARGA OU RAMAL DE ESGOTO SANITÁRIO. AF_12/2014.</v>
      </c>
      <c r="D276" s="1032"/>
      <c r="E276" s="1032"/>
      <c r="F276" s="1032"/>
      <c r="G276" s="1032"/>
      <c r="H276" s="1032"/>
      <c r="I276" s="1032"/>
      <c r="J276" s="1032"/>
      <c r="K276" s="294" t="str">
        <f>'[6]PLANILHA ORÇAMENTÁRIA'!F85</f>
        <v>M</v>
      </c>
      <c r="L276" s="295">
        <f>K279</f>
        <v>6</v>
      </c>
    </row>
    <row r="277" spans="2:12" hidden="1">
      <c r="B277" s="301"/>
      <c r="C277" s="983" t="s">
        <v>20</v>
      </c>
      <c r="D277" s="983"/>
      <c r="E277" s="983"/>
      <c r="F277" s="87" t="s">
        <v>22</v>
      </c>
      <c r="G277" s="279" t="s">
        <v>111</v>
      </c>
      <c r="H277" s="279" t="s">
        <v>114</v>
      </c>
      <c r="I277" s="279" t="s">
        <v>113</v>
      </c>
      <c r="J277" s="279" t="s">
        <v>136</v>
      </c>
      <c r="K277" s="89" t="s">
        <v>25</v>
      </c>
      <c r="L277" s="90"/>
    </row>
    <row r="278" spans="2:12" hidden="1">
      <c r="B278" s="301"/>
      <c r="C278" s="1028"/>
      <c r="D278" s="1028"/>
      <c r="E278" s="1028"/>
      <c r="F278" s="91">
        <v>6</v>
      </c>
      <c r="G278" s="91"/>
      <c r="H278" s="91"/>
      <c r="I278" s="91"/>
      <c r="J278" s="91"/>
      <c r="K278" s="282">
        <f>F278</f>
        <v>6</v>
      </c>
      <c r="L278" s="90"/>
    </row>
    <row r="279" spans="2:12" hidden="1">
      <c r="B279" s="301"/>
      <c r="C279" s="987" t="s">
        <v>116</v>
      </c>
      <c r="D279" s="987"/>
      <c r="E279" s="987"/>
      <c r="F279" s="987"/>
      <c r="G279" s="987"/>
      <c r="H279" s="987"/>
      <c r="I279" s="987"/>
      <c r="J279" s="987"/>
      <c r="K279" s="89">
        <f>SUM(K278:K278)</f>
        <v>6</v>
      </c>
      <c r="L279" s="90"/>
    </row>
    <row r="280" spans="2:12" hidden="1">
      <c r="B280" s="219"/>
      <c r="C280" s="219"/>
      <c r="D280" s="219"/>
      <c r="E280" s="219"/>
      <c r="F280" s="219"/>
      <c r="G280" s="219"/>
      <c r="H280" s="219"/>
      <c r="I280" s="219"/>
      <c r="J280" s="219"/>
      <c r="K280" s="219"/>
      <c r="L280" s="219"/>
    </row>
    <row r="281" spans="2:12" ht="25.5" hidden="1" customHeight="1">
      <c r="B281" s="85" t="str">
        <f>'[6]PLANILHA ORÇAMENTÁRIA'!D86</f>
        <v>11.16</v>
      </c>
      <c r="C281" s="1032" t="str">
        <f>'[6]PLANILHA ORÇAMENTÁRIA'!E86</f>
        <v>LUVA SIMPLES, PVC, SERIE NORMAL, ESGOTO PREDIAL, DN 40 MM, JUNTA SOLDÁVEL, FORNECIDO E INSTALADO EM RAMAL DE DESCARGA OU RAMAL DE ESGOTO SANITÁRIO. AF_12/2014</v>
      </c>
      <c r="D281" s="1032"/>
      <c r="E281" s="1032"/>
      <c r="F281" s="1032"/>
      <c r="G281" s="1032"/>
      <c r="H281" s="1032"/>
      <c r="I281" s="1032"/>
      <c r="J281" s="1032"/>
      <c r="K281" s="294" t="str">
        <f>'[6]PLANILHA ORÇAMENTÁRIA'!F86</f>
        <v>UND</v>
      </c>
      <c r="L281" s="295">
        <f>K284</f>
        <v>3</v>
      </c>
    </row>
    <row r="282" spans="2:12" hidden="1">
      <c r="B282" s="301"/>
      <c r="C282" s="983" t="s">
        <v>20</v>
      </c>
      <c r="D282" s="983"/>
      <c r="E282" s="983"/>
      <c r="F282" s="87" t="s">
        <v>22</v>
      </c>
      <c r="G282" s="279" t="s">
        <v>111</v>
      </c>
      <c r="H282" s="279" t="s">
        <v>114</v>
      </c>
      <c r="I282" s="279" t="s">
        <v>113</v>
      </c>
      <c r="J282" s="279" t="s">
        <v>136</v>
      </c>
      <c r="K282" s="89" t="s">
        <v>25</v>
      </c>
      <c r="L282" s="90"/>
    </row>
    <row r="283" spans="2:12" hidden="1">
      <c r="B283" s="301"/>
      <c r="C283" s="1028"/>
      <c r="D283" s="1028"/>
      <c r="E283" s="1028"/>
      <c r="F283" s="91">
        <v>3</v>
      </c>
      <c r="G283" s="91"/>
      <c r="H283" s="91"/>
      <c r="I283" s="91"/>
      <c r="J283" s="91"/>
      <c r="K283" s="282">
        <f>F283</f>
        <v>3</v>
      </c>
      <c r="L283" s="90"/>
    </row>
    <row r="284" spans="2:12" hidden="1">
      <c r="B284" s="301"/>
      <c r="C284" s="987" t="s">
        <v>116</v>
      </c>
      <c r="D284" s="987"/>
      <c r="E284" s="987"/>
      <c r="F284" s="987"/>
      <c r="G284" s="987"/>
      <c r="H284" s="987"/>
      <c r="I284" s="987"/>
      <c r="J284" s="987"/>
      <c r="K284" s="89">
        <f>SUM(K283:K283)</f>
        <v>3</v>
      </c>
      <c r="L284" s="90"/>
    </row>
    <row r="285" spans="2:12" hidden="1">
      <c r="B285" s="219"/>
      <c r="C285" s="219"/>
      <c r="D285" s="219"/>
      <c r="E285" s="219"/>
      <c r="F285" s="219"/>
      <c r="G285" s="219"/>
      <c r="H285" s="219"/>
      <c r="I285" s="219"/>
      <c r="J285" s="219"/>
      <c r="K285" s="219"/>
      <c r="L285" s="219"/>
    </row>
    <row r="286" spans="2:12" ht="27.75" hidden="1" customHeight="1">
      <c r="B286" s="85" t="str">
        <f>'[6]PLANILHA ORÇAMENTÁRIA'!D87</f>
        <v>11.17</v>
      </c>
      <c r="C286" s="1032" t="str">
        <f>'[6]PLANILHA ORÇAMENTÁRIA'!E87</f>
        <v>TUBO PVC, SERIE NORMAL, ESGOTO PREDIAL, DN 50 MM, FORNECIDO E INSTALADO EM RAMAL DE DESCARGA OU RAMAL DE ESGOTO SANITÁRIO. AF_12/2014.</v>
      </c>
      <c r="D286" s="1032"/>
      <c r="E286" s="1032"/>
      <c r="F286" s="1032"/>
      <c r="G286" s="1032"/>
      <c r="H286" s="1032"/>
      <c r="I286" s="1032"/>
      <c r="J286" s="1032"/>
      <c r="K286" s="294" t="str">
        <f>'[6]PLANILHA ORÇAMENTÁRIA'!F87</f>
        <v>M</v>
      </c>
      <c r="L286" s="295">
        <f>K289</f>
        <v>6</v>
      </c>
    </row>
    <row r="287" spans="2:12" hidden="1">
      <c r="B287" s="301"/>
      <c r="C287" s="983" t="s">
        <v>20</v>
      </c>
      <c r="D287" s="983"/>
      <c r="E287" s="983"/>
      <c r="F287" s="87" t="s">
        <v>22</v>
      </c>
      <c r="G287" s="279" t="s">
        <v>111</v>
      </c>
      <c r="H287" s="279" t="s">
        <v>114</v>
      </c>
      <c r="I287" s="279" t="s">
        <v>113</v>
      </c>
      <c r="J287" s="279" t="s">
        <v>136</v>
      </c>
      <c r="K287" s="89" t="s">
        <v>25</v>
      </c>
      <c r="L287" s="90"/>
    </row>
    <row r="288" spans="2:12" hidden="1">
      <c r="B288" s="301"/>
      <c r="C288" s="1028"/>
      <c r="D288" s="1028"/>
      <c r="E288" s="1028"/>
      <c r="F288" s="91">
        <v>6</v>
      </c>
      <c r="G288" s="91"/>
      <c r="H288" s="91"/>
      <c r="I288" s="91"/>
      <c r="J288" s="91"/>
      <c r="K288" s="282">
        <f>F288</f>
        <v>6</v>
      </c>
      <c r="L288" s="90"/>
    </row>
    <row r="289" spans="2:12" hidden="1">
      <c r="B289" s="301"/>
      <c r="C289" s="987" t="s">
        <v>116</v>
      </c>
      <c r="D289" s="987"/>
      <c r="E289" s="987"/>
      <c r="F289" s="987"/>
      <c r="G289" s="987"/>
      <c r="H289" s="987"/>
      <c r="I289" s="987"/>
      <c r="J289" s="987"/>
      <c r="K289" s="89">
        <f>SUM(K288:K288)</f>
        <v>6</v>
      </c>
      <c r="L289" s="90"/>
    </row>
    <row r="290" spans="2:12" hidden="1">
      <c r="B290" s="219"/>
      <c r="C290" s="219"/>
      <c r="D290" s="219"/>
      <c r="E290" s="219"/>
      <c r="F290" s="219"/>
      <c r="G290" s="219"/>
      <c r="H290" s="219"/>
      <c r="I290" s="219"/>
      <c r="J290" s="219"/>
      <c r="K290" s="219"/>
      <c r="L290" s="219"/>
    </row>
    <row r="291" spans="2:12" ht="27" hidden="1" customHeight="1">
      <c r="B291" s="85" t="str">
        <f>'[6]PLANILHA ORÇAMENTÁRIA'!D88</f>
        <v>11.18</v>
      </c>
      <c r="C291" s="1032" t="str">
        <f>'[6]PLANILHA ORÇAMENTÁRIA'!E88</f>
        <v>JOELHO 45 GRAUS, PVC, SERIE NORMAL, ESGOTO PREDIAL, DN 100 MM, JUNTA ELÁSTICA, FORNECIDO E INSTALADO EM RAMAL DE DESCARGA OU RAMAL DE ESGOTO SANITÁRIO. AF_12/2014.</v>
      </c>
      <c r="D291" s="1032"/>
      <c r="E291" s="1032"/>
      <c r="F291" s="1032"/>
      <c r="G291" s="1032"/>
      <c r="H291" s="1032"/>
      <c r="I291" s="1032"/>
      <c r="J291" s="1032"/>
      <c r="K291" s="294" t="str">
        <f>'[6]PLANILHA ORÇAMENTÁRIA'!F88</f>
        <v>UND</v>
      </c>
      <c r="L291" s="295">
        <f>K294</f>
        <v>2</v>
      </c>
    </row>
    <row r="292" spans="2:12" hidden="1">
      <c r="B292" s="301"/>
      <c r="C292" s="983" t="s">
        <v>20</v>
      </c>
      <c r="D292" s="983"/>
      <c r="E292" s="983"/>
      <c r="F292" s="87" t="s">
        <v>22</v>
      </c>
      <c r="G292" s="279" t="s">
        <v>111</v>
      </c>
      <c r="H292" s="279" t="s">
        <v>114</v>
      </c>
      <c r="I292" s="279" t="s">
        <v>113</v>
      </c>
      <c r="J292" s="279" t="s">
        <v>136</v>
      </c>
      <c r="K292" s="89" t="s">
        <v>25</v>
      </c>
      <c r="L292" s="90"/>
    </row>
    <row r="293" spans="2:12" hidden="1">
      <c r="B293" s="301"/>
      <c r="C293" s="1028"/>
      <c r="D293" s="1028"/>
      <c r="E293" s="1028"/>
      <c r="F293" s="91">
        <v>2</v>
      </c>
      <c r="G293" s="91"/>
      <c r="H293" s="91"/>
      <c r="I293" s="91"/>
      <c r="J293" s="91"/>
      <c r="K293" s="282">
        <f>F293</f>
        <v>2</v>
      </c>
      <c r="L293" s="90"/>
    </row>
    <row r="294" spans="2:12" hidden="1">
      <c r="B294" s="301"/>
      <c r="C294" s="987" t="s">
        <v>116</v>
      </c>
      <c r="D294" s="987"/>
      <c r="E294" s="987"/>
      <c r="F294" s="987"/>
      <c r="G294" s="987"/>
      <c r="H294" s="987"/>
      <c r="I294" s="987"/>
      <c r="J294" s="987"/>
      <c r="K294" s="89">
        <f>SUM(K293:K293)</f>
        <v>2</v>
      </c>
      <c r="L294" s="90"/>
    </row>
    <row r="295" spans="2:12" hidden="1">
      <c r="B295" s="219"/>
      <c r="C295" s="219"/>
      <c r="D295" s="219"/>
      <c r="E295" s="219"/>
      <c r="F295" s="219"/>
      <c r="G295" s="219"/>
      <c r="H295" s="219"/>
      <c r="I295" s="219"/>
      <c r="J295" s="219"/>
      <c r="K295" s="219"/>
      <c r="L295" s="219"/>
    </row>
    <row r="296" spans="2:12" ht="25.5" hidden="1" customHeight="1">
      <c r="B296" s="85" t="str">
        <f>'[6]PLANILHA ORÇAMENTÁRIA'!D89</f>
        <v>11.19</v>
      </c>
      <c r="C296" s="1032" t="str">
        <f>'[6]PLANILHA ORÇAMENTÁRIA'!E89</f>
        <v>JOELHO 90 GRAUS, PVC, SERIE NORMAL, ESGOTO PREDIAL, DN 100 MM, JUNTA ELÁSTICA, FORNECIDO E INSTALADO EM RAMAL DE DESCARGA OU RAMAL DE ESGOTO SANITÁRIO. AF_12/2014.</v>
      </c>
      <c r="D296" s="1032"/>
      <c r="E296" s="1032"/>
      <c r="F296" s="1032"/>
      <c r="G296" s="1032"/>
      <c r="H296" s="1032"/>
      <c r="I296" s="1032"/>
      <c r="J296" s="1032"/>
      <c r="K296" s="294" t="str">
        <f>'[6]PLANILHA ORÇAMENTÁRIA'!F89</f>
        <v>UND</v>
      </c>
      <c r="L296" s="295">
        <f>K299</f>
        <v>2</v>
      </c>
    </row>
    <row r="297" spans="2:12" hidden="1">
      <c r="B297" s="301"/>
      <c r="C297" s="983" t="s">
        <v>20</v>
      </c>
      <c r="D297" s="983"/>
      <c r="E297" s="983"/>
      <c r="F297" s="87" t="s">
        <v>22</v>
      </c>
      <c r="G297" s="279" t="s">
        <v>111</v>
      </c>
      <c r="H297" s="279" t="s">
        <v>114</v>
      </c>
      <c r="I297" s="279" t="s">
        <v>113</v>
      </c>
      <c r="J297" s="279" t="s">
        <v>136</v>
      </c>
      <c r="K297" s="89" t="s">
        <v>25</v>
      </c>
      <c r="L297" s="90"/>
    </row>
    <row r="298" spans="2:12" hidden="1">
      <c r="B298" s="301"/>
      <c r="C298" s="1028"/>
      <c r="D298" s="1028"/>
      <c r="E298" s="1028"/>
      <c r="F298" s="91">
        <v>2</v>
      </c>
      <c r="G298" s="91"/>
      <c r="H298" s="91"/>
      <c r="I298" s="91"/>
      <c r="J298" s="91"/>
      <c r="K298" s="282">
        <f>F298</f>
        <v>2</v>
      </c>
      <c r="L298" s="90"/>
    </row>
    <row r="299" spans="2:12" hidden="1">
      <c r="B299" s="301"/>
      <c r="C299" s="987" t="s">
        <v>116</v>
      </c>
      <c r="D299" s="987"/>
      <c r="E299" s="987"/>
      <c r="F299" s="987"/>
      <c r="G299" s="987"/>
      <c r="H299" s="987"/>
      <c r="I299" s="987"/>
      <c r="J299" s="987"/>
      <c r="K299" s="89">
        <f>SUM(K298:K298)</f>
        <v>2</v>
      </c>
      <c r="L299" s="90"/>
    </row>
    <row r="300" spans="2:12" hidden="1">
      <c r="B300" s="219"/>
      <c r="C300" s="219"/>
      <c r="D300" s="219"/>
      <c r="E300" s="219"/>
      <c r="F300" s="219"/>
      <c r="G300" s="219"/>
      <c r="H300" s="219"/>
      <c r="I300" s="219"/>
      <c r="J300" s="219"/>
      <c r="K300" s="219"/>
      <c r="L300" s="219"/>
    </row>
    <row r="301" spans="2:12" ht="25.5" hidden="1" customHeight="1">
      <c r="B301" s="85" t="str">
        <f>'[6]PLANILHA ORÇAMENTÁRIA'!D90</f>
        <v>11.20</v>
      </c>
      <c r="C301" s="1032" t="str">
        <f>'[6]PLANILHA ORÇAMENTÁRIA'!E90</f>
        <v>TUBO PVC, SERIE NORMAL, ESGOTO PREDIAL, DN 100 MM, FORNECIDO E INSTALADO EM RAMAL DE DESCARGA OU RAMAL DE ESGOTO SANITÁRIO. AF_12/2014</v>
      </c>
      <c r="D301" s="1032"/>
      <c r="E301" s="1032"/>
      <c r="F301" s="1032"/>
      <c r="G301" s="1032"/>
      <c r="H301" s="1032"/>
      <c r="I301" s="1032"/>
      <c r="J301" s="1032"/>
      <c r="K301" s="294" t="str">
        <f>'[6]PLANILHA ORÇAMENTÁRIA'!F90</f>
        <v>M</v>
      </c>
      <c r="L301" s="295">
        <f>K304</f>
        <v>12</v>
      </c>
    </row>
    <row r="302" spans="2:12" hidden="1">
      <c r="B302" s="301"/>
      <c r="C302" s="983" t="s">
        <v>20</v>
      </c>
      <c r="D302" s="983"/>
      <c r="E302" s="983"/>
      <c r="F302" s="87" t="s">
        <v>22</v>
      </c>
      <c r="G302" s="279" t="s">
        <v>111</v>
      </c>
      <c r="H302" s="279" t="s">
        <v>114</v>
      </c>
      <c r="I302" s="279" t="s">
        <v>113</v>
      </c>
      <c r="J302" s="279" t="s">
        <v>136</v>
      </c>
      <c r="K302" s="89" t="s">
        <v>25</v>
      </c>
      <c r="L302" s="90"/>
    </row>
    <row r="303" spans="2:12" hidden="1">
      <c r="B303" s="301"/>
      <c r="C303" s="1028"/>
      <c r="D303" s="1028"/>
      <c r="E303" s="1028"/>
      <c r="F303" s="91">
        <v>12</v>
      </c>
      <c r="G303" s="91"/>
      <c r="H303" s="91"/>
      <c r="I303" s="91"/>
      <c r="J303" s="91"/>
      <c r="K303" s="282">
        <f>F303</f>
        <v>12</v>
      </c>
      <c r="L303" s="90"/>
    </row>
    <row r="304" spans="2:12" hidden="1">
      <c r="B304" s="301"/>
      <c r="C304" s="987" t="s">
        <v>116</v>
      </c>
      <c r="D304" s="987"/>
      <c r="E304" s="987"/>
      <c r="F304" s="987"/>
      <c r="G304" s="987"/>
      <c r="H304" s="987"/>
      <c r="I304" s="987"/>
      <c r="J304" s="987"/>
      <c r="K304" s="89">
        <f>SUM(K303:K303)</f>
        <v>12</v>
      </c>
      <c r="L304" s="90"/>
    </row>
    <row r="305" spans="2:12" hidden="1">
      <c r="B305" s="219"/>
      <c r="C305" s="219"/>
      <c r="D305" s="219"/>
      <c r="E305" s="219"/>
      <c r="F305" s="219"/>
      <c r="G305" s="219"/>
      <c r="H305" s="219"/>
      <c r="I305" s="219"/>
      <c r="J305" s="219"/>
      <c r="K305" s="219"/>
      <c r="L305" s="219"/>
    </row>
    <row r="306" spans="2:12" ht="24" hidden="1" customHeight="1">
      <c r="B306" s="85" t="str">
        <f>'[6]PLANILHA ORÇAMENTÁRIA'!D91</f>
        <v>11.21</v>
      </c>
      <c r="C306" s="1032" t="str">
        <f>'[6]PLANILHA ORÇAMENTÁRIA'!E91</f>
        <v>LUVA SIMPLES, PVC, SERIE NORMAL, ESGOTO PREDIAL, DN 100 MM, JUNTA ELÁSTICA, FORNECIDO E INSTALADO EM RAMAL DE DESCARGA OU RAMAL DE ESGOTO SANITÁRIO. AF_12/2014</v>
      </c>
      <c r="D306" s="1032"/>
      <c r="E306" s="1032"/>
      <c r="F306" s="1032"/>
      <c r="G306" s="1032"/>
      <c r="H306" s="1032"/>
      <c r="I306" s="1032"/>
      <c r="J306" s="1032"/>
      <c r="K306" s="294" t="str">
        <f>'[6]PLANILHA ORÇAMENTÁRIA'!F91</f>
        <v>UND</v>
      </c>
      <c r="L306" s="295">
        <f>K309</f>
        <v>2</v>
      </c>
    </row>
    <row r="307" spans="2:12" hidden="1">
      <c r="B307" s="301"/>
      <c r="C307" s="983" t="s">
        <v>20</v>
      </c>
      <c r="D307" s="983"/>
      <c r="E307" s="983"/>
      <c r="F307" s="87" t="s">
        <v>22</v>
      </c>
      <c r="G307" s="279" t="s">
        <v>111</v>
      </c>
      <c r="H307" s="279" t="s">
        <v>114</v>
      </c>
      <c r="I307" s="279" t="s">
        <v>113</v>
      </c>
      <c r="J307" s="279" t="s">
        <v>136</v>
      </c>
      <c r="K307" s="89" t="s">
        <v>25</v>
      </c>
      <c r="L307" s="90"/>
    </row>
    <row r="308" spans="2:12" hidden="1">
      <c r="B308" s="301"/>
      <c r="C308" s="1028"/>
      <c r="D308" s="1028"/>
      <c r="E308" s="1028"/>
      <c r="F308" s="91">
        <v>2</v>
      </c>
      <c r="G308" s="91"/>
      <c r="H308" s="91"/>
      <c r="I308" s="91"/>
      <c r="J308" s="91"/>
      <c r="K308" s="282">
        <f>F308</f>
        <v>2</v>
      </c>
      <c r="L308" s="90"/>
    </row>
    <row r="309" spans="2:12" hidden="1">
      <c r="B309" s="301"/>
      <c r="C309" s="987" t="s">
        <v>116</v>
      </c>
      <c r="D309" s="987"/>
      <c r="E309" s="987"/>
      <c r="F309" s="987"/>
      <c r="G309" s="987"/>
      <c r="H309" s="987"/>
      <c r="I309" s="987"/>
      <c r="J309" s="987"/>
      <c r="K309" s="89">
        <f>SUM(K308:K308)</f>
        <v>2</v>
      </c>
      <c r="L309" s="90"/>
    </row>
    <row r="310" spans="2:12" hidden="1">
      <c r="B310" s="219"/>
      <c r="C310" s="219"/>
      <c r="D310" s="219"/>
      <c r="E310" s="219"/>
      <c r="F310" s="219"/>
      <c r="G310" s="219"/>
      <c r="H310" s="219"/>
      <c r="I310" s="219"/>
      <c r="J310" s="219"/>
      <c r="K310" s="219"/>
      <c r="L310" s="219"/>
    </row>
    <row r="311" spans="2:12" ht="46.5" hidden="1" customHeight="1">
      <c r="B311" s="85" t="str">
        <f>'[6]PLANILHA ORÇAMENTÁRIA'!D92</f>
        <v>11.22</v>
      </c>
      <c r="C311" s="1032" t="str">
        <f>'[6]PLANILHA ORÇAMENTÁRIA'!E92</f>
        <v>COLETOR PREDIAL DE ESGOTO, DA CAIXA ATÉ A REDE (DISTÂNCIA = 8 M, LARGURA DA VALA = 0,65 M), INCLUINDO ESCAVAÇÃO MECANIZADA, PREPARO DE FUNDO DE VALA E REATERRO COM COMPACTAÇÃO MECANIZADA, TUBO PVC P/ REDE COLETORA ESGOTO JEI DN 100 MM E CONEXÕES - FORNECIMENTO E INSTALAÇÃO. AF_03/2016</v>
      </c>
      <c r="D311" s="1032"/>
      <c r="E311" s="1032"/>
      <c r="F311" s="1032"/>
      <c r="G311" s="1032"/>
      <c r="H311" s="1032"/>
      <c r="I311" s="1032"/>
      <c r="J311" s="1032"/>
      <c r="K311" s="294" t="str">
        <f>'[6]PLANILHA ORÇAMENTÁRIA'!F92</f>
        <v>UND</v>
      </c>
      <c r="L311" s="295">
        <f>K314</f>
        <v>1</v>
      </c>
    </row>
    <row r="312" spans="2:12" hidden="1">
      <c r="B312" s="301"/>
      <c r="C312" s="983" t="s">
        <v>20</v>
      </c>
      <c r="D312" s="983"/>
      <c r="E312" s="983"/>
      <c r="F312" s="87" t="s">
        <v>22</v>
      </c>
      <c r="G312" s="279" t="s">
        <v>111</v>
      </c>
      <c r="H312" s="279" t="s">
        <v>114</v>
      </c>
      <c r="I312" s="279" t="s">
        <v>113</v>
      </c>
      <c r="J312" s="279" t="s">
        <v>136</v>
      </c>
      <c r="K312" s="89" t="s">
        <v>25</v>
      </c>
      <c r="L312" s="90"/>
    </row>
    <row r="313" spans="2:12" hidden="1">
      <c r="B313" s="301"/>
      <c r="C313" s="1028"/>
      <c r="D313" s="1028"/>
      <c r="E313" s="1028"/>
      <c r="F313" s="91">
        <v>1</v>
      </c>
      <c r="G313" s="91"/>
      <c r="H313" s="91"/>
      <c r="I313" s="91"/>
      <c r="J313" s="91"/>
      <c r="K313" s="282">
        <f>F313</f>
        <v>1</v>
      </c>
      <c r="L313" s="90"/>
    </row>
    <row r="314" spans="2:12" hidden="1">
      <c r="B314" s="301"/>
      <c r="C314" s="987" t="s">
        <v>116</v>
      </c>
      <c r="D314" s="987"/>
      <c r="E314" s="987"/>
      <c r="F314" s="987"/>
      <c r="G314" s="987"/>
      <c r="H314" s="987"/>
      <c r="I314" s="987"/>
      <c r="J314" s="987"/>
      <c r="K314" s="89">
        <f>SUM(K313:K313)</f>
        <v>1</v>
      </c>
      <c r="L314" s="90"/>
    </row>
    <row r="315" spans="2:12" hidden="1">
      <c r="B315" s="219"/>
      <c r="C315" s="219"/>
      <c r="D315" s="219"/>
      <c r="E315" s="219"/>
      <c r="F315" s="219"/>
      <c r="G315" s="219"/>
      <c r="H315" s="219"/>
      <c r="I315" s="219"/>
      <c r="J315" s="219"/>
      <c r="K315" s="219"/>
      <c r="L315" s="219"/>
    </row>
    <row r="316" spans="2:12" hidden="1">
      <c r="B316" s="292" t="str">
        <f>'[6]PLANILHA ORÇAMENTÁRIA'!D93</f>
        <v>12.0</v>
      </c>
      <c r="C316" s="1093" t="str">
        <f>'[6]PLANILHA ORÇAMENTÁRIA'!E93</f>
        <v>INSTALAÇÕES ELÉTRICAS</v>
      </c>
      <c r="D316" s="1093"/>
      <c r="E316" s="1093"/>
      <c r="F316" s="1093"/>
      <c r="G316" s="1093"/>
      <c r="H316" s="1093"/>
      <c r="I316" s="1093"/>
      <c r="J316" s="1093"/>
      <c r="K316" s="293"/>
      <c r="L316" s="293"/>
    </row>
    <row r="317" spans="2:12" ht="27.75" hidden="1" customHeight="1">
      <c r="B317" s="85" t="str">
        <f>'[6]PLANILHA ORÇAMENTÁRIA'!D94</f>
        <v>12.1</v>
      </c>
      <c r="C317" s="1032" t="str">
        <f>'[6]PLANILHA ORÇAMENTÁRIA'!E94</f>
        <v>PONTO DE ILUMINAÇÃO RESIDENCIAL INCLUINDO INTERRUPTOR SIMPLES, CAIXA ELÉTRICA, ELETRODUTO, CABO, RASGO, QUEBRA E CHUMBAMENTO (EXCLUINDO LUMINÁRIA E LÂMPADA). AF_01/2016</v>
      </c>
      <c r="D317" s="1032"/>
      <c r="E317" s="1032"/>
      <c r="F317" s="1032"/>
      <c r="G317" s="1032"/>
      <c r="H317" s="1032"/>
      <c r="I317" s="1032"/>
      <c r="J317" s="1032"/>
      <c r="K317" s="294" t="str">
        <f>'[6]PLANILHA ORÇAMENTÁRIA'!F94</f>
        <v>UND</v>
      </c>
      <c r="L317" s="295">
        <f>K320</f>
        <v>7</v>
      </c>
    </row>
    <row r="318" spans="2:12" hidden="1">
      <c r="B318" s="301"/>
      <c r="C318" s="983" t="s">
        <v>20</v>
      </c>
      <c r="D318" s="983"/>
      <c r="E318" s="983"/>
      <c r="F318" s="87" t="s">
        <v>22</v>
      </c>
      <c r="G318" s="279" t="s">
        <v>111</v>
      </c>
      <c r="H318" s="279" t="s">
        <v>114</v>
      </c>
      <c r="I318" s="279" t="s">
        <v>113</v>
      </c>
      <c r="J318" s="279" t="s">
        <v>136</v>
      </c>
      <c r="K318" s="89" t="s">
        <v>25</v>
      </c>
      <c r="L318" s="90"/>
    </row>
    <row r="319" spans="2:12" hidden="1">
      <c r="B319" s="301"/>
      <c r="C319" s="1028"/>
      <c r="D319" s="1028"/>
      <c r="E319" s="1028"/>
      <c r="F319" s="91">
        <f>'[6]PLANILHA ORÇAMENTÁRIA'!G94</f>
        <v>7</v>
      </c>
      <c r="G319" s="91"/>
      <c r="H319" s="91"/>
      <c r="I319" s="91"/>
      <c r="J319" s="91"/>
      <c r="K319" s="282">
        <f>F319</f>
        <v>7</v>
      </c>
      <c r="L319" s="90"/>
    </row>
    <row r="320" spans="2:12" hidden="1">
      <c r="B320" s="301"/>
      <c r="C320" s="987" t="s">
        <v>116</v>
      </c>
      <c r="D320" s="987"/>
      <c r="E320" s="987"/>
      <c r="F320" s="987"/>
      <c r="G320" s="987"/>
      <c r="H320" s="987"/>
      <c r="I320" s="987"/>
      <c r="J320" s="987"/>
      <c r="K320" s="89">
        <f>SUM(K319:K319)</f>
        <v>7</v>
      </c>
      <c r="L320" s="90"/>
    </row>
    <row r="321" spans="2:12" hidden="1">
      <c r="B321" s="297"/>
      <c r="C321" s="297"/>
      <c r="D321" s="297"/>
      <c r="E321" s="297"/>
      <c r="F321" s="297"/>
      <c r="G321" s="297"/>
      <c r="H321" s="297"/>
      <c r="I321" s="297"/>
      <c r="J321" s="297"/>
      <c r="K321" s="297"/>
      <c r="L321" s="297"/>
    </row>
    <row r="322" spans="2:12" ht="29.25" hidden="1" customHeight="1">
      <c r="B322" s="85" t="str">
        <f>'[6]PLANILHA ORÇAMENTÁRIA'!D95</f>
        <v>12.2</v>
      </c>
      <c r="C322" s="1032" t="str">
        <f>'[6]PLANILHA ORÇAMENTÁRIA'!E95</f>
        <v>PONTO DE TOMADA RESIDENCIAL INCLUINDO TOMADA (2 MÓDULOS) 10A/250V, CAIXA ELÉTRICA, ELETRODUTO, CABO, RASGO, QUEBRA E CHUMBAMENTO. AF_01/2016</v>
      </c>
      <c r="D322" s="1032"/>
      <c r="E322" s="1032"/>
      <c r="F322" s="1032"/>
      <c r="G322" s="1032"/>
      <c r="H322" s="1032"/>
      <c r="I322" s="1032"/>
      <c r="J322" s="1032"/>
      <c r="K322" s="294" t="str">
        <f>'[6]PLANILHA ORÇAMENTÁRIA'!F95</f>
        <v>UND</v>
      </c>
      <c r="L322" s="295">
        <f>K325</f>
        <v>3</v>
      </c>
    </row>
    <row r="323" spans="2:12" hidden="1">
      <c r="B323" s="301"/>
      <c r="C323" s="983" t="s">
        <v>20</v>
      </c>
      <c r="D323" s="983"/>
      <c r="E323" s="983"/>
      <c r="F323" s="87" t="s">
        <v>22</v>
      </c>
      <c r="G323" s="279" t="s">
        <v>111</v>
      </c>
      <c r="H323" s="279" t="s">
        <v>114</v>
      </c>
      <c r="I323" s="279" t="s">
        <v>113</v>
      </c>
      <c r="J323" s="279" t="s">
        <v>136</v>
      </c>
      <c r="K323" s="89" t="s">
        <v>25</v>
      </c>
      <c r="L323" s="90"/>
    </row>
    <row r="324" spans="2:12" hidden="1">
      <c r="B324" s="301"/>
      <c r="C324" s="1028"/>
      <c r="D324" s="1028"/>
      <c r="E324" s="1028"/>
      <c r="F324" s="91">
        <f>'[6]PLANILHA ORÇAMENTÁRIA'!G95</f>
        <v>3</v>
      </c>
      <c r="G324" s="91"/>
      <c r="H324" s="91"/>
      <c r="I324" s="91"/>
      <c r="J324" s="91"/>
      <c r="K324" s="282">
        <f>F324</f>
        <v>3</v>
      </c>
      <c r="L324" s="90"/>
    </row>
    <row r="325" spans="2:12" hidden="1">
      <c r="B325" s="301"/>
      <c r="C325" s="987" t="s">
        <v>116</v>
      </c>
      <c r="D325" s="987"/>
      <c r="E325" s="987"/>
      <c r="F325" s="987"/>
      <c r="G325" s="987"/>
      <c r="H325" s="987"/>
      <c r="I325" s="987"/>
      <c r="J325" s="987"/>
      <c r="K325" s="89">
        <f>SUM(K324:K324)</f>
        <v>3</v>
      </c>
      <c r="L325" s="90"/>
    </row>
    <row r="326" spans="2:12" hidden="1">
      <c r="B326" s="297"/>
      <c r="C326" s="297"/>
      <c r="D326" s="297"/>
      <c r="E326" s="297"/>
      <c r="F326" s="297"/>
      <c r="G326" s="297"/>
      <c r="H326" s="297"/>
      <c r="I326" s="297"/>
      <c r="J326" s="297"/>
      <c r="K326" s="297"/>
      <c r="L326" s="297"/>
    </row>
    <row r="327" spans="2:12" ht="27.75" hidden="1" customHeight="1">
      <c r="B327" s="85" t="str">
        <f>'[6]PLANILHA ORÇAMENTÁRIA'!D96</f>
        <v>12.3</v>
      </c>
      <c r="C327" s="1032" t="str">
        <f>'[6]PLANILHA ORÇAMENTÁRIA'!E96</f>
        <v>POSTE DE ACO CONICO CONTINUO CURVO DUPLO, FLANGEADO, COM JANELA DE INSPECAO H=9M - FORNECIMENTO E INSTALACAO</v>
      </c>
      <c r="D327" s="1032"/>
      <c r="E327" s="1032"/>
      <c r="F327" s="1032"/>
      <c r="G327" s="1032"/>
      <c r="H327" s="1032"/>
      <c r="I327" s="1032"/>
      <c r="J327" s="1032"/>
      <c r="K327" s="294" t="str">
        <f>'[6]PLANILHA ORÇAMENTÁRIA'!F96</f>
        <v>UND</v>
      </c>
      <c r="L327" s="295">
        <f>K330</f>
        <v>4</v>
      </c>
    </row>
    <row r="328" spans="2:12" hidden="1">
      <c r="B328" s="301"/>
      <c r="C328" s="983" t="s">
        <v>20</v>
      </c>
      <c r="D328" s="983"/>
      <c r="E328" s="983"/>
      <c r="F328" s="87" t="s">
        <v>22</v>
      </c>
      <c r="G328" s="279" t="s">
        <v>111</v>
      </c>
      <c r="H328" s="279" t="s">
        <v>114</v>
      </c>
      <c r="I328" s="279" t="s">
        <v>113</v>
      </c>
      <c r="J328" s="279" t="s">
        <v>136</v>
      </c>
      <c r="K328" s="89" t="s">
        <v>25</v>
      </c>
      <c r="L328" s="90"/>
    </row>
    <row r="329" spans="2:12" hidden="1">
      <c r="B329" s="301"/>
      <c r="C329" s="1028"/>
      <c r="D329" s="1028"/>
      <c r="E329" s="1028"/>
      <c r="F329" s="91">
        <f>'[6]PLANILHA ORÇAMENTÁRIA'!G96</f>
        <v>4</v>
      </c>
      <c r="G329" s="91"/>
      <c r="H329" s="91"/>
      <c r="I329" s="91"/>
      <c r="J329" s="91"/>
      <c r="K329" s="282">
        <f>F329</f>
        <v>4</v>
      </c>
      <c r="L329" s="90"/>
    </row>
    <row r="330" spans="2:12" hidden="1">
      <c r="B330" s="301"/>
      <c r="C330" s="987" t="s">
        <v>116</v>
      </c>
      <c r="D330" s="987"/>
      <c r="E330" s="987"/>
      <c r="F330" s="987"/>
      <c r="G330" s="987"/>
      <c r="H330" s="987"/>
      <c r="I330" s="987"/>
      <c r="J330" s="987"/>
      <c r="K330" s="89">
        <f>SUM(K329:K329)</f>
        <v>4</v>
      </c>
      <c r="L330" s="90"/>
    </row>
    <row r="331" spans="2:12" hidden="1">
      <c r="B331" s="297"/>
      <c r="C331" s="297"/>
      <c r="D331" s="297"/>
      <c r="E331" s="297"/>
      <c r="F331" s="297"/>
      <c r="G331" s="297"/>
      <c r="H331" s="297"/>
      <c r="I331" s="297"/>
      <c r="J331" s="297"/>
      <c r="K331" s="297"/>
      <c r="L331" s="297"/>
    </row>
    <row r="332" spans="2:12" ht="42.75" hidden="1" customHeight="1">
      <c r="B332" s="85" t="str">
        <f>'[6]PLANILHA ORÇAMENTÁRIA'!D97</f>
        <v>12.4</v>
      </c>
      <c r="C332" s="1032" t="str">
        <f>'[6]PLANILHA ORÇAMENTÁRIA'!E97</f>
        <v>QUADRO DE DISTRIBUICAO DE ENERGIA DE EMBUTIR, EM CHAPA METALICA, PARA 18 DISJUNTORES TERMOMAGNETICOS MONOPOLARES, COM BARRAMENTO TRIFASICO E NEUTRO, FORNECIMENTO E INSTALACAO</v>
      </c>
      <c r="D332" s="1032"/>
      <c r="E332" s="1032"/>
      <c r="F332" s="1032"/>
      <c r="G332" s="1032"/>
      <c r="H332" s="1032"/>
      <c r="I332" s="1032"/>
      <c r="J332" s="1032"/>
      <c r="K332" s="294" t="str">
        <f>'[6]PLANILHA ORÇAMENTÁRIA'!F97</f>
        <v>UND</v>
      </c>
      <c r="L332" s="295">
        <f>K335</f>
        <v>1</v>
      </c>
    </row>
    <row r="333" spans="2:12" hidden="1">
      <c r="B333" s="301"/>
      <c r="C333" s="983" t="s">
        <v>20</v>
      </c>
      <c r="D333" s="983"/>
      <c r="E333" s="983"/>
      <c r="F333" s="87" t="s">
        <v>22</v>
      </c>
      <c r="G333" s="279" t="s">
        <v>111</v>
      </c>
      <c r="H333" s="279" t="s">
        <v>114</v>
      </c>
      <c r="I333" s="279" t="s">
        <v>113</v>
      </c>
      <c r="J333" s="279" t="s">
        <v>136</v>
      </c>
      <c r="K333" s="89" t="s">
        <v>25</v>
      </c>
      <c r="L333" s="90"/>
    </row>
    <row r="334" spans="2:12" hidden="1">
      <c r="B334" s="301"/>
      <c r="C334" s="1028"/>
      <c r="D334" s="1028"/>
      <c r="E334" s="1028"/>
      <c r="F334" s="91">
        <f>'[6]PLANILHA ORÇAMENTÁRIA'!G97</f>
        <v>1</v>
      </c>
      <c r="G334" s="91"/>
      <c r="H334" s="91"/>
      <c r="I334" s="91"/>
      <c r="J334" s="91"/>
      <c r="K334" s="282">
        <f>F334</f>
        <v>1</v>
      </c>
      <c r="L334" s="90"/>
    </row>
    <row r="335" spans="2:12" hidden="1">
      <c r="B335" s="301"/>
      <c r="C335" s="987" t="s">
        <v>116</v>
      </c>
      <c r="D335" s="987"/>
      <c r="E335" s="987"/>
      <c r="F335" s="987"/>
      <c r="G335" s="987"/>
      <c r="H335" s="987"/>
      <c r="I335" s="987"/>
      <c r="J335" s="987"/>
      <c r="K335" s="89">
        <f>SUM(K334:K334)</f>
        <v>1</v>
      </c>
      <c r="L335" s="90"/>
    </row>
    <row r="336" spans="2:12" hidden="1">
      <c r="B336" s="297"/>
      <c r="C336" s="297"/>
      <c r="D336" s="297"/>
      <c r="E336" s="297"/>
      <c r="F336" s="297"/>
      <c r="G336" s="297"/>
      <c r="H336" s="297"/>
      <c r="I336" s="297"/>
      <c r="J336" s="297"/>
      <c r="K336" s="297"/>
      <c r="L336" s="297"/>
    </row>
    <row r="337" spans="2:12" ht="28.5" hidden="1" customHeight="1">
      <c r="B337" s="85" t="str">
        <f>'[6]PLANILHA ORÇAMENTÁRIA'!D98</f>
        <v>12.5</v>
      </c>
      <c r="C337" s="1032" t="str">
        <f>'[6]PLANILHA ORÇAMENTÁRIA'!E98</f>
        <v>DISJUNTOR TERMOMAGNETICO MONOPOLAR PADRAO NEMA (AMERICANO) 10 A 30A 240V, FORNECIMENTO E INSTALACAO</v>
      </c>
      <c r="D337" s="1032"/>
      <c r="E337" s="1032"/>
      <c r="F337" s="1032"/>
      <c r="G337" s="1032"/>
      <c r="H337" s="1032"/>
      <c r="I337" s="1032"/>
      <c r="J337" s="1032"/>
      <c r="K337" s="294" t="str">
        <f>'[6]PLANILHA ORÇAMENTÁRIA'!F98</f>
        <v>UND</v>
      </c>
      <c r="L337" s="295">
        <f>K340</f>
        <v>3</v>
      </c>
    </row>
    <row r="338" spans="2:12" hidden="1">
      <c r="B338" s="301"/>
      <c r="C338" s="983" t="s">
        <v>20</v>
      </c>
      <c r="D338" s="983"/>
      <c r="E338" s="983"/>
      <c r="F338" s="87" t="s">
        <v>22</v>
      </c>
      <c r="G338" s="279" t="s">
        <v>111</v>
      </c>
      <c r="H338" s="279" t="s">
        <v>114</v>
      </c>
      <c r="I338" s="279" t="s">
        <v>113</v>
      </c>
      <c r="J338" s="279" t="s">
        <v>136</v>
      </c>
      <c r="K338" s="89" t="s">
        <v>25</v>
      </c>
      <c r="L338" s="90"/>
    </row>
    <row r="339" spans="2:12" hidden="1">
      <c r="B339" s="301"/>
      <c r="C339" s="1028"/>
      <c r="D339" s="1028"/>
      <c r="E339" s="1028"/>
      <c r="F339" s="91">
        <f>'[6]PLANILHA ORÇAMENTÁRIA'!G98</f>
        <v>3</v>
      </c>
      <c r="G339" s="91"/>
      <c r="H339" s="91"/>
      <c r="I339" s="91"/>
      <c r="J339" s="91"/>
      <c r="K339" s="282">
        <f>F339</f>
        <v>3</v>
      </c>
      <c r="L339" s="90"/>
    </row>
    <row r="340" spans="2:12" hidden="1">
      <c r="B340" s="301"/>
      <c r="C340" s="987" t="s">
        <v>116</v>
      </c>
      <c r="D340" s="987"/>
      <c r="E340" s="987"/>
      <c r="F340" s="987"/>
      <c r="G340" s="987"/>
      <c r="H340" s="987"/>
      <c r="I340" s="987"/>
      <c r="J340" s="987"/>
      <c r="K340" s="89">
        <f>SUM(K339:K339)</f>
        <v>3</v>
      </c>
      <c r="L340" s="90"/>
    </row>
    <row r="341" spans="2:12" hidden="1">
      <c r="B341" s="301"/>
      <c r="C341" s="211"/>
      <c r="D341" s="211"/>
      <c r="E341" s="211"/>
      <c r="F341" s="211"/>
      <c r="G341" s="211"/>
      <c r="H341" s="211"/>
      <c r="I341" s="211"/>
      <c r="J341" s="211"/>
      <c r="K341" s="212"/>
      <c r="L341" s="90"/>
    </row>
    <row r="342" spans="2:12" ht="15" hidden="1" customHeight="1">
      <c r="B342" s="85" t="str">
        <f>'[6]PLANILHA ORÇAMENTÁRIA'!D99</f>
        <v>12.6</v>
      </c>
      <c r="C342" s="1032" t="str">
        <f>'[6]PLANILHA ORÇAMENTÁRIA'!E99</f>
        <v>DISJUNTOR TERMOMAGNETICO BIPOLAR PADRAO NEMA (AMERICANO) 10 A 50A 240V, FORNECIMENTO E INSTALACAO</v>
      </c>
      <c r="D342" s="1032"/>
      <c r="E342" s="1032"/>
      <c r="F342" s="1032"/>
      <c r="G342" s="1032"/>
      <c r="H342" s="1032"/>
      <c r="I342" s="1032"/>
      <c r="J342" s="1032"/>
      <c r="K342" s="294" t="str">
        <f>'[6]PLANILHA ORÇAMENTÁRIA'!F99</f>
        <v>UND</v>
      </c>
      <c r="L342" s="295">
        <f>K345</f>
        <v>1</v>
      </c>
    </row>
    <row r="343" spans="2:12" hidden="1">
      <c r="B343" s="301"/>
      <c r="C343" s="983" t="s">
        <v>20</v>
      </c>
      <c r="D343" s="983"/>
      <c r="E343" s="983"/>
      <c r="F343" s="87" t="s">
        <v>22</v>
      </c>
      <c r="G343" s="279" t="s">
        <v>111</v>
      </c>
      <c r="H343" s="279" t="s">
        <v>114</v>
      </c>
      <c r="I343" s="279" t="s">
        <v>113</v>
      </c>
      <c r="J343" s="279" t="s">
        <v>136</v>
      </c>
      <c r="K343" s="89" t="s">
        <v>25</v>
      </c>
      <c r="L343" s="90"/>
    </row>
    <row r="344" spans="2:12" hidden="1">
      <c r="B344" s="301"/>
      <c r="C344" s="1028"/>
      <c r="D344" s="1028"/>
      <c r="E344" s="1028"/>
      <c r="F344" s="91">
        <f>'[6]PLANILHA ORÇAMENTÁRIA'!G99</f>
        <v>1</v>
      </c>
      <c r="G344" s="91"/>
      <c r="H344" s="91"/>
      <c r="I344" s="91"/>
      <c r="J344" s="91"/>
      <c r="K344" s="282">
        <f>F344</f>
        <v>1</v>
      </c>
      <c r="L344" s="90"/>
    </row>
    <row r="345" spans="2:12" hidden="1">
      <c r="B345" s="301"/>
      <c r="C345" s="987" t="s">
        <v>116</v>
      </c>
      <c r="D345" s="987"/>
      <c r="E345" s="987"/>
      <c r="F345" s="987"/>
      <c r="G345" s="987"/>
      <c r="H345" s="987"/>
      <c r="I345" s="987"/>
      <c r="J345" s="987"/>
      <c r="K345" s="89">
        <f>SUM(K344:K344)</f>
        <v>1</v>
      </c>
      <c r="L345" s="90"/>
    </row>
    <row r="346" spans="2:12" hidden="1">
      <c r="B346" s="301"/>
      <c r="C346" s="211"/>
      <c r="D346" s="211"/>
      <c r="E346" s="211"/>
      <c r="F346" s="211"/>
      <c r="G346" s="211"/>
      <c r="H346" s="211"/>
      <c r="I346" s="211"/>
      <c r="J346" s="211"/>
      <c r="K346" s="212"/>
      <c r="L346" s="90"/>
    </row>
    <row r="347" spans="2:12" ht="30.75" hidden="1" customHeight="1">
      <c r="B347" s="85" t="str">
        <f>'[6]PLANILHA ORÇAMENTÁRIA'!D100</f>
        <v>12.7</v>
      </c>
      <c r="C347" s="1032" t="str">
        <f>'[6]PLANILHA ORÇAMENTÁRIA'!E100</f>
        <v>DISJUNTOR TERMOMAGNETICO TRIPOLAR PADRAO NEMA (AMERICANO) 10 A 50A 240V, FORNECIMENTO E INSTALACAO</v>
      </c>
      <c r="D347" s="1032"/>
      <c r="E347" s="1032"/>
      <c r="F347" s="1032"/>
      <c r="G347" s="1032"/>
      <c r="H347" s="1032"/>
      <c r="I347" s="1032"/>
      <c r="J347" s="1032"/>
      <c r="K347" s="294" t="str">
        <f>'[6]PLANILHA ORÇAMENTÁRIA'!F100</f>
        <v>UND</v>
      </c>
      <c r="L347" s="295">
        <f>K350</f>
        <v>1</v>
      </c>
    </row>
    <row r="348" spans="2:12" hidden="1">
      <c r="B348" s="301"/>
      <c r="C348" s="983" t="s">
        <v>20</v>
      </c>
      <c r="D348" s="983"/>
      <c r="E348" s="983"/>
      <c r="F348" s="87" t="s">
        <v>22</v>
      </c>
      <c r="G348" s="279" t="s">
        <v>111</v>
      </c>
      <c r="H348" s="279" t="s">
        <v>114</v>
      </c>
      <c r="I348" s="279" t="s">
        <v>113</v>
      </c>
      <c r="J348" s="279" t="s">
        <v>136</v>
      </c>
      <c r="K348" s="89" t="s">
        <v>25</v>
      </c>
      <c r="L348" s="90"/>
    </row>
    <row r="349" spans="2:12" hidden="1">
      <c r="B349" s="301"/>
      <c r="C349" s="1028"/>
      <c r="D349" s="1028"/>
      <c r="E349" s="1028"/>
      <c r="F349" s="91">
        <f>'[6]PLANILHA ORÇAMENTÁRIA'!G100</f>
        <v>1</v>
      </c>
      <c r="G349" s="91"/>
      <c r="H349" s="91"/>
      <c r="I349" s="91"/>
      <c r="J349" s="91"/>
      <c r="K349" s="282">
        <f>F349</f>
        <v>1</v>
      </c>
      <c r="L349" s="90"/>
    </row>
    <row r="350" spans="2:12" hidden="1">
      <c r="B350" s="301"/>
      <c r="C350" s="987" t="s">
        <v>116</v>
      </c>
      <c r="D350" s="987"/>
      <c r="E350" s="987"/>
      <c r="F350" s="987"/>
      <c r="G350" s="987"/>
      <c r="H350" s="987"/>
      <c r="I350" s="987"/>
      <c r="J350" s="987"/>
      <c r="K350" s="89">
        <f>SUM(K349:K349)</f>
        <v>1</v>
      </c>
      <c r="L350" s="90"/>
    </row>
    <row r="351" spans="2:12" hidden="1">
      <c r="B351" s="301"/>
      <c r="C351" s="211"/>
      <c r="D351" s="211"/>
      <c r="E351" s="211"/>
      <c r="F351" s="211"/>
      <c r="G351" s="211"/>
      <c r="H351" s="211"/>
      <c r="I351" s="211"/>
      <c r="J351" s="211"/>
      <c r="K351" s="212"/>
      <c r="L351" s="90"/>
    </row>
    <row r="352" spans="2:12" ht="15" hidden="1" customHeight="1">
      <c r="B352" s="85" t="str">
        <f>'[6]PLANILHA ORÇAMENTÁRIA'!D101</f>
        <v>12.8</v>
      </c>
      <c r="C352" s="1032" t="str">
        <f>'[6]PLANILHA ORÇAMENTÁRIA'!E101</f>
        <v>LUMINÁRIA TIPO PLAFON, DE SOBREPOR, COM 1 LÂMPADA LED - FORNECIMENTO E INSTALAÇÃO. AF_11/2017</v>
      </c>
      <c r="D352" s="1032"/>
      <c r="E352" s="1032"/>
      <c r="F352" s="1032"/>
      <c r="G352" s="1032"/>
      <c r="H352" s="1032"/>
      <c r="I352" s="1032"/>
      <c r="J352" s="1032"/>
      <c r="K352" s="294" t="str">
        <f>'[6]PLANILHA ORÇAMENTÁRIA'!F101</f>
        <v>UND</v>
      </c>
      <c r="L352" s="295">
        <f>K355</f>
        <v>3</v>
      </c>
    </row>
    <row r="353" spans="2:12" hidden="1">
      <c r="B353" s="301"/>
      <c r="C353" s="983" t="s">
        <v>20</v>
      </c>
      <c r="D353" s="983"/>
      <c r="E353" s="983"/>
      <c r="F353" s="87" t="s">
        <v>22</v>
      </c>
      <c r="G353" s="279" t="s">
        <v>111</v>
      </c>
      <c r="H353" s="279" t="s">
        <v>114</v>
      </c>
      <c r="I353" s="279" t="s">
        <v>113</v>
      </c>
      <c r="J353" s="279" t="s">
        <v>136</v>
      </c>
      <c r="K353" s="89" t="s">
        <v>25</v>
      </c>
      <c r="L353" s="90"/>
    </row>
    <row r="354" spans="2:12" hidden="1">
      <c r="B354" s="301"/>
      <c r="C354" s="1028"/>
      <c r="D354" s="1028"/>
      <c r="E354" s="1028"/>
      <c r="F354" s="91">
        <f>'[6]PLANILHA ORÇAMENTÁRIA'!G101</f>
        <v>3</v>
      </c>
      <c r="G354" s="91"/>
      <c r="H354" s="91"/>
      <c r="I354" s="91"/>
      <c r="J354" s="91"/>
      <c r="K354" s="282">
        <f>F354</f>
        <v>3</v>
      </c>
      <c r="L354" s="90"/>
    </row>
    <row r="355" spans="2:12" hidden="1">
      <c r="B355" s="301"/>
      <c r="C355" s="987" t="s">
        <v>116</v>
      </c>
      <c r="D355" s="987"/>
      <c r="E355" s="987"/>
      <c r="F355" s="987"/>
      <c r="G355" s="987"/>
      <c r="H355" s="987"/>
      <c r="I355" s="987"/>
      <c r="J355" s="987"/>
      <c r="K355" s="89">
        <f>SUM(K354:K354)</f>
        <v>3</v>
      </c>
      <c r="L355" s="90"/>
    </row>
    <row r="356" spans="2:12" hidden="1">
      <c r="B356" s="219"/>
      <c r="C356" s="219"/>
      <c r="D356" s="219"/>
      <c r="E356" s="219"/>
      <c r="F356" s="219"/>
      <c r="G356" s="219"/>
      <c r="H356" s="219"/>
      <c r="I356" s="219"/>
      <c r="J356" s="219"/>
      <c r="K356" s="219"/>
      <c r="L356" s="219"/>
    </row>
    <row r="357" spans="2:12" ht="21.75" hidden="1" customHeight="1">
      <c r="B357" s="85" t="str">
        <f>'[6]PLANILHA ORÇAMENTÁRIA'!D102</f>
        <v>12.9</v>
      </c>
      <c r="C357" s="1032" t="str">
        <f>'[6]PLANILHA ORÇAMENTÁRIA'!E102</f>
        <v>LUMINÁRIAS TIPO CALHA, DE SOBREPOR E LÂMPADAS EM LED 2X2X18W, COMPLETAS, FORNECIMENTO E INSTALAÇÃO</v>
      </c>
      <c r="D357" s="1032"/>
      <c r="E357" s="1032"/>
      <c r="F357" s="1032"/>
      <c r="G357" s="1032"/>
      <c r="H357" s="1032"/>
      <c r="I357" s="1032"/>
      <c r="J357" s="1032"/>
      <c r="K357" s="294" t="str">
        <f>'[6]PLANILHA ORÇAMENTÁRIA'!F102</f>
        <v>UND</v>
      </c>
      <c r="L357" s="295">
        <f>K360</f>
        <v>4</v>
      </c>
    </row>
    <row r="358" spans="2:12" hidden="1">
      <c r="B358" s="301"/>
      <c r="C358" s="983" t="s">
        <v>20</v>
      </c>
      <c r="D358" s="983"/>
      <c r="E358" s="983"/>
      <c r="F358" s="87" t="s">
        <v>22</v>
      </c>
      <c r="G358" s="279" t="s">
        <v>111</v>
      </c>
      <c r="H358" s="279" t="s">
        <v>114</v>
      </c>
      <c r="I358" s="279" t="s">
        <v>113</v>
      </c>
      <c r="J358" s="279" t="s">
        <v>136</v>
      </c>
      <c r="K358" s="89" t="s">
        <v>25</v>
      </c>
      <c r="L358" s="90"/>
    </row>
    <row r="359" spans="2:12" hidden="1">
      <c r="B359" s="301"/>
      <c r="C359" s="1028"/>
      <c r="D359" s="1028"/>
      <c r="E359" s="1028"/>
      <c r="F359" s="91">
        <f>'[6]PLANILHA ORÇAMENTÁRIA'!G102</f>
        <v>4</v>
      </c>
      <c r="G359" s="91"/>
      <c r="H359" s="91"/>
      <c r="I359" s="91"/>
      <c r="J359" s="91"/>
      <c r="K359" s="282">
        <f>F359</f>
        <v>4</v>
      </c>
      <c r="L359" s="90"/>
    </row>
    <row r="360" spans="2:12" hidden="1">
      <c r="B360" s="301"/>
      <c r="C360" s="987" t="s">
        <v>116</v>
      </c>
      <c r="D360" s="987"/>
      <c r="E360" s="987"/>
      <c r="F360" s="987"/>
      <c r="G360" s="987"/>
      <c r="H360" s="987"/>
      <c r="I360" s="987"/>
      <c r="J360" s="987"/>
      <c r="K360" s="89">
        <f>SUM(K359:K359)</f>
        <v>4</v>
      </c>
      <c r="L360" s="90"/>
    </row>
    <row r="361" spans="2:12" hidden="1">
      <c r="B361" s="219"/>
      <c r="C361" s="219"/>
      <c r="D361" s="219"/>
      <c r="E361" s="219"/>
      <c r="F361" s="219"/>
      <c r="G361" s="219"/>
      <c r="H361" s="219"/>
      <c r="I361" s="219"/>
      <c r="J361" s="219"/>
      <c r="K361" s="219"/>
      <c r="L361" s="219"/>
    </row>
    <row r="362" spans="2:12" ht="27.75" hidden="1" customHeight="1">
      <c r="B362" s="85" t="str">
        <f>'[6]PLANILHA ORÇAMENTÁRIA'!D103</f>
        <v>12.10</v>
      </c>
      <c r="C362" s="1032" t="str">
        <f>'[6]PLANILHA ORÇAMENTÁRIA'!E103</f>
        <v>RELE FOTOELETRICO P/ COMANDO DE ILUMINACAO EXTERNA 220V/1000W - FORNECIMENTO E INSTALACAO</v>
      </c>
      <c r="D362" s="1032"/>
      <c r="E362" s="1032"/>
      <c r="F362" s="1032"/>
      <c r="G362" s="1032"/>
      <c r="H362" s="1032"/>
      <c r="I362" s="1032"/>
      <c r="J362" s="1032"/>
      <c r="K362" s="294" t="str">
        <f>'[6]PLANILHA ORÇAMENTÁRIA'!F103</f>
        <v>UND</v>
      </c>
      <c r="L362" s="295">
        <f>K365</f>
        <v>1</v>
      </c>
    </row>
    <row r="363" spans="2:12" hidden="1">
      <c r="B363" s="301"/>
      <c r="C363" s="983" t="s">
        <v>20</v>
      </c>
      <c r="D363" s="983"/>
      <c r="E363" s="983"/>
      <c r="F363" s="87" t="s">
        <v>22</v>
      </c>
      <c r="G363" s="279" t="s">
        <v>111</v>
      </c>
      <c r="H363" s="279" t="s">
        <v>114</v>
      </c>
      <c r="I363" s="279" t="s">
        <v>113</v>
      </c>
      <c r="J363" s="279" t="s">
        <v>136</v>
      </c>
      <c r="K363" s="89" t="s">
        <v>25</v>
      </c>
      <c r="L363" s="90"/>
    </row>
    <row r="364" spans="2:12" hidden="1">
      <c r="B364" s="301"/>
      <c r="C364" s="1028"/>
      <c r="D364" s="1028"/>
      <c r="E364" s="1028"/>
      <c r="F364" s="91">
        <f>'[6]PLANILHA ORÇAMENTÁRIA'!G103</f>
        <v>1</v>
      </c>
      <c r="G364" s="91"/>
      <c r="H364" s="91"/>
      <c r="I364" s="91"/>
      <c r="J364" s="91"/>
      <c r="K364" s="282">
        <f>F364</f>
        <v>1</v>
      </c>
      <c r="L364" s="90"/>
    </row>
    <row r="365" spans="2:12" hidden="1">
      <c r="B365" s="301"/>
      <c r="C365" s="987" t="s">
        <v>116</v>
      </c>
      <c r="D365" s="987"/>
      <c r="E365" s="987"/>
      <c r="F365" s="987"/>
      <c r="G365" s="987"/>
      <c r="H365" s="987"/>
      <c r="I365" s="987"/>
      <c r="J365" s="987"/>
      <c r="K365" s="89">
        <f>SUM(K364:K364)</f>
        <v>1</v>
      </c>
      <c r="L365" s="90"/>
    </row>
    <row r="366" spans="2:12" hidden="1">
      <c r="B366" s="219"/>
      <c r="C366" s="219"/>
      <c r="D366" s="219"/>
      <c r="E366" s="219"/>
      <c r="F366" s="219"/>
      <c r="G366" s="219"/>
      <c r="H366" s="219"/>
      <c r="I366" s="219"/>
      <c r="J366" s="219"/>
      <c r="K366" s="219"/>
      <c r="L366" s="219"/>
    </row>
    <row r="367" spans="2:12" ht="29.25" hidden="1" customHeight="1">
      <c r="B367" s="85" t="str">
        <f>'[6]PLANILHA ORÇAMENTÁRIA'!D104</f>
        <v>12.11</v>
      </c>
      <c r="C367" s="1032" t="str">
        <f>'[6]PLANILHA ORÇAMENTÁRIA'!E104</f>
        <v>ELETRODUTO RÍGIDO ROSCÁVEL, PVC, DN 32 MM (1"), PARA CIRCUITOS TERMINAIS, INSTALADO EM FORRO - FORNECIMENTO E INSTALAÇÃO. AF_12/2015</v>
      </c>
      <c r="D367" s="1032"/>
      <c r="E367" s="1032"/>
      <c r="F367" s="1032"/>
      <c r="G367" s="1032"/>
      <c r="H367" s="1032"/>
      <c r="I367" s="1032"/>
      <c r="J367" s="1032"/>
      <c r="K367" s="294" t="str">
        <f>'[6]PLANILHA ORÇAMENTÁRIA'!F104</f>
        <v>M</v>
      </c>
      <c r="L367" s="295">
        <f>K370</f>
        <v>70</v>
      </c>
    </row>
    <row r="368" spans="2:12" hidden="1">
      <c r="B368" s="301"/>
      <c r="C368" s="983" t="s">
        <v>20</v>
      </c>
      <c r="D368" s="983"/>
      <c r="E368" s="983"/>
      <c r="F368" s="87" t="s">
        <v>22</v>
      </c>
      <c r="G368" s="279" t="s">
        <v>111</v>
      </c>
      <c r="H368" s="279" t="s">
        <v>114</v>
      </c>
      <c r="I368" s="279" t="s">
        <v>113</v>
      </c>
      <c r="J368" s="279" t="s">
        <v>136</v>
      </c>
      <c r="K368" s="89" t="s">
        <v>25</v>
      </c>
      <c r="L368" s="90"/>
    </row>
    <row r="369" spans="2:12" hidden="1">
      <c r="B369" s="301"/>
      <c r="C369" s="1028"/>
      <c r="D369" s="1028"/>
      <c r="E369" s="1028"/>
      <c r="F369" s="91"/>
      <c r="G369" s="91"/>
      <c r="H369" s="91"/>
      <c r="I369" s="91">
        <f>'[6]PLANILHA ORÇAMENTÁRIA'!G104</f>
        <v>70</v>
      </c>
      <c r="J369" s="91"/>
      <c r="K369" s="282">
        <f>I369</f>
        <v>70</v>
      </c>
      <c r="L369" s="90"/>
    </row>
    <row r="370" spans="2:12" hidden="1">
      <c r="B370" s="301"/>
      <c r="C370" s="987" t="s">
        <v>116</v>
      </c>
      <c r="D370" s="987"/>
      <c r="E370" s="987"/>
      <c r="F370" s="987"/>
      <c r="G370" s="987"/>
      <c r="H370" s="987"/>
      <c r="I370" s="987"/>
      <c r="J370" s="987"/>
      <c r="K370" s="89">
        <f>SUM(K369:K369)</f>
        <v>70</v>
      </c>
      <c r="L370" s="90"/>
    </row>
    <row r="371" spans="2:12" hidden="1">
      <c r="B371" s="219"/>
      <c r="C371" s="219"/>
      <c r="D371" s="219"/>
      <c r="E371" s="219"/>
      <c r="F371" s="219"/>
      <c r="G371" s="219"/>
      <c r="H371" s="219"/>
      <c r="I371" s="219"/>
      <c r="J371" s="219"/>
      <c r="K371" s="219"/>
      <c r="L371" s="219"/>
    </row>
    <row r="372" spans="2:12" ht="15" hidden="1" customHeight="1">
      <c r="B372" s="85" t="str">
        <f>'[6]PLANILHA ORÇAMENTÁRIA'!D105</f>
        <v>12.12</v>
      </c>
      <c r="C372" s="1032" t="str">
        <f>'[6]PLANILHA ORÇAMENTÁRIA'!E105</f>
        <v>REFLETOR SIMPLES LED 150W DE POTÊNCIA, BRANCO FRIO, 6500K, AUTOVOLT, MARCA G-LIGHT OU SIMILAR</v>
      </c>
      <c r="D372" s="1032"/>
      <c r="E372" s="1032"/>
      <c r="F372" s="1032"/>
      <c r="G372" s="1032"/>
      <c r="H372" s="1032"/>
      <c r="I372" s="1032"/>
      <c r="J372" s="1032"/>
      <c r="K372" s="294" t="str">
        <f>'[6]PLANILHA ORÇAMENTÁRIA'!F105</f>
        <v>UND</v>
      </c>
      <c r="L372" s="295">
        <f>K375</f>
        <v>8</v>
      </c>
    </row>
    <row r="373" spans="2:12" hidden="1">
      <c r="B373" s="301"/>
      <c r="C373" s="983" t="s">
        <v>20</v>
      </c>
      <c r="D373" s="983"/>
      <c r="E373" s="983"/>
      <c r="F373" s="87" t="s">
        <v>22</v>
      </c>
      <c r="G373" s="279" t="s">
        <v>111</v>
      </c>
      <c r="H373" s="279" t="s">
        <v>114</v>
      </c>
      <c r="I373" s="279" t="s">
        <v>113</v>
      </c>
      <c r="J373" s="279" t="s">
        <v>136</v>
      </c>
      <c r="K373" s="89" t="s">
        <v>25</v>
      </c>
      <c r="L373" s="90"/>
    </row>
    <row r="374" spans="2:12" hidden="1">
      <c r="B374" s="301"/>
      <c r="C374" s="1028"/>
      <c r="D374" s="1028"/>
      <c r="E374" s="1028"/>
      <c r="F374" s="91">
        <f>'[6]PLANILHA ORÇAMENTÁRIA'!G105</f>
        <v>8</v>
      </c>
      <c r="G374" s="91"/>
      <c r="H374" s="91"/>
      <c r="I374" s="91"/>
      <c r="J374" s="91"/>
      <c r="K374" s="282">
        <f>F374</f>
        <v>8</v>
      </c>
      <c r="L374" s="90"/>
    </row>
    <row r="375" spans="2:12" hidden="1">
      <c r="B375" s="301"/>
      <c r="C375" s="987" t="s">
        <v>116</v>
      </c>
      <c r="D375" s="987"/>
      <c r="E375" s="987"/>
      <c r="F375" s="987"/>
      <c r="G375" s="987"/>
      <c r="H375" s="987"/>
      <c r="I375" s="987"/>
      <c r="J375" s="987"/>
      <c r="K375" s="89">
        <f>SUM(K374:K374)</f>
        <v>8</v>
      </c>
      <c r="L375" s="90"/>
    </row>
    <row r="376" spans="2:12" hidden="1">
      <c r="B376" s="219"/>
      <c r="C376" s="219"/>
      <c r="D376" s="219"/>
      <c r="E376" s="219"/>
      <c r="F376" s="219"/>
      <c r="G376" s="219"/>
      <c r="H376" s="219"/>
      <c r="I376" s="219"/>
      <c r="J376" s="219"/>
      <c r="K376" s="219"/>
      <c r="L376" s="219"/>
    </row>
    <row r="377" spans="2:12" ht="21.75" hidden="1" customHeight="1">
      <c r="B377" s="85" t="str">
        <f>'[6]PLANILHA ORÇAMENTÁRIA'!D106</f>
        <v>12.13</v>
      </c>
      <c r="C377" s="1032" t="str">
        <f>'[6]PLANILHA ORÇAMENTÁRIA'!E106</f>
        <v>CAIXA ENTERRADA ELÉTRICA RETANGULAR, EM ALVENARIA COM TIJOLOS CERÂMICOS MACIÇOS, FUNDO COM BRITA, DIMENSÕES INTERNAS: 0,3X0,3X0,3 M. AF_05/2018</v>
      </c>
      <c r="D377" s="1032"/>
      <c r="E377" s="1032"/>
      <c r="F377" s="1032"/>
      <c r="G377" s="1032"/>
      <c r="H377" s="1032"/>
      <c r="I377" s="1032"/>
      <c r="J377" s="1032"/>
      <c r="K377" s="294" t="str">
        <f>'[6]PLANILHA ORÇAMENTÁRIA'!F106</f>
        <v>UND</v>
      </c>
      <c r="L377" s="295">
        <f>K380</f>
        <v>0</v>
      </c>
    </row>
    <row r="378" spans="2:12" hidden="1">
      <c r="B378" s="301"/>
      <c r="C378" s="983" t="s">
        <v>20</v>
      </c>
      <c r="D378" s="983"/>
      <c r="E378" s="983"/>
      <c r="F378" s="87" t="s">
        <v>22</v>
      </c>
      <c r="G378" s="279" t="s">
        <v>111</v>
      </c>
      <c r="H378" s="279" t="s">
        <v>114</v>
      </c>
      <c r="I378" s="279" t="s">
        <v>113</v>
      </c>
      <c r="J378" s="279" t="s">
        <v>136</v>
      </c>
      <c r="K378" s="89" t="s">
        <v>25</v>
      </c>
      <c r="L378" s="90"/>
    </row>
    <row r="379" spans="2:12" hidden="1">
      <c r="B379" s="301"/>
      <c r="C379" s="1028"/>
      <c r="D379" s="1028"/>
      <c r="E379" s="1028"/>
      <c r="F379" s="91">
        <f>'[6]PLANILHA ORÇAMENTÁRIA'!G106</f>
        <v>4</v>
      </c>
      <c r="G379" s="91"/>
      <c r="H379" s="91"/>
      <c r="I379" s="91"/>
      <c r="J379" s="91"/>
      <c r="K379" s="282">
        <f>I379</f>
        <v>0</v>
      </c>
      <c r="L379" s="90"/>
    </row>
    <row r="380" spans="2:12" hidden="1">
      <c r="B380" s="301"/>
      <c r="C380" s="987" t="s">
        <v>116</v>
      </c>
      <c r="D380" s="987"/>
      <c r="E380" s="987"/>
      <c r="F380" s="987"/>
      <c r="G380" s="987"/>
      <c r="H380" s="987"/>
      <c r="I380" s="987"/>
      <c r="J380" s="987"/>
      <c r="K380" s="89">
        <f>SUM(K379:K379)</f>
        <v>0</v>
      </c>
      <c r="L380" s="90"/>
    </row>
    <row r="381" spans="2:12" hidden="1">
      <c r="B381" s="219"/>
      <c r="C381" s="219"/>
      <c r="D381" s="219"/>
      <c r="E381" s="219"/>
      <c r="F381" s="219"/>
      <c r="G381" s="219"/>
      <c r="H381" s="219"/>
      <c r="I381" s="219"/>
      <c r="J381" s="219"/>
      <c r="K381" s="219"/>
      <c r="L381" s="219"/>
    </row>
    <row r="382" spans="2:12" ht="24.75" hidden="1" customHeight="1">
      <c r="B382" s="85" t="str">
        <f>'[6]PLANILHA ORÇAMENTÁRIA'!D107</f>
        <v>12.14</v>
      </c>
      <c r="C382" s="1032" t="str">
        <f>'[6]PLANILHA ORÇAMENTÁRIA'!E107</f>
        <v>CABO DE COBRE FLEXÍVEL ISOLADO, 4 MM², ANTI-CHAMA 450/750 V, PARA CIRCUITOS TERMINAIS - FORNECIMENTO E INSTALAÇÃO. AF_12/2015</v>
      </c>
      <c r="D382" s="1032"/>
      <c r="E382" s="1032"/>
      <c r="F382" s="1032"/>
      <c r="G382" s="1032"/>
      <c r="H382" s="1032"/>
      <c r="I382" s="1032"/>
      <c r="J382" s="1032"/>
      <c r="K382" s="294" t="str">
        <f>'[6]PLANILHA ORÇAMENTÁRIA'!F107</f>
        <v>M</v>
      </c>
      <c r="L382" s="295">
        <f>K385</f>
        <v>160</v>
      </c>
    </row>
    <row r="383" spans="2:12" hidden="1">
      <c r="B383" s="301"/>
      <c r="C383" s="983" t="s">
        <v>20</v>
      </c>
      <c r="D383" s="983"/>
      <c r="E383" s="983"/>
      <c r="F383" s="87" t="s">
        <v>22</v>
      </c>
      <c r="G383" s="279" t="s">
        <v>111</v>
      </c>
      <c r="H383" s="279" t="s">
        <v>114</v>
      </c>
      <c r="I383" s="279" t="s">
        <v>113</v>
      </c>
      <c r="J383" s="279" t="s">
        <v>136</v>
      </c>
      <c r="K383" s="89" t="s">
        <v>25</v>
      </c>
      <c r="L383" s="90"/>
    </row>
    <row r="384" spans="2:12" hidden="1">
      <c r="B384" s="301"/>
      <c r="C384" s="1028"/>
      <c r="D384" s="1028"/>
      <c r="E384" s="1028"/>
      <c r="F384" s="91"/>
      <c r="G384" s="91"/>
      <c r="H384" s="91"/>
      <c r="I384" s="91">
        <f>'[6]PLANILHA ORÇAMENTÁRIA'!G107</f>
        <v>160</v>
      </c>
      <c r="J384" s="91"/>
      <c r="K384" s="282">
        <f>I384</f>
        <v>160</v>
      </c>
      <c r="L384" s="90"/>
    </row>
    <row r="385" spans="2:12" hidden="1">
      <c r="B385" s="301"/>
      <c r="C385" s="987" t="s">
        <v>116</v>
      </c>
      <c r="D385" s="987"/>
      <c r="E385" s="987"/>
      <c r="F385" s="987"/>
      <c r="G385" s="987"/>
      <c r="H385" s="987"/>
      <c r="I385" s="987"/>
      <c r="J385" s="987"/>
      <c r="K385" s="89">
        <f>SUM(K384:K384)</f>
        <v>160</v>
      </c>
      <c r="L385" s="90"/>
    </row>
    <row r="386" spans="2:12" hidden="1">
      <c r="B386" s="301"/>
      <c r="C386" s="211"/>
      <c r="D386" s="211"/>
      <c r="E386" s="211"/>
      <c r="F386" s="211"/>
      <c r="G386" s="211"/>
      <c r="H386" s="211"/>
      <c r="I386" s="211"/>
      <c r="J386" s="211"/>
      <c r="K386" s="212"/>
      <c r="L386" s="90"/>
    </row>
    <row r="387" spans="2:12" ht="32.25" hidden="1" customHeight="1">
      <c r="B387" s="85" t="str">
        <f>'[6]PLANILHA ORÇAMENTÁRIA'!D108</f>
        <v>12.15</v>
      </c>
      <c r="C387" s="1032" t="str">
        <f>'[6]PLANILHA ORÇAMENTÁRIA'!E108</f>
        <v>CABO DE COBRE FLEXÍVEL ISOLADO, 2,5 MM², ANTI-CHAMA 450/750 V, PARA CIRCUITOS TERMINAIS - FORNECIMENTO E INSTALAÇÃO. AF_12/2015</v>
      </c>
      <c r="D387" s="1032"/>
      <c r="E387" s="1032"/>
      <c r="F387" s="1032"/>
      <c r="G387" s="1032"/>
      <c r="H387" s="1032"/>
      <c r="I387" s="1032"/>
      <c r="J387" s="1032"/>
      <c r="K387" s="294" t="str">
        <f>'[6]PLANILHA ORÇAMENTÁRIA'!F108</f>
        <v>M</v>
      </c>
      <c r="L387" s="295">
        <f>K390</f>
        <v>160</v>
      </c>
    </row>
    <row r="388" spans="2:12" hidden="1">
      <c r="B388" s="301"/>
      <c r="C388" s="983" t="s">
        <v>20</v>
      </c>
      <c r="D388" s="983"/>
      <c r="E388" s="983"/>
      <c r="F388" s="87" t="s">
        <v>22</v>
      </c>
      <c r="G388" s="279" t="s">
        <v>111</v>
      </c>
      <c r="H388" s="279" t="s">
        <v>114</v>
      </c>
      <c r="I388" s="279" t="s">
        <v>113</v>
      </c>
      <c r="J388" s="279" t="s">
        <v>136</v>
      </c>
      <c r="K388" s="89" t="s">
        <v>25</v>
      </c>
      <c r="L388" s="90"/>
    </row>
    <row r="389" spans="2:12" hidden="1">
      <c r="B389" s="301"/>
      <c r="C389" s="1028"/>
      <c r="D389" s="1028"/>
      <c r="E389" s="1028"/>
      <c r="F389" s="91"/>
      <c r="G389" s="91"/>
      <c r="H389" s="91"/>
      <c r="I389" s="91">
        <f>'[6]PLANILHA ORÇAMENTÁRIA'!G108</f>
        <v>160</v>
      </c>
      <c r="J389" s="91"/>
      <c r="K389" s="282">
        <f>I389</f>
        <v>160</v>
      </c>
      <c r="L389" s="90"/>
    </row>
    <row r="390" spans="2:12" hidden="1">
      <c r="B390" s="301"/>
      <c r="C390" s="987" t="s">
        <v>116</v>
      </c>
      <c r="D390" s="987"/>
      <c r="E390" s="987"/>
      <c r="F390" s="987"/>
      <c r="G390" s="987"/>
      <c r="H390" s="987"/>
      <c r="I390" s="987"/>
      <c r="J390" s="987"/>
      <c r="K390" s="89">
        <f>SUM(K389:K389)</f>
        <v>160</v>
      </c>
      <c r="L390" s="90"/>
    </row>
    <row r="391" spans="2:12" hidden="1">
      <c r="B391" s="219"/>
      <c r="C391" s="219"/>
      <c r="D391" s="219"/>
      <c r="E391" s="219"/>
      <c r="F391" s="219"/>
      <c r="G391" s="219"/>
      <c r="H391" s="219"/>
      <c r="I391" s="219"/>
      <c r="J391" s="219"/>
      <c r="K391" s="219"/>
      <c r="L391" s="219"/>
    </row>
    <row r="392" spans="2:12" hidden="1">
      <c r="B392" s="292" t="str">
        <f>'[6]PLANILHA ORÇAMENTÁRIA'!D109</f>
        <v>13.0</v>
      </c>
      <c r="C392" s="1093" t="str">
        <f>'[6]PLANILHA ORÇAMENTÁRIA'!E109</f>
        <v>PINTURA</v>
      </c>
      <c r="D392" s="1093"/>
      <c r="E392" s="1093"/>
      <c r="F392" s="1093"/>
      <c r="G392" s="1093"/>
      <c r="H392" s="1093"/>
      <c r="I392" s="1093"/>
      <c r="J392" s="1093"/>
      <c r="K392" s="293"/>
      <c r="L392" s="293"/>
    </row>
    <row r="393" spans="2:12" ht="15" hidden="1" customHeight="1">
      <c r="B393" s="85" t="str">
        <f>'[6]PLANILHA ORÇAMENTÁRIA'!D110</f>
        <v>13.1</v>
      </c>
      <c r="C393" s="1032" t="str">
        <f>'[6]PLANILHA ORÇAMENTÁRIA'!E110</f>
        <v>APLICAÇÃO DE FUNDO SELADOR LÁTEX PVA EM TETO, UMA DEMÃO. AF_06/2014</v>
      </c>
      <c r="D393" s="1032"/>
      <c r="E393" s="1032"/>
      <c r="F393" s="1032"/>
      <c r="G393" s="1032"/>
      <c r="H393" s="1032"/>
      <c r="I393" s="1032"/>
      <c r="J393" s="1032"/>
      <c r="K393" s="294" t="str">
        <f>'[6]PLANILHA ORÇAMENTÁRIA'!F110</f>
        <v>M2</v>
      </c>
      <c r="L393" s="295">
        <f>K400</f>
        <v>23.02</v>
      </c>
    </row>
    <row r="394" spans="2:12" hidden="1">
      <c r="B394" s="301"/>
      <c r="C394" s="983" t="s">
        <v>20</v>
      </c>
      <c r="D394" s="983"/>
      <c r="E394" s="983"/>
      <c r="F394" s="87" t="s">
        <v>22</v>
      </c>
      <c r="G394" s="279" t="s">
        <v>111</v>
      </c>
      <c r="H394" s="87" t="s">
        <v>112</v>
      </c>
      <c r="I394" s="279" t="s">
        <v>113</v>
      </c>
      <c r="J394" s="279" t="s">
        <v>114</v>
      </c>
      <c r="K394" s="89" t="s">
        <v>25</v>
      </c>
      <c r="L394" s="90"/>
    </row>
    <row r="395" spans="2:12" hidden="1">
      <c r="B395" s="301"/>
      <c r="C395" s="1028" t="s">
        <v>167</v>
      </c>
      <c r="D395" s="1028"/>
      <c r="E395" s="1028"/>
      <c r="F395" s="91"/>
      <c r="G395" s="91"/>
      <c r="H395" s="91">
        <v>2</v>
      </c>
      <c r="I395" s="91">
        <v>4.2</v>
      </c>
      <c r="J395" s="91"/>
      <c r="K395" s="282">
        <f>TRUNC(H395*I395,2)</f>
        <v>8.4</v>
      </c>
      <c r="L395" s="90"/>
    </row>
    <row r="396" spans="2:12" hidden="1">
      <c r="B396" s="301"/>
      <c r="C396" s="1028" t="s">
        <v>168</v>
      </c>
      <c r="D396" s="1028"/>
      <c r="E396" s="1028"/>
      <c r="F396" s="91"/>
      <c r="G396" s="91"/>
      <c r="H396" s="91">
        <v>2</v>
      </c>
      <c r="I396" s="91">
        <v>3.13</v>
      </c>
      <c r="J396" s="91"/>
      <c r="K396" s="282">
        <f>TRUNC(H396*I396,2)</f>
        <v>6.26</v>
      </c>
      <c r="L396" s="90"/>
    </row>
    <row r="397" spans="2:12" hidden="1">
      <c r="B397" s="301"/>
      <c r="C397" s="1028" t="s">
        <v>169</v>
      </c>
      <c r="D397" s="1028"/>
      <c r="E397" s="1028"/>
      <c r="F397" s="91"/>
      <c r="G397" s="91"/>
      <c r="H397" s="91">
        <v>1</v>
      </c>
      <c r="I397" s="91">
        <v>1.05</v>
      </c>
      <c r="J397" s="91"/>
      <c r="K397" s="282">
        <f>TRUNC(H397*I397,2)</f>
        <v>1.05</v>
      </c>
      <c r="L397" s="90"/>
    </row>
    <row r="398" spans="2:12" hidden="1">
      <c r="B398" s="301"/>
      <c r="C398" s="1028" t="s">
        <v>170</v>
      </c>
      <c r="D398" s="1028"/>
      <c r="E398" s="1028"/>
      <c r="F398" s="91"/>
      <c r="G398" s="91"/>
      <c r="H398" s="91">
        <v>2</v>
      </c>
      <c r="I398" s="91">
        <v>3.13</v>
      </c>
      <c r="J398" s="91"/>
      <c r="K398" s="282">
        <f>TRUNC(H398*I398,2)</f>
        <v>6.26</v>
      </c>
      <c r="L398" s="90"/>
    </row>
    <row r="399" spans="2:12" hidden="1">
      <c r="B399" s="301"/>
      <c r="C399" s="1028" t="s">
        <v>171</v>
      </c>
      <c r="D399" s="1028"/>
      <c r="E399" s="1028"/>
      <c r="F399" s="91"/>
      <c r="G399" s="91"/>
      <c r="H399" s="91">
        <v>1</v>
      </c>
      <c r="I399" s="91">
        <v>1.05</v>
      </c>
      <c r="J399" s="91"/>
      <c r="K399" s="282">
        <f>TRUNC(H399*I399,2)</f>
        <v>1.05</v>
      </c>
      <c r="L399" s="90"/>
    </row>
    <row r="400" spans="2:12" hidden="1">
      <c r="B400" s="301"/>
      <c r="C400" s="987" t="s">
        <v>116</v>
      </c>
      <c r="D400" s="987"/>
      <c r="E400" s="987"/>
      <c r="F400" s="987"/>
      <c r="G400" s="987"/>
      <c r="H400" s="987"/>
      <c r="I400" s="987"/>
      <c r="J400" s="987"/>
      <c r="K400" s="89">
        <f>SUM(K395:K399)</f>
        <v>23.02</v>
      </c>
      <c r="L400" s="90"/>
    </row>
    <row r="401" spans="2:12" hidden="1">
      <c r="B401" s="219"/>
      <c r="C401" s="219"/>
      <c r="D401" s="219"/>
      <c r="E401" s="219"/>
      <c r="F401" s="219"/>
      <c r="G401" s="219"/>
      <c r="H401" s="219"/>
      <c r="I401" s="219"/>
      <c r="J401" s="219"/>
      <c r="K401" s="219"/>
      <c r="L401" s="219"/>
    </row>
    <row r="402" spans="2:12" ht="15" hidden="1" customHeight="1">
      <c r="B402" s="85" t="str">
        <f>'[6]PLANILHA ORÇAMENTÁRIA'!D111</f>
        <v>13.2</v>
      </c>
      <c r="C402" s="1032" t="str">
        <f>'[6]PLANILHA ORÇAMENTÁRIA'!E111</f>
        <v>APLICAÇÃO E LIXAMENTO DE MASSA LÁTEX EM TETO, DUAS DEMÃOS. AF_06/2014</v>
      </c>
      <c r="D402" s="1032"/>
      <c r="E402" s="1032"/>
      <c r="F402" s="1032"/>
      <c r="G402" s="1032"/>
      <c r="H402" s="1032"/>
      <c r="I402" s="1032"/>
      <c r="J402" s="1032"/>
      <c r="K402" s="294" t="str">
        <f>'[6]PLANILHA ORÇAMENTÁRIA'!F111</f>
        <v>M2</v>
      </c>
      <c r="L402" s="295">
        <f>K409</f>
        <v>23.02</v>
      </c>
    </row>
    <row r="403" spans="2:12" hidden="1">
      <c r="B403" s="301"/>
      <c r="C403" s="983" t="s">
        <v>20</v>
      </c>
      <c r="D403" s="983"/>
      <c r="E403" s="983"/>
      <c r="F403" s="87" t="s">
        <v>22</v>
      </c>
      <c r="G403" s="279" t="s">
        <v>111</v>
      </c>
      <c r="H403" s="87" t="s">
        <v>112</v>
      </c>
      <c r="I403" s="279" t="s">
        <v>113</v>
      </c>
      <c r="J403" s="279" t="s">
        <v>114</v>
      </c>
      <c r="K403" s="89" t="s">
        <v>25</v>
      </c>
      <c r="L403" s="90"/>
    </row>
    <row r="404" spans="2:12" hidden="1">
      <c r="B404" s="301"/>
      <c r="C404" s="1028" t="s">
        <v>167</v>
      </c>
      <c r="D404" s="1028"/>
      <c r="E404" s="1028"/>
      <c r="F404" s="91"/>
      <c r="G404" s="91"/>
      <c r="H404" s="91">
        <v>2</v>
      </c>
      <c r="I404" s="91">
        <v>4.2</v>
      </c>
      <c r="J404" s="91"/>
      <c r="K404" s="282">
        <f>TRUNC(H404*I404,2)</f>
        <v>8.4</v>
      </c>
      <c r="L404" s="90"/>
    </row>
    <row r="405" spans="2:12" hidden="1">
      <c r="B405" s="301"/>
      <c r="C405" s="1028" t="s">
        <v>168</v>
      </c>
      <c r="D405" s="1028"/>
      <c r="E405" s="1028"/>
      <c r="F405" s="91"/>
      <c r="G405" s="91"/>
      <c r="H405" s="91">
        <v>2</v>
      </c>
      <c r="I405" s="91">
        <v>3.13</v>
      </c>
      <c r="J405" s="91"/>
      <c r="K405" s="282">
        <f>TRUNC(H405*I405,2)</f>
        <v>6.26</v>
      </c>
      <c r="L405" s="90"/>
    </row>
    <row r="406" spans="2:12" hidden="1">
      <c r="B406" s="301"/>
      <c r="C406" s="1028" t="s">
        <v>169</v>
      </c>
      <c r="D406" s="1028"/>
      <c r="E406" s="1028"/>
      <c r="F406" s="91"/>
      <c r="G406" s="91"/>
      <c r="H406" s="91">
        <v>1</v>
      </c>
      <c r="I406" s="91">
        <v>1.05</v>
      </c>
      <c r="J406" s="91"/>
      <c r="K406" s="282">
        <f>TRUNC(H406*I406,2)</f>
        <v>1.05</v>
      </c>
      <c r="L406" s="90"/>
    </row>
    <row r="407" spans="2:12" hidden="1">
      <c r="B407" s="301"/>
      <c r="C407" s="1028" t="s">
        <v>170</v>
      </c>
      <c r="D407" s="1028"/>
      <c r="E407" s="1028"/>
      <c r="F407" s="91"/>
      <c r="G407" s="91"/>
      <c r="H407" s="91">
        <v>2</v>
      </c>
      <c r="I407" s="91">
        <v>3.13</v>
      </c>
      <c r="J407" s="91"/>
      <c r="K407" s="282">
        <f>TRUNC(H407*I407,2)</f>
        <v>6.26</v>
      </c>
      <c r="L407" s="90"/>
    </row>
    <row r="408" spans="2:12" hidden="1">
      <c r="B408" s="301"/>
      <c r="C408" s="1028" t="s">
        <v>171</v>
      </c>
      <c r="D408" s="1028"/>
      <c r="E408" s="1028"/>
      <c r="F408" s="91"/>
      <c r="G408" s="91"/>
      <c r="H408" s="91">
        <v>1</v>
      </c>
      <c r="I408" s="91">
        <v>1.05</v>
      </c>
      <c r="J408" s="91"/>
      <c r="K408" s="282">
        <f>TRUNC(H408*I408,2)</f>
        <v>1.05</v>
      </c>
      <c r="L408" s="90"/>
    </row>
    <row r="409" spans="2:12" hidden="1">
      <c r="B409" s="301"/>
      <c r="C409" s="987" t="s">
        <v>116</v>
      </c>
      <c r="D409" s="987"/>
      <c r="E409" s="987"/>
      <c r="F409" s="987"/>
      <c r="G409" s="987"/>
      <c r="H409" s="987"/>
      <c r="I409" s="987"/>
      <c r="J409" s="987"/>
      <c r="K409" s="89">
        <f>SUM(K404:K408)</f>
        <v>23.02</v>
      </c>
      <c r="L409" s="90"/>
    </row>
    <row r="410" spans="2:12" hidden="1">
      <c r="B410" s="219"/>
      <c r="C410" s="219"/>
      <c r="D410" s="219"/>
      <c r="E410" s="219"/>
      <c r="F410" s="219"/>
      <c r="G410" s="219"/>
      <c r="H410" s="219"/>
      <c r="I410" s="219"/>
      <c r="J410" s="219"/>
      <c r="K410" s="219"/>
      <c r="L410" s="219"/>
    </row>
    <row r="411" spans="2:12" ht="15" hidden="1" customHeight="1">
      <c r="B411" s="85" t="str">
        <f>'[6]PLANILHA ORÇAMENTÁRIA'!D112</f>
        <v>13.3</v>
      </c>
      <c r="C411" s="1032" t="str">
        <f>'[6]PLANILHA ORÇAMENTÁRIA'!E112</f>
        <v>APLICAÇÃO MANUAL DE PINTURA COM TINTA LÁTEX PVA EM TETO, DUAS DEMÃOS. AF_06/2014</v>
      </c>
      <c r="D411" s="1032"/>
      <c r="E411" s="1032"/>
      <c r="F411" s="1032"/>
      <c r="G411" s="1032"/>
      <c r="H411" s="1032"/>
      <c r="I411" s="1032"/>
      <c r="J411" s="1032"/>
      <c r="K411" s="294" t="str">
        <f>'[6]PLANILHA ORÇAMENTÁRIA'!F112</f>
        <v>M2</v>
      </c>
      <c r="L411" s="295">
        <f>K418</f>
        <v>23.02</v>
      </c>
    </row>
    <row r="412" spans="2:12" hidden="1">
      <c r="B412" s="301"/>
      <c r="C412" s="983" t="s">
        <v>20</v>
      </c>
      <c r="D412" s="983"/>
      <c r="E412" s="983"/>
      <c r="F412" s="87" t="s">
        <v>22</v>
      </c>
      <c r="G412" s="279" t="s">
        <v>111</v>
      </c>
      <c r="H412" s="87" t="s">
        <v>112</v>
      </c>
      <c r="I412" s="279" t="s">
        <v>113</v>
      </c>
      <c r="J412" s="279" t="s">
        <v>114</v>
      </c>
      <c r="K412" s="89" t="s">
        <v>25</v>
      </c>
      <c r="L412" s="90"/>
    </row>
    <row r="413" spans="2:12" hidden="1">
      <c r="B413" s="301"/>
      <c r="C413" s="1028" t="s">
        <v>167</v>
      </c>
      <c r="D413" s="1028"/>
      <c r="E413" s="1028"/>
      <c r="F413" s="91"/>
      <c r="G413" s="91"/>
      <c r="H413" s="91">
        <v>2</v>
      </c>
      <c r="I413" s="91">
        <v>4.2</v>
      </c>
      <c r="J413" s="91"/>
      <c r="K413" s="282">
        <f>TRUNC(H413*I413,2)</f>
        <v>8.4</v>
      </c>
      <c r="L413" s="90"/>
    </row>
    <row r="414" spans="2:12" hidden="1">
      <c r="B414" s="301"/>
      <c r="C414" s="1028" t="s">
        <v>168</v>
      </c>
      <c r="D414" s="1028"/>
      <c r="E414" s="1028"/>
      <c r="F414" s="91"/>
      <c r="G414" s="91"/>
      <c r="H414" s="91">
        <v>2</v>
      </c>
      <c r="I414" s="91">
        <v>3.13</v>
      </c>
      <c r="J414" s="91"/>
      <c r="K414" s="282">
        <f>TRUNC(H414*I414,2)</f>
        <v>6.26</v>
      </c>
      <c r="L414" s="90"/>
    </row>
    <row r="415" spans="2:12" hidden="1">
      <c r="B415" s="301"/>
      <c r="C415" s="1028" t="s">
        <v>169</v>
      </c>
      <c r="D415" s="1028"/>
      <c r="E415" s="1028"/>
      <c r="F415" s="91"/>
      <c r="G415" s="91"/>
      <c r="H415" s="91">
        <v>1</v>
      </c>
      <c r="I415" s="91">
        <v>1.05</v>
      </c>
      <c r="J415" s="91"/>
      <c r="K415" s="282">
        <f>TRUNC(H415*I415,2)</f>
        <v>1.05</v>
      </c>
      <c r="L415" s="90"/>
    </row>
    <row r="416" spans="2:12" hidden="1">
      <c r="B416" s="301"/>
      <c r="C416" s="1028" t="s">
        <v>170</v>
      </c>
      <c r="D416" s="1028"/>
      <c r="E416" s="1028"/>
      <c r="F416" s="91"/>
      <c r="G416" s="91"/>
      <c r="H416" s="91">
        <v>2</v>
      </c>
      <c r="I416" s="91">
        <v>3.13</v>
      </c>
      <c r="J416" s="91"/>
      <c r="K416" s="282">
        <f>TRUNC(H416*I416,2)</f>
        <v>6.26</v>
      </c>
      <c r="L416" s="90"/>
    </row>
    <row r="417" spans="2:12" hidden="1">
      <c r="B417" s="301"/>
      <c r="C417" s="1028" t="s">
        <v>171</v>
      </c>
      <c r="D417" s="1028"/>
      <c r="E417" s="1028"/>
      <c r="F417" s="91"/>
      <c r="G417" s="91"/>
      <c r="H417" s="91">
        <v>1</v>
      </c>
      <c r="I417" s="91">
        <v>1.05</v>
      </c>
      <c r="J417" s="91"/>
      <c r="K417" s="282">
        <f>TRUNC(H417*I417,2)</f>
        <v>1.05</v>
      </c>
      <c r="L417" s="90"/>
    </row>
    <row r="418" spans="2:12" hidden="1">
      <c r="B418" s="301"/>
      <c r="C418" s="987" t="s">
        <v>116</v>
      </c>
      <c r="D418" s="987"/>
      <c r="E418" s="987"/>
      <c r="F418" s="987"/>
      <c r="G418" s="987"/>
      <c r="H418" s="987"/>
      <c r="I418" s="987"/>
      <c r="J418" s="987"/>
      <c r="K418" s="89">
        <f>SUM(K413:K417)</f>
        <v>23.02</v>
      </c>
      <c r="L418" s="90"/>
    </row>
    <row r="419" spans="2:12" hidden="1">
      <c r="B419" s="219"/>
      <c r="C419" s="219"/>
      <c r="D419" s="219"/>
      <c r="E419" s="219"/>
      <c r="F419" s="219"/>
      <c r="G419" s="219"/>
      <c r="H419" s="219"/>
      <c r="I419" s="219"/>
      <c r="J419" s="219"/>
      <c r="K419" s="219"/>
      <c r="L419" s="219"/>
    </row>
    <row r="420" spans="2:12" hidden="1">
      <c r="B420" s="85" t="str">
        <f>'[6]PLANILHA ORÇAMENTÁRIA'!D113</f>
        <v>13.4</v>
      </c>
      <c r="C420" s="1032" t="str">
        <f>'[6]PLANILHA ORÇAMENTÁRIA'!E113</f>
        <v>APLICAÇÃO DE FUNDO SELADOR ACRÍLICO EM PAREDES, UMA DEMÃO. AF_06/2014</v>
      </c>
      <c r="D420" s="1032"/>
      <c r="E420" s="1032"/>
      <c r="F420" s="1032"/>
      <c r="G420" s="1032"/>
      <c r="H420" s="1032"/>
      <c r="I420" s="1032"/>
      <c r="J420" s="1032"/>
      <c r="K420" s="294" t="str">
        <f>'[6]PLANILHA ORÇAMENTÁRIA'!F113</f>
        <v>M2</v>
      </c>
      <c r="L420" s="295">
        <f>K424</f>
        <v>50.4</v>
      </c>
    </row>
    <row r="421" spans="2:12" hidden="1">
      <c r="B421" s="301"/>
      <c r="C421" s="983" t="s">
        <v>20</v>
      </c>
      <c r="D421" s="983"/>
      <c r="E421" s="983"/>
      <c r="F421" s="87" t="s">
        <v>22</v>
      </c>
      <c r="G421" s="279" t="s">
        <v>111</v>
      </c>
      <c r="H421" s="87" t="s">
        <v>112</v>
      </c>
      <c r="I421" s="279" t="s">
        <v>154</v>
      </c>
      <c r="J421" s="279" t="s">
        <v>114</v>
      </c>
      <c r="K421" s="89" t="s">
        <v>25</v>
      </c>
      <c r="L421" s="90"/>
    </row>
    <row r="422" spans="2:12" ht="25.5" hidden="1" customHeight="1">
      <c r="B422" s="301"/>
      <c r="C422" s="1028" t="s">
        <v>172</v>
      </c>
      <c r="D422" s="1028"/>
      <c r="E422" s="1028"/>
      <c r="F422" s="91">
        <v>1</v>
      </c>
      <c r="G422" s="91">
        <v>2.4</v>
      </c>
      <c r="H422" s="91"/>
      <c r="I422" s="91">
        <v>12.6</v>
      </c>
      <c r="J422" s="91"/>
      <c r="K422" s="282">
        <f>TRUNC(((G422*I422)*F422)-J422,2)</f>
        <v>30.24</v>
      </c>
      <c r="L422" s="90"/>
    </row>
    <row r="423" spans="2:12" hidden="1">
      <c r="B423" s="301"/>
      <c r="C423" s="1028" t="s">
        <v>173</v>
      </c>
      <c r="D423" s="1028"/>
      <c r="E423" s="1028"/>
      <c r="F423" s="91">
        <v>1</v>
      </c>
      <c r="G423" s="91">
        <v>2.4</v>
      </c>
      <c r="H423" s="91"/>
      <c r="I423" s="91">
        <v>8.4</v>
      </c>
      <c r="J423" s="91"/>
      <c r="K423" s="282">
        <f>TRUNC(((G423*I423)*F423),2)</f>
        <v>20.16</v>
      </c>
      <c r="L423" s="90"/>
    </row>
    <row r="424" spans="2:12" hidden="1">
      <c r="B424" s="219"/>
      <c r="C424" s="987" t="s">
        <v>116</v>
      </c>
      <c r="D424" s="987"/>
      <c r="E424" s="987"/>
      <c r="F424" s="987"/>
      <c r="G424" s="987"/>
      <c r="H424" s="987"/>
      <c r="I424" s="987"/>
      <c r="J424" s="987"/>
      <c r="K424" s="89">
        <f>SUM(K422:K423)</f>
        <v>50.4</v>
      </c>
      <c r="L424" s="219"/>
    </row>
    <row r="425" spans="2:12" hidden="1">
      <c r="B425" s="219"/>
      <c r="C425" s="219"/>
      <c r="D425" s="219"/>
      <c r="E425" s="219"/>
      <c r="F425" s="219"/>
      <c r="G425" s="219"/>
      <c r="H425" s="219"/>
      <c r="I425" s="219"/>
      <c r="J425" s="219"/>
      <c r="K425" s="219"/>
      <c r="L425" s="219"/>
    </row>
    <row r="426" spans="2:12" hidden="1">
      <c r="B426" s="85" t="str">
        <f>'[6]PLANILHA ORÇAMENTÁRIA'!D114</f>
        <v>13.5</v>
      </c>
      <c r="C426" s="1032" t="str">
        <f>'[6]PLANILHA ORÇAMENTÁRIA'!E114</f>
        <v>APLICAÇÃO E LIXAMENTO DE MASSA LÁTEX EM PAREDES, UMA DEMÃO. AF_06/2014</v>
      </c>
      <c r="D426" s="1032"/>
      <c r="E426" s="1032"/>
      <c r="F426" s="1032"/>
      <c r="G426" s="1032"/>
      <c r="H426" s="1032"/>
      <c r="I426" s="1032"/>
      <c r="J426" s="1032"/>
      <c r="K426" s="294" t="str">
        <f>'[6]PLANILHA ORÇAMENTÁRIA'!F114</f>
        <v>M2</v>
      </c>
      <c r="L426" s="295">
        <f>K430</f>
        <v>50.4</v>
      </c>
    </row>
    <row r="427" spans="2:12" hidden="1">
      <c r="B427" s="301"/>
      <c r="C427" s="983" t="s">
        <v>20</v>
      </c>
      <c r="D427" s="983"/>
      <c r="E427" s="983"/>
      <c r="F427" s="87" t="s">
        <v>22</v>
      </c>
      <c r="G427" s="279" t="s">
        <v>111</v>
      </c>
      <c r="H427" s="87" t="s">
        <v>112</v>
      </c>
      <c r="I427" s="279" t="s">
        <v>154</v>
      </c>
      <c r="J427" s="279" t="s">
        <v>114</v>
      </c>
      <c r="K427" s="89" t="s">
        <v>25</v>
      </c>
      <c r="L427" s="90"/>
    </row>
    <row r="428" spans="2:12" hidden="1">
      <c r="B428" s="301"/>
      <c r="C428" s="1028" t="s">
        <v>172</v>
      </c>
      <c r="D428" s="1028"/>
      <c r="E428" s="1028"/>
      <c r="F428" s="91">
        <v>1</v>
      </c>
      <c r="G428" s="91">
        <v>2.4</v>
      </c>
      <c r="H428" s="91"/>
      <c r="I428" s="91">
        <v>12.6</v>
      </c>
      <c r="J428" s="91"/>
      <c r="K428" s="282">
        <f>TRUNC(((G428*I428)*F428)-J428,2)</f>
        <v>30.24</v>
      </c>
      <c r="L428" s="90"/>
    </row>
    <row r="429" spans="2:12" hidden="1">
      <c r="B429" s="301"/>
      <c r="C429" s="1028" t="s">
        <v>173</v>
      </c>
      <c r="D429" s="1028"/>
      <c r="E429" s="1028"/>
      <c r="F429" s="91">
        <v>1</v>
      </c>
      <c r="G429" s="91">
        <v>2.4</v>
      </c>
      <c r="H429" s="91"/>
      <c r="I429" s="91">
        <v>8.4</v>
      </c>
      <c r="J429" s="91"/>
      <c r="K429" s="282">
        <f>TRUNC(((G429*I429)*F429),2)</f>
        <v>20.16</v>
      </c>
      <c r="L429" s="90"/>
    </row>
    <row r="430" spans="2:12" hidden="1">
      <c r="B430" s="219"/>
      <c r="C430" s="987" t="s">
        <v>116</v>
      </c>
      <c r="D430" s="987"/>
      <c r="E430" s="987"/>
      <c r="F430" s="987"/>
      <c r="G430" s="987"/>
      <c r="H430" s="987"/>
      <c r="I430" s="987"/>
      <c r="J430" s="987"/>
      <c r="K430" s="89">
        <f>SUM(K428:K429)</f>
        <v>50.4</v>
      </c>
      <c r="L430" s="219"/>
    </row>
    <row r="431" spans="2:12" hidden="1">
      <c r="B431" s="219"/>
      <c r="C431" s="219"/>
      <c r="D431" s="219"/>
      <c r="E431" s="219"/>
      <c r="F431" s="219"/>
      <c r="G431" s="219"/>
      <c r="H431" s="219"/>
      <c r="I431" s="219"/>
      <c r="J431" s="219"/>
      <c r="K431" s="219"/>
      <c r="L431" s="219"/>
    </row>
    <row r="432" spans="2:12" hidden="1">
      <c r="B432" s="85" t="str">
        <f>'[6]PLANILHA ORÇAMENTÁRIA'!D115</f>
        <v>13.6</v>
      </c>
      <c r="C432" s="1032" t="str">
        <f>'[6]PLANILHA ORÇAMENTÁRIA'!E115</f>
        <v>APLICAÇÃO MANUAL DE PINTURA COM TINTA LÁTEX ACRÍLICA EM PAREDES, DUAS DEMÃOS. AF_06/2014</v>
      </c>
      <c r="D432" s="1032"/>
      <c r="E432" s="1032"/>
      <c r="F432" s="1032"/>
      <c r="G432" s="1032"/>
      <c r="H432" s="1032"/>
      <c r="I432" s="1032"/>
      <c r="J432" s="1032"/>
      <c r="K432" s="294" t="str">
        <f>'[6]PLANILHA ORÇAMENTÁRIA'!F115</f>
        <v>M2</v>
      </c>
      <c r="L432" s="295">
        <f>K436</f>
        <v>50.4</v>
      </c>
    </row>
    <row r="433" spans="2:12" hidden="1">
      <c r="B433" s="301"/>
      <c r="C433" s="983" t="s">
        <v>20</v>
      </c>
      <c r="D433" s="983"/>
      <c r="E433" s="983"/>
      <c r="F433" s="87" t="s">
        <v>22</v>
      </c>
      <c r="G433" s="279" t="s">
        <v>111</v>
      </c>
      <c r="H433" s="87" t="s">
        <v>112</v>
      </c>
      <c r="I433" s="279" t="s">
        <v>154</v>
      </c>
      <c r="J433" s="279" t="s">
        <v>114</v>
      </c>
      <c r="K433" s="89" t="s">
        <v>25</v>
      </c>
      <c r="L433" s="90"/>
    </row>
    <row r="434" spans="2:12" hidden="1">
      <c r="B434" s="301"/>
      <c r="C434" s="1028" t="s">
        <v>172</v>
      </c>
      <c r="D434" s="1028"/>
      <c r="E434" s="1028"/>
      <c r="F434" s="91">
        <v>1</v>
      </c>
      <c r="G434" s="91">
        <v>2.4</v>
      </c>
      <c r="H434" s="91"/>
      <c r="I434" s="91">
        <v>12.6</v>
      </c>
      <c r="J434" s="91"/>
      <c r="K434" s="282">
        <f>TRUNC(((G434*I434)*F434)-J434,2)</f>
        <v>30.24</v>
      </c>
      <c r="L434" s="90"/>
    </row>
    <row r="435" spans="2:12" hidden="1">
      <c r="B435" s="301"/>
      <c r="C435" s="1028" t="s">
        <v>173</v>
      </c>
      <c r="D435" s="1028"/>
      <c r="E435" s="1028"/>
      <c r="F435" s="91">
        <v>1</v>
      </c>
      <c r="G435" s="91">
        <v>2.4</v>
      </c>
      <c r="H435" s="91"/>
      <c r="I435" s="91">
        <v>8.4</v>
      </c>
      <c r="J435" s="91"/>
      <c r="K435" s="282">
        <f>TRUNC(((G435*I435)*F435),2)</f>
        <v>20.16</v>
      </c>
      <c r="L435" s="90"/>
    </row>
    <row r="436" spans="2:12" hidden="1">
      <c r="B436" s="219"/>
      <c r="C436" s="987" t="s">
        <v>116</v>
      </c>
      <c r="D436" s="987"/>
      <c r="E436" s="987"/>
      <c r="F436" s="987"/>
      <c r="G436" s="987"/>
      <c r="H436" s="987"/>
      <c r="I436" s="987"/>
      <c r="J436" s="987"/>
      <c r="K436" s="89">
        <f>SUM(K434:K435)</f>
        <v>50.4</v>
      </c>
      <c r="L436" s="219"/>
    </row>
    <row r="437" spans="2:12" hidden="1">
      <c r="B437" s="219"/>
      <c r="C437" s="219"/>
      <c r="D437" s="219"/>
      <c r="E437" s="219"/>
      <c r="F437" s="219"/>
      <c r="G437" s="219"/>
      <c r="H437" s="219"/>
      <c r="I437" s="219"/>
      <c r="J437" s="219"/>
      <c r="K437" s="219"/>
      <c r="L437" s="219"/>
    </row>
    <row r="438" spans="2:12" hidden="1">
      <c r="B438" s="292" t="str">
        <f>'[6]PLANILHA ORÇAMENTÁRIA'!D116</f>
        <v>14.0</v>
      </c>
      <c r="C438" s="1093" t="str">
        <f>'[6]PLANILHA ORÇAMENTÁRIA'!E116</f>
        <v>APARELHOS DA ACADEMIA</v>
      </c>
      <c r="D438" s="1093"/>
      <c r="E438" s="1093"/>
      <c r="F438" s="1093"/>
      <c r="G438" s="1093"/>
      <c r="H438" s="1093"/>
      <c r="I438" s="1093"/>
      <c r="J438" s="1093"/>
      <c r="K438" s="293"/>
      <c r="L438" s="293"/>
    </row>
    <row r="439" spans="2:12" hidden="1">
      <c r="B439" s="292" t="str">
        <f>'[6]PLANILHA ORÇAMENTÁRIA'!D117</f>
        <v>14.1</v>
      </c>
      <c r="C439" s="1093" t="str">
        <f>'[6]PLANILHA ORÇAMENTÁRIA'!E117</f>
        <v>BARRA PARALELA</v>
      </c>
      <c r="D439" s="1093"/>
      <c r="E439" s="1093"/>
      <c r="F439" s="1093"/>
      <c r="G439" s="1093"/>
      <c r="H439" s="1093"/>
      <c r="I439" s="1093"/>
      <c r="J439" s="1093"/>
      <c r="K439" s="293"/>
      <c r="L439" s="293"/>
    </row>
    <row r="440" spans="2:12" ht="15" hidden="1" customHeight="1">
      <c r="B440" s="85" t="str">
        <f>'[6]PLANILHA ORÇAMENTÁRIA'!D118</f>
        <v>14.1.1</v>
      </c>
      <c r="C440" s="1032" t="str">
        <f>'[6]PLANILHA ORÇAMENTÁRIA'!E118</f>
        <v>ESCAVAÇÃO MANUAL DE VALA COM PROFUNDIDADE MENOR OU IGUAL A 1,30 M</v>
      </c>
      <c r="D440" s="1032"/>
      <c r="E440" s="1032"/>
      <c r="F440" s="1032"/>
      <c r="G440" s="1032"/>
      <c r="H440" s="1032"/>
      <c r="I440" s="1032"/>
      <c r="J440" s="1032"/>
      <c r="K440" s="294" t="str">
        <f>'[6]PLANILHA ORÇAMENTÁRIA'!F118</f>
        <v>M3</v>
      </c>
      <c r="L440" s="295">
        <f>K443</f>
        <v>9.9000000000000005E-2</v>
      </c>
    </row>
    <row r="441" spans="2:12" hidden="1">
      <c r="B441" s="301"/>
      <c r="C441" s="983" t="s">
        <v>20</v>
      </c>
      <c r="D441" s="983"/>
      <c r="E441" s="983"/>
      <c r="F441" s="87" t="s">
        <v>22</v>
      </c>
      <c r="G441" s="279" t="s">
        <v>111</v>
      </c>
      <c r="H441" s="87" t="s">
        <v>112</v>
      </c>
      <c r="I441" s="279" t="s">
        <v>113</v>
      </c>
      <c r="J441" s="279" t="s">
        <v>114</v>
      </c>
      <c r="K441" s="89" t="s">
        <v>25</v>
      </c>
      <c r="L441" s="90"/>
    </row>
    <row r="442" spans="2:12" hidden="1">
      <c r="B442" s="301"/>
      <c r="C442" s="1028" t="s">
        <v>174</v>
      </c>
      <c r="D442" s="1028"/>
      <c r="E442" s="1028"/>
      <c r="F442" s="91">
        <v>8</v>
      </c>
      <c r="G442" s="91">
        <v>0.55000000000000004</v>
      </c>
      <c r="H442" s="91">
        <v>0.15</v>
      </c>
      <c r="I442" s="91">
        <v>0.15</v>
      </c>
      <c r="J442" s="91"/>
      <c r="K442" s="296">
        <f>PRODUCT(F442:I442)</f>
        <v>9.9000000000000005E-2</v>
      </c>
      <c r="L442" s="90"/>
    </row>
    <row r="443" spans="2:12" hidden="1">
      <c r="B443" s="301"/>
      <c r="C443" s="987" t="s">
        <v>116</v>
      </c>
      <c r="D443" s="987"/>
      <c r="E443" s="987"/>
      <c r="F443" s="987"/>
      <c r="G443" s="987"/>
      <c r="H443" s="987"/>
      <c r="I443" s="987"/>
      <c r="J443" s="987"/>
      <c r="K443" s="298">
        <f>SUM(K442:K442)</f>
        <v>9.9000000000000005E-2</v>
      </c>
      <c r="L443" s="90"/>
    </row>
    <row r="444" spans="2:12" hidden="1">
      <c r="B444" s="301"/>
      <c r="C444" s="211"/>
      <c r="D444" s="211"/>
      <c r="E444" s="211"/>
      <c r="F444" s="211"/>
      <c r="G444" s="211"/>
      <c r="H444" s="211"/>
      <c r="I444" s="211"/>
      <c r="J444" s="211"/>
      <c r="K444" s="299"/>
      <c r="L444" s="90"/>
    </row>
    <row r="445" spans="2:12" ht="22.5" hidden="1" customHeight="1">
      <c r="B445" s="85" t="str">
        <f>'[6]PLANILHA ORÇAMENTÁRIA'!D119</f>
        <v>14.1.2</v>
      </c>
      <c r="C445" s="1032" t="str">
        <f>'[6]PLANILHA ORÇAMENTÁRIA'!E119</f>
        <v>LASTRO DE CONCRETO MAGRO, APLICADO EM PISOS OU RADIERS, ESPESSURA DE 5CM. AF_07_2016</v>
      </c>
      <c r="D445" s="1032"/>
      <c r="E445" s="1032"/>
      <c r="F445" s="1032"/>
      <c r="G445" s="1032"/>
      <c r="H445" s="1032"/>
      <c r="I445" s="1032"/>
      <c r="J445" s="1032"/>
      <c r="K445" s="294" t="str">
        <f>'[6]PLANILHA ORÇAMENTÁRIA'!F119</f>
        <v>M2</v>
      </c>
      <c r="L445" s="295">
        <f>K448</f>
        <v>0.18</v>
      </c>
    </row>
    <row r="446" spans="2:12" hidden="1">
      <c r="B446" s="301"/>
      <c r="C446" s="983" t="s">
        <v>20</v>
      </c>
      <c r="D446" s="983"/>
      <c r="E446" s="983"/>
      <c r="F446" s="87" t="s">
        <v>22</v>
      </c>
      <c r="G446" s="279" t="s">
        <v>111</v>
      </c>
      <c r="H446" s="87" t="s">
        <v>112</v>
      </c>
      <c r="I446" s="279" t="s">
        <v>113</v>
      </c>
      <c r="J446" s="279" t="s">
        <v>114</v>
      </c>
      <c r="K446" s="89" t="s">
        <v>25</v>
      </c>
      <c r="L446" s="90"/>
    </row>
    <row r="447" spans="2:12" hidden="1">
      <c r="B447" s="301"/>
      <c r="C447" s="1028"/>
      <c r="D447" s="1028"/>
      <c r="E447" s="1028"/>
      <c r="F447" s="91">
        <v>8</v>
      </c>
      <c r="G447" s="91"/>
      <c r="H447" s="91">
        <v>0.15</v>
      </c>
      <c r="I447" s="91">
        <v>0.15</v>
      </c>
      <c r="J447" s="91"/>
      <c r="K447" s="296">
        <f>PRODUCT(F447:I447)</f>
        <v>0.18</v>
      </c>
      <c r="L447" s="90"/>
    </row>
    <row r="448" spans="2:12" hidden="1">
      <c r="B448" s="301"/>
      <c r="C448" s="987" t="s">
        <v>116</v>
      </c>
      <c r="D448" s="987"/>
      <c r="E448" s="987"/>
      <c r="F448" s="987"/>
      <c r="G448" s="987"/>
      <c r="H448" s="987"/>
      <c r="I448" s="987"/>
      <c r="J448" s="987"/>
      <c r="K448" s="298">
        <f>SUM(K447:K447)</f>
        <v>0.18</v>
      </c>
      <c r="L448" s="90"/>
    </row>
    <row r="449" spans="2:12" hidden="1">
      <c r="B449" s="301"/>
      <c r="C449" s="211"/>
      <c r="D449" s="211"/>
      <c r="E449" s="211"/>
      <c r="F449" s="211"/>
      <c r="G449" s="211"/>
      <c r="H449" s="211"/>
      <c r="I449" s="211"/>
      <c r="J449" s="211"/>
      <c r="K449" s="299"/>
      <c r="L449" s="90"/>
    </row>
    <row r="450" spans="2:12" ht="24" hidden="1" customHeight="1">
      <c r="B450" s="85" t="str">
        <f>'[6]PLANILHA ORÇAMENTÁRIA'!D120</f>
        <v>14.1.3</v>
      </c>
      <c r="C450" s="1032" t="str">
        <f>'[6]PLANILHA ORÇAMENTÁRIA'!E120</f>
        <v>CONCRETAGEM DE BLOCOS DE COROAMENTO E VIGAS BALDRAMES, FCK 30 MPA, COM USO DE BOMBA LANÇAMENTO, ADENSAMENTO E ACABAMENTO. AF_06/2017</v>
      </c>
      <c r="D450" s="1032"/>
      <c r="E450" s="1032"/>
      <c r="F450" s="1032"/>
      <c r="G450" s="1032"/>
      <c r="H450" s="1032"/>
      <c r="I450" s="1032"/>
      <c r="J450" s="1032"/>
      <c r="K450" s="294" t="str">
        <f>'[6]PLANILHA ORÇAMENTÁRIA'!F120</f>
        <v>M3</v>
      </c>
      <c r="L450" s="295">
        <f>K453</f>
        <v>7.0000000000000007E-2</v>
      </c>
    </row>
    <row r="451" spans="2:12" hidden="1">
      <c r="B451" s="301"/>
      <c r="C451" s="983" t="s">
        <v>20</v>
      </c>
      <c r="D451" s="983"/>
      <c r="E451" s="983"/>
      <c r="F451" s="87" t="s">
        <v>22</v>
      </c>
      <c r="G451" s="279" t="s">
        <v>111</v>
      </c>
      <c r="H451" s="87" t="s">
        <v>112</v>
      </c>
      <c r="I451" s="279" t="s">
        <v>113</v>
      </c>
      <c r="J451" s="279" t="s">
        <v>114</v>
      </c>
      <c r="K451" s="89" t="s">
        <v>25</v>
      </c>
      <c r="L451" s="90"/>
    </row>
    <row r="452" spans="2:12" hidden="1">
      <c r="B452" s="301"/>
      <c r="C452" s="1028" t="s">
        <v>175</v>
      </c>
      <c r="D452" s="1028"/>
      <c r="E452" s="1028"/>
      <c r="F452" s="91">
        <v>8</v>
      </c>
      <c r="G452" s="91">
        <v>0.4</v>
      </c>
      <c r="H452" s="91">
        <v>0.15</v>
      </c>
      <c r="I452" s="91">
        <v>0.15</v>
      </c>
      <c r="J452" s="91"/>
      <c r="K452" s="282">
        <f>TRUNC(G452*H452*F452*I452,2)</f>
        <v>7.0000000000000007E-2</v>
      </c>
      <c r="L452" s="90"/>
    </row>
    <row r="453" spans="2:12" hidden="1">
      <c r="B453" s="301"/>
      <c r="C453" s="987" t="s">
        <v>116</v>
      </c>
      <c r="D453" s="987"/>
      <c r="E453" s="987"/>
      <c r="F453" s="987"/>
      <c r="G453" s="987"/>
      <c r="H453" s="987"/>
      <c r="I453" s="987"/>
      <c r="J453" s="987"/>
      <c r="K453" s="89">
        <f>SUM(K452:K452)</f>
        <v>7.0000000000000007E-2</v>
      </c>
      <c r="L453" s="90"/>
    </row>
    <row r="454" spans="2:12" hidden="1">
      <c r="B454" s="219"/>
      <c r="C454" s="219"/>
      <c r="D454" s="219"/>
      <c r="E454" s="219"/>
      <c r="F454" s="219"/>
      <c r="G454" s="219"/>
      <c r="H454" s="219"/>
      <c r="I454" s="219"/>
      <c r="J454" s="219"/>
      <c r="K454" s="219"/>
      <c r="L454" s="219"/>
    </row>
    <row r="455" spans="2:12" ht="15" hidden="1" customHeight="1">
      <c r="B455" s="85" t="str">
        <f>'[6]PLANILHA ORÇAMENTÁRIA'!D121</f>
        <v>14.1.4</v>
      </c>
      <c r="C455" s="1032" t="str">
        <f>'[6]PLANILHA ORÇAMENTÁRIA'!E121</f>
        <v>TUBO DE AÇO GALVANIZADO COM COSTURA 2" - FORNECIMENTO E INSTALACAO.</v>
      </c>
      <c r="D455" s="1032"/>
      <c r="E455" s="1032"/>
      <c r="F455" s="1032"/>
      <c r="G455" s="1032"/>
      <c r="H455" s="1032"/>
      <c r="I455" s="1032"/>
      <c r="J455" s="1032"/>
      <c r="K455" s="294" t="str">
        <f>'[6]PLANILHA ORÇAMENTÁRIA'!F121</f>
        <v>M</v>
      </c>
      <c r="L455" s="295">
        <f>K459</f>
        <v>21.2</v>
      </c>
    </row>
    <row r="456" spans="2:12" hidden="1">
      <c r="B456" s="301"/>
      <c r="C456" s="983" t="s">
        <v>20</v>
      </c>
      <c r="D456" s="983"/>
      <c r="E456" s="983"/>
      <c r="F456" s="87" t="s">
        <v>22</v>
      </c>
      <c r="G456" s="279" t="s">
        <v>111</v>
      </c>
      <c r="H456" s="87" t="s">
        <v>112</v>
      </c>
      <c r="I456" s="279" t="s">
        <v>113</v>
      </c>
      <c r="J456" s="279" t="s">
        <v>114</v>
      </c>
      <c r="K456" s="89" t="s">
        <v>25</v>
      </c>
      <c r="L456" s="90"/>
    </row>
    <row r="457" spans="2:12" hidden="1">
      <c r="B457" s="301"/>
      <c r="C457" s="1028" t="s">
        <v>176</v>
      </c>
      <c r="D457" s="1028"/>
      <c r="E457" s="1028"/>
      <c r="F457" s="91">
        <v>8</v>
      </c>
      <c r="G457" s="91"/>
      <c r="H457" s="91"/>
      <c r="I457" s="91">
        <v>1.65</v>
      </c>
      <c r="J457" s="91"/>
      <c r="K457" s="282">
        <f>F457*I457</f>
        <v>13.2</v>
      </c>
      <c r="L457" s="90"/>
    </row>
    <row r="458" spans="2:12" hidden="1">
      <c r="B458" s="301"/>
      <c r="C458" s="984" t="s">
        <v>177</v>
      </c>
      <c r="D458" s="985"/>
      <c r="E458" s="986"/>
      <c r="F458" s="91">
        <v>4</v>
      </c>
      <c r="G458" s="91"/>
      <c r="H458" s="91"/>
      <c r="I458" s="91">
        <v>2</v>
      </c>
      <c r="J458" s="91"/>
      <c r="K458" s="282">
        <f>F458*I458</f>
        <v>8</v>
      </c>
      <c r="L458" s="90"/>
    </row>
    <row r="459" spans="2:12" hidden="1">
      <c r="B459" s="301"/>
      <c r="C459" s="987" t="s">
        <v>116</v>
      </c>
      <c r="D459" s="987"/>
      <c r="E459" s="987"/>
      <c r="F459" s="987"/>
      <c r="G459" s="987"/>
      <c r="H459" s="987"/>
      <c r="I459" s="987"/>
      <c r="J459" s="987"/>
      <c r="K459" s="89">
        <f>SUM(K457:K458)</f>
        <v>21.2</v>
      </c>
      <c r="L459" s="90"/>
    </row>
    <row r="460" spans="2:12" hidden="1">
      <c r="B460" s="301"/>
      <c r="C460" s="211"/>
      <c r="D460" s="211"/>
      <c r="E460" s="211"/>
      <c r="F460" s="211"/>
      <c r="G460" s="211"/>
      <c r="H460" s="211"/>
      <c r="I460" s="211"/>
      <c r="J460" s="211"/>
      <c r="K460" s="212"/>
      <c r="L460" s="90"/>
    </row>
    <row r="461" spans="2:12" ht="15" hidden="1" customHeight="1">
      <c r="B461" s="85" t="str">
        <f>'[6]PLANILHA ORÇAMENTÁRIA'!D122</f>
        <v>14.1.5</v>
      </c>
      <c r="C461" s="1032" t="str">
        <f>'[6]PLANILHA ORÇAMENTÁRIA'!E122</f>
        <v>PINTURA ESMALTE ALTO BRILHO, DUAS DEMAOS, SOBRE SUPERFICIE METALICA</v>
      </c>
      <c r="D461" s="1032"/>
      <c r="E461" s="1032"/>
      <c r="F461" s="1032"/>
      <c r="G461" s="1032"/>
      <c r="H461" s="1032"/>
      <c r="I461" s="1032"/>
      <c r="J461" s="1032"/>
      <c r="K461" s="294" t="str">
        <f>'[6]PLANILHA ORÇAMENTÁRIA'!F122</f>
        <v>M2</v>
      </c>
      <c r="L461" s="295">
        <f>K466</f>
        <v>2.76</v>
      </c>
    </row>
    <row r="462" spans="2:12" hidden="1">
      <c r="B462" s="301"/>
      <c r="C462" s="983" t="s">
        <v>20</v>
      </c>
      <c r="D462" s="983"/>
      <c r="E462" s="983"/>
      <c r="F462" s="87" t="s">
        <v>22</v>
      </c>
      <c r="G462" s="279" t="s">
        <v>111</v>
      </c>
      <c r="H462" s="87" t="s">
        <v>178</v>
      </c>
      <c r="I462" s="279" t="s">
        <v>113</v>
      </c>
      <c r="J462" s="279" t="s">
        <v>114</v>
      </c>
      <c r="K462" s="89" t="s">
        <v>25</v>
      </c>
      <c r="L462" s="90"/>
    </row>
    <row r="463" spans="2:12" hidden="1">
      <c r="B463" s="301"/>
      <c r="C463" s="1028" t="s">
        <v>176</v>
      </c>
      <c r="D463" s="1028"/>
      <c r="E463" s="1028"/>
      <c r="F463" s="91">
        <v>8</v>
      </c>
      <c r="G463" s="91"/>
      <c r="H463" s="300">
        <v>2.5000000000000001E-2</v>
      </c>
      <c r="I463" s="91">
        <v>1.2</v>
      </c>
      <c r="J463" s="91"/>
      <c r="K463" s="282">
        <f>TRUNC((2*3.14*H463*I463)*F463,2)</f>
        <v>1.5</v>
      </c>
      <c r="L463" s="90"/>
    </row>
    <row r="464" spans="2:12" hidden="1">
      <c r="B464" s="301"/>
      <c r="C464" s="984" t="s">
        <v>177</v>
      </c>
      <c r="D464" s="985"/>
      <c r="E464" s="986"/>
      <c r="F464" s="91">
        <v>4</v>
      </c>
      <c r="G464" s="91"/>
      <c r="H464" s="300">
        <v>2.5000000000000001E-2</v>
      </c>
      <c r="I464" s="91">
        <v>2</v>
      </c>
      <c r="J464" s="91"/>
      <c r="K464" s="282">
        <f>TRUNC((2*3.14*H464*I464)*F464,2)</f>
        <v>1.25</v>
      </c>
      <c r="L464" s="90"/>
    </row>
    <row r="465" spans="2:12" hidden="1">
      <c r="B465" s="301"/>
      <c r="C465" s="984" t="s">
        <v>179</v>
      </c>
      <c r="D465" s="985"/>
      <c r="E465" s="986"/>
      <c r="F465" s="91">
        <v>8</v>
      </c>
      <c r="G465" s="91"/>
      <c r="H465" s="300">
        <v>2.5000000000000001E-2</v>
      </c>
      <c r="I465" s="91"/>
      <c r="J465" s="91"/>
      <c r="K465" s="282">
        <f>TRUNC((3.14*H465^2)*F465,2)</f>
        <v>0.01</v>
      </c>
      <c r="L465" s="90"/>
    </row>
    <row r="466" spans="2:12" hidden="1">
      <c r="B466" s="301"/>
      <c r="C466" s="987" t="s">
        <v>116</v>
      </c>
      <c r="D466" s="987"/>
      <c r="E466" s="987"/>
      <c r="F466" s="987"/>
      <c r="G466" s="987"/>
      <c r="H466" s="987"/>
      <c r="I466" s="987"/>
      <c r="J466" s="987"/>
      <c r="K466" s="89">
        <f>SUM(K463:K465)</f>
        <v>2.76</v>
      </c>
      <c r="L466" s="90"/>
    </row>
    <row r="467" spans="2:12" hidden="1">
      <c r="B467" s="301"/>
      <c r="C467" s="211"/>
      <c r="D467" s="211"/>
      <c r="E467" s="211"/>
      <c r="F467" s="211"/>
      <c r="G467" s="211"/>
      <c r="H467" s="211"/>
      <c r="I467" s="211"/>
      <c r="J467" s="211"/>
      <c r="K467" s="212"/>
      <c r="L467" s="90"/>
    </row>
    <row r="468" spans="2:12" hidden="1">
      <c r="B468" s="292" t="str">
        <f>'[6]PLANILHA ORÇAMENTÁRIA'!D123</f>
        <v>14.2</v>
      </c>
      <c r="C468" s="1093" t="str">
        <f>'[6]PLANILHA ORÇAMENTÁRIA'!E123</f>
        <v>BARRAS MARINHEIRO</v>
      </c>
      <c r="D468" s="1093"/>
      <c r="E468" s="1093"/>
      <c r="F468" s="1093"/>
      <c r="G468" s="1093"/>
      <c r="H468" s="1093"/>
      <c r="I468" s="1093"/>
      <c r="J468" s="1093"/>
      <c r="K468" s="293"/>
      <c r="L468" s="293"/>
    </row>
    <row r="469" spans="2:12" ht="15" hidden="1" customHeight="1">
      <c r="B469" s="85" t="str">
        <f>'[6]PLANILHA ORÇAMENTÁRIA'!D124</f>
        <v>14.2.1</v>
      </c>
      <c r="C469" s="1032" t="str">
        <f>'[6]PLANILHA ORÇAMENTÁRIA'!E124</f>
        <v>ESCAVAÇÃO MANUAL DE VALA COM PROFUNDIDADE MENOR OU IGUAL A 1,30 M</v>
      </c>
      <c r="D469" s="1032"/>
      <c r="E469" s="1032"/>
      <c r="F469" s="1032"/>
      <c r="G469" s="1032"/>
      <c r="H469" s="1032"/>
      <c r="I469" s="1032"/>
      <c r="J469" s="1032"/>
      <c r="K469" s="294" t="str">
        <f>'[6]PLANILHA ORÇAMENTÁRIA'!F124</f>
        <v>M3</v>
      </c>
      <c r="L469" s="295">
        <f>K472</f>
        <v>0.14849999999999999</v>
      </c>
    </row>
    <row r="470" spans="2:12" hidden="1">
      <c r="B470" s="301"/>
      <c r="C470" s="983" t="s">
        <v>20</v>
      </c>
      <c r="D470" s="983"/>
      <c r="E470" s="983"/>
      <c r="F470" s="87" t="s">
        <v>22</v>
      </c>
      <c r="G470" s="279" t="s">
        <v>111</v>
      </c>
      <c r="H470" s="87" t="s">
        <v>112</v>
      </c>
      <c r="I470" s="279" t="s">
        <v>113</v>
      </c>
      <c r="J470" s="279" t="s">
        <v>114</v>
      </c>
      <c r="K470" s="89" t="s">
        <v>25</v>
      </c>
      <c r="L470" s="90"/>
    </row>
    <row r="471" spans="2:12" hidden="1">
      <c r="B471" s="301"/>
      <c r="C471" s="1028" t="s">
        <v>174</v>
      </c>
      <c r="D471" s="1028"/>
      <c r="E471" s="1028"/>
      <c r="F471" s="91">
        <v>12</v>
      </c>
      <c r="G471" s="91">
        <v>0.55000000000000004</v>
      </c>
      <c r="H471" s="91">
        <v>0.15</v>
      </c>
      <c r="I471" s="91">
        <v>0.15</v>
      </c>
      <c r="J471" s="91"/>
      <c r="K471" s="296">
        <f>PRODUCT(F471:I471)</f>
        <v>0.14849999999999999</v>
      </c>
      <c r="L471" s="90"/>
    </row>
    <row r="472" spans="2:12" hidden="1">
      <c r="B472" s="301"/>
      <c r="C472" s="987" t="s">
        <v>116</v>
      </c>
      <c r="D472" s="987"/>
      <c r="E472" s="987"/>
      <c r="F472" s="987"/>
      <c r="G472" s="987"/>
      <c r="H472" s="987"/>
      <c r="I472" s="987"/>
      <c r="J472" s="987"/>
      <c r="K472" s="298">
        <f>SUM(K471:K471)</f>
        <v>0.14849999999999999</v>
      </c>
      <c r="L472" s="90"/>
    </row>
    <row r="473" spans="2:12" hidden="1">
      <c r="B473" s="301"/>
      <c r="C473" s="211"/>
      <c r="D473" s="211"/>
      <c r="E473" s="211"/>
      <c r="F473" s="211"/>
      <c r="G473" s="211"/>
      <c r="H473" s="211"/>
      <c r="I473" s="211"/>
      <c r="J473" s="211"/>
      <c r="K473" s="299"/>
      <c r="L473" s="90"/>
    </row>
    <row r="474" spans="2:12" ht="15" hidden="1" customHeight="1">
      <c r="B474" s="85" t="str">
        <f>'[6]PLANILHA ORÇAMENTÁRIA'!D125</f>
        <v>14.2.2</v>
      </c>
      <c r="C474" s="1032" t="str">
        <f>'[6]PLANILHA ORÇAMENTÁRIA'!E125</f>
        <v>LASTRO DE CONCRETO MAGRO, APLICADO EM PISOS OU RADIERS, ESPESSURA DE 5CM. AF_07_2016</v>
      </c>
      <c r="D474" s="1032"/>
      <c r="E474" s="1032"/>
      <c r="F474" s="1032"/>
      <c r="G474" s="1032"/>
      <c r="H474" s="1032"/>
      <c r="I474" s="1032"/>
      <c r="J474" s="1032"/>
      <c r="K474" s="294" t="str">
        <f>'[6]PLANILHA ORÇAMENTÁRIA'!F125</f>
        <v>M2</v>
      </c>
      <c r="L474" s="295">
        <f>K477</f>
        <v>0.26999999999999996</v>
      </c>
    </row>
    <row r="475" spans="2:12" hidden="1">
      <c r="B475" s="301"/>
      <c r="C475" s="983" t="s">
        <v>20</v>
      </c>
      <c r="D475" s="983"/>
      <c r="E475" s="983"/>
      <c r="F475" s="87" t="s">
        <v>22</v>
      </c>
      <c r="G475" s="279" t="s">
        <v>111</v>
      </c>
      <c r="H475" s="87" t="s">
        <v>112</v>
      </c>
      <c r="I475" s="279" t="s">
        <v>113</v>
      </c>
      <c r="J475" s="279" t="s">
        <v>114</v>
      </c>
      <c r="K475" s="89" t="s">
        <v>25</v>
      </c>
      <c r="L475" s="90"/>
    </row>
    <row r="476" spans="2:12" hidden="1">
      <c r="B476" s="301"/>
      <c r="C476" s="1028"/>
      <c r="D476" s="1028"/>
      <c r="E476" s="1028"/>
      <c r="F476" s="91">
        <v>12</v>
      </c>
      <c r="G476" s="91"/>
      <c r="H476" s="91">
        <v>0.15</v>
      </c>
      <c r="I476" s="91">
        <v>0.15</v>
      </c>
      <c r="J476" s="91"/>
      <c r="K476" s="296">
        <f>PRODUCT(F476:I476)</f>
        <v>0.26999999999999996</v>
      </c>
      <c r="L476" s="90"/>
    </row>
    <row r="477" spans="2:12" hidden="1">
      <c r="B477" s="301"/>
      <c r="C477" s="987" t="s">
        <v>116</v>
      </c>
      <c r="D477" s="987"/>
      <c r="E477" s="987"/>
      <c r="F477" s="987"/>
      <c r="G477" s="987"/>
      <c r="H477" s="987"/>
      <c r="I477" s="987"/>
      <c r="J477" s="987"/>
      <c r="K477" s="298">
        <f>SUM(K476:K476)</f>
        <v>0.26999999999999996</v>
      </c>
      <c r="L477" s="90"/>
    </row>
    <row r="478" spans="2:12" hidden="1">
      <c r="B478" s="301"/>
      <c r="C478" s="211"/>
      <c r="D478" s="211"/>
      <c r="E478" s="211"/>
      <c r="F478" s="211"/>
      <c r="G478" s="211"/>
      <c r="H478" s="211"/>
      <c r="I478" s="211"/>
      <c r="J478" s="211"/>
      <c r="K478" s="299"/>
      <c r="L478" s="90"/>
    </row>
    <row r="479" spans="2:12" ht="22.5" hidden="1" customHeight="1">
      <c r="B479" s="85" t="str">
        <f>'[6]PLANILHA ORÇAMENTÁRIA'!D126</f>
        <v>14.2.3</v>
      </c>
      <c r="C479" s="1032" t="str">
        <f>'[6]PLANILHA ORÇAMENTÁRIA'!E126</f>
        <v>CONCRETAGEM DE BLOCOS DE COROAMENTO E VIGAS BALDRAMES, FCK 30 MPA, COM USO DE BOMBA LANÇAMENTO, ADENSAMENTO E ACABAMENTO. AF_06/2017</v>
      </c>
      <c r="D479" s="1032"/>
      <c r="E479" s="1032"/>
      <c r="F479" s="1032"/>
      <c r="G479" s="1032"/>
      <c r="H479" s="1032"/>
      <c r="I479" s="1032"/>
      <c r="J479" s="1032"/>
      <c r="K479" s="294" t="str">
        <f>'[6]PLANILHA ORÇAMENTÁRIA'!F126</f>
        <v>M3</v>
      </c>
      <c r="L479" s="295">
        <f>K482</f>
        <v>0.1</v>
      </c>
    </row>
    <row r="480" spans="2:12" hidden="1">
      <c r="B480" s="301"/>
      <c r="C480" s="983" t="s">
        <v>20</v>
      </c>
      <c r="D480" s="983"/>
      <c r="E480" s="983"/>
      <c r="F480" s="87" t="s">
        <v>22</v>
      </c>
      <c r="G480" s="279" t="s">
        <v>111</v>
      </c>
      <c r="H480" s="87" t="s">
        <v>112</v>
      </c>
      <c r="I480" s="279" t="s">
        <v>113</v>
      </c>
      <c r="J480" s="279" t="s">
        <v>114</v>
      </c>
      <c r="K480" s="89" t="s">
        <v>25</v>
      </c>
      <c r="L480" s="90"/>
    </row>
    <row r="481" spans="2:12" hidden="1">
      <c r="B481" s="301"/>
      <c r="C481" s="1028" t="s">
        <v>175</v>
      </c>
      <c r="D481" s="1028"/>
      <c r="E481" s="1028"/>
      <c r="F481" s="91">
        <v>12</v>
      </c>
      <c r="G481" s="91">
        <v>0.4</v>
      </c>
      <c r="H481" s="91">
        <v>0.15</v>
      </c>
      <c r="I481" s="91">
        <v>0.15</v>
      </c>
      <c r="J481" s="91"/>
      <c r="K481" s="282">
        <f>TRUNC(G481*H481*F481*I481,2)</f>
        <v>0.1</v>
      </c>
      <c r="L481" s="90"/>
    </row>
    <row r="482" spans="2:12" hidden="1">
      <c r="B482" s="301"/>
      <c r="C482" s="987" t="s">
        <v>116</v>
      </c>
      <c r="D482" s="987"/>
      <c r="E482" s="987"/>
      <c r="F482" s="987"/>
      <c r="G482" s="987"/>
      <c r="H482" s="987"/>
      <c r="I482" s="987"/>
      <c r="J482" s="987"/>
      <c r="K482" s="89">
        <f>SUM(K481:K481)</f>
        <v>0.1</v>
      </c>
      <c r="L482" s="90"/>
    </row>
    <row r="483" spans="2:12" hidden="1">
      <c r="B483" s="219"/>
      <c r="C483" s="219"/>
      <c r="D483" s="219"/>
      <c r="E483" s="219"/>
      <c r="F483" s="219"/>
      <c r="G483" s="219"/>
      <c r="H483" s="219"/>
      <c r="I483" s="219"/>
      <c r="J483" s="219"/>
      <c r="K483" s="219"/>
      <c r="L483" s="219"/>
    </row>
    <row r="484" spans="2:12" ht="15" hidden="1" customHeight="1">
      <c r="B484" s="85" t="str">
        <f>'[6]PLANILHA ORÇAMENTÁRIA'!D127</f>
        <v>14.2.4</v>
      </c>
      <c r="C484" s="1032" t="str">
        <f>'[6]PLANILHA ORÇAMENTÁRIA'!E127</f>
        <v>TUBO DE AÇO GALVANIZADO COM COSTURA 2" - FORNECIMENTO E INSTALACAO. - M</v>
      </c>
      <c r="D484" s="1032"/>
      <c r="E484" s="1032"/>
      <c r="F484" s="1032"/>
      <c r="G484" s="1032"/>
      <c r="H484" s="1032"/>
      <c r="I484" s="1032"/>
      <c r="J484" s="1032"/>
      <c r="K484" s="294" t="str">
        <f>'[6]PLANILHA ORÇAMENTÁRIA'!F127</f>
        <v>M</v>
      </c>
      <c r="L484" s="295">
        <f>K489</f>
        <v>19.100000000000001</v>
      </c>
    </row>
    <row r="485" spans="2:12" hidden="1">
      <c r="B485" s="301"/>
      <c r="C485" s="983" t="s">
        <v>20</v>
      </c>
      <c r="D485" s="983"/>
      <c r="E485" s="983"/>
      <c r="F485" s="87" t="s">
        <v>22</v>
      </c>
      <c r="G485" s="279" t="s">
        <v>111</v>
      </c>
      <c r="H485" s="87" t="s">
        <v>112</v>
      </c>
      <c r="I485" s="279" t="s">
        <v>113</v>
      </c>
      <c r="J485" s="279" t="s">
        <v>114</v>
      </c>
      <c r="K485" s="89" t="s">
        <v>25</v>
      </c>
      <c r="L485" s="90"/>
    </row>
    <row r="486" spans="2:12" hidden="1">
      <c r="B486" s="301"/>
      <c r="C486" s="1028" t="s">
        <v>180</v>
      </c>
      <c r="D486" s="1028"/>
      <c r="E486" s="1028"/>
      <c r="F486" s="91">
        <v>2</v>
      </c>
      <c r="G486" s="91"/>
      <c r="H486" s="91"/>
      <c r="I486" s="91">
        <v>3.56</v>
      </c>
      <c r="J486" s="91"/>
      <c r="K486" s="282">
        <f>F486*I486</f>
        <v>7.12</v>
      </c>
      <c r="L486" s="90"/>
    </row>
    <row r="487" spans="2:12" hidden="1">
      <c r="B487" s="301"/>
      <c r="C487" s="984" t="s">
        <v>181</v>
      </c>
      <c r="D487" s="985"/>
      <c r="E487" s="986"/>
      <c r="F487" s="91">
        <v>2</v>
      </c>
      <c r="G487" s="91"/>
      <c r="H487" s="91"/>
      <c r="I487" s="91">
        <v>3.16</v>
      </c>
      <c r="J487" s="91"/>
      <c r="K487" s="282">
        <f>F487*I487</f>
        <v>6.32</v>
      </c>
      <c r="L487" s="90"/>
    </row>
    <row r="488" spans="2:12" hidden="1">
      <c r="B488" s="301"/>
      <c r="C488" s="984" t="s">
        <v>182</v>
      </c>
      <c r="D488" s="985"/>
      <c r="E488" s="986"/>
      <c r="F488" s="91">
        <v>2</v>
      </c>
      <c r="G488" s="91"/>
      <c r="H488" s="91"/>
      <c r="I488" s="91">
        <v>2.83</v>
      </c>
      <c r="J488" s="91"/>
      <c r="K488" s="282">
        <f>F488*I488</f>
        <v>5.66</v>
      </c>
      <c r="L488" s="90"/>
    </row>
    <row r="489" spans="2:12" hidden="1">
      <c r="B489" s="301"/>
      <c r="C489" s="987" t="s">
        <v>116</v>
      </c>
      <c r="D489" s="987"/>
      <c r="E489" s="987"/>
      <c r="F489" s="987"/>
      <c r="G489" s="987"/>
      <c r="H489" s="987"/>
      <c r="I489" s="987"/>
      <c r="J489" s="987"/>
      <c r="K489" s="89">
        <f>SUM(K486:K488)</f>
        <v>19.100000000000001</v>
      </c>
      <c r="L489" s="90"/>
    </row>
    <row r="490" spans="2:12" hidden="1">
      <c r="B490" s="301"/>
      <c r="C490" s="211"/>
      <c r="D490" s="211"/>
      <c r="E490" s="211"/>
      <c r="F490" s="211"/>
      <c r="G490" s="211"/>
      <c r="H490" s="211"/>
      <c r="I490" s="211"/>
      <c r="J490" s="211"/>
      <c r="K490" s="212"/>
      <c r="L490" s="90"/>
    </row>
    <row r="491" spans="2:12" ht="15" hidden="1" customHeight="1">
      <c r="B491" s="85" t="str">
        <f>'[6]PLANILHA ORÇAMENTÁRIA'!D128</f>
        <v>14.2.5</v>
      </c>
      <c r="C491" s="1032" t="str">
        <f>'[6]PLANILHA ORÇAMENTÁRIA'!E128</f>
        <v>PINTURA ESMALTE ALTO BRILHO, DUAS DEMAOS, SOBRE SUPERFICIE METALICA</v>
      </c>
      <c r="D491" s="1032"/>
      <c r="E491" s="1032"/>
      <c r="F491" s="1032"/>
      <c r="G491" s="1032"/>
      <c r="H491" s="1032"/>
      <c r="I491" s="1032"/>
      <c r="J491" s="1032"/>
      <c r="K491" s="294" t="str">
        <f>'[6]PLANILHA ORÇAMENTÁRIA'!F128</f>
        <v>M2</v>
      </c>
      <c r="L491" s="295">
        <f>K496</f>
        <v>2.13</v>
      </c>
    </row>
    <row r="492" spans="2:12" hidden="1">
      <c r="B492" s="301"/>
      <c r="C492" s="983" t="s">
        <v>20</v>
      </c>
      <c r="D492" s="983"/>
      <c r="E492" s="983"/>
      <c r="F492" s="87" t="s">
        <v>22</v>
      </c>
      <c r="G492" s="279" t="s">
        <v>111</v>
      </c>
      <c r="H492" s="87" t="s">
        <v>178</v>
      </c>
      <c r="I492" s="279" t="s">
        <v>113</v>
      </c>
      <c r="J492" s="279" t="s">
        <v>114</v>
      </c>
      <c r="K492" s="89" t="s">
        <v>25</v>
      </c>
      <c r="L492" s="90"/>
    </row>
    <row r="493" spans="2:12" hidden="1">
      <c r="B493" s="301"/>
      <c r="C493" s="1028" t="s">
        <v>180</v>
      </c>
      <c r="D493" s="1028"/>
      <c r="E493" s="1028"/>
      <c r="F493" s="91">
        <v>2</v>
      </c>
      <c r="G493" s="91"/>
      <c r="H493" s="300">
        <v>2.5000000000000001E-2</v>
      </c>
      <c r="I493" s="91">
        <f>I486-0.9</f>
        <v>2.66</v>
      </c>
      <c r="J493" s="91"/>
      <c r="K493" s="282">
        <f>TRUNC((2*3.14*H493*I493)*F493,2)</f>
        <v>0.83</v>
      </c>
      <c r="L493" s="90"/>
    </row>
    <row r="494" spans="2:12" hidden="1">
      <c r="B494" s="301"/>
      <c r="C494" s="984" t="s">
        <v>181</v>
      </c>
      <c r="D494" s="985"/>
      <c r="E494" s="986"/>
      <c r="F494" s="91">
        <v>2</v>
      </c>
      <c r="G494" s="91"/>
      <c r="H494" s="300">
        <v>2.5000000000000001E-2</v>
      </c>
      <c r="I494" s="91">
        <f>I487-0.9</f>
        <v>2.2600000000000002</v>
      </c>
      <c r="J494" s="91"/>
      <c r="K494" s="282">
        <f>TRUNC((2*3.14*H494*I494)*F494,2)</f>
        <v>0.7</v>
      </c>
      <c r="L494" s="90"/>
    </row>
    <row r="495" spans="2:12" hidden="1">
      <c r="B495" s="301"/>
      <c r="C495" s="984" t="s">
        <v>182</v>
      </c>
      <c r="D495" s="985"/>
      <c r="E495" s="986"/>
      <c r="F495" s="91">
        <v>2</v>
      </c>
      <c r="G495" s="91"/>
      <c r="H495" s="300">
        <v>2.5000000000000001E-2</v>
      </c>
      <c r="I495" s="91">
        <f>I488-0.9</f>
        <v>1.9300000000000002</v>
      </c>
      <c r="J495" s="91"/>
      <c r="K495" s="282">
        <f>TRUNC((2*3.14*H495*I495)*F495,2)</f>
        <v>0.6</v>
      </c>
      <c r="L495" s="90"/>
    </row>
    <row r="496" spans="2:12" hidden="1">
      <c r="B496" s="301"/>
      <c r="C496" s="987" t="s">
        <v>116</v>
      </c>
      <c r="D496" s="987"/>
      <c r="E496" s="987"/>
      <c r="F496" s="987"/>
      <c r="G496" s="987"/>
      <c r="H496" s="987"/>
      <c r="I496" s="987"/>
      <c r="J496" s="987"/>
      <c r="K496" s="89">
        <f>SUM(K493:K495)</f>
        <v>2.13</v>
      </c>
      <c r="L496" s="90"/>
    </row>
    <row r="497" spans="2:12" hidden="1">
      <c r="B497" s="219"/>
      <c r="C497" s="219"/>
      <c r="D497" s="219"/>
      <c r="E497" s="219"/>
      <c r="F497" s="219"/>
      <c r="G497" s="219"/>
      <c r="H497" s="219"/>
      <c r="I497" s="219"/>
      <c r="J497" s="219"/>
      <c r="K497" s="219"/>
      <c r="L497" s="219"/>
    </row>
    <row r="498" spans="2:12" hidden="1">
      <c r="B498" s="292" t="str">
        <f>'[6]PLANILHA ORÇAMENTÁRIA'!D129</f>
        <v>14.3</v>
      </c>
      <c r="C498" s="1093" t="str">
        <f>'[6]PLANILHA ORÇAMENTÁRIA'!E129</f>
        <v>BARRA HORIZONTAL TRIPLA</v>
      </c>
      <c r="D498" s="1093"/>
      <c r="E498" s="1093"/>
      <c r="F498" s="1093"/>
      <c r="G498" s="1093"/>
      <c r="H498" s="1093"/>
      <c r="I498" s="1093"/>
      <c r="J498" s="1093"/>
      <c r="K498" s="293"/>
      <c r="L498" s="293"/>
    </row>
    <row r="499" spans="2:12" ht="15" hidden="1" customHeight="1">
      <c r="B499" s="85" t="str">
        <f>'[6]PLANILHA ORÇAMENTÁRIA'!D130</f>
        <v>14.3.1</v>
      </c>
      <c r="C499" s="1032" t="str">
        <f>'[6]PLANILHA ORÇAMENTÁRIA'!E130</f>
        <v>ESCAVAÇÃO MANUAL DE VALA COM PROFUNDIDADE MENOR OU IGUAL A 1,30 M</v>
      </c>
      <c r="D499" s="1032"/>
      <c r="E499" s="1032"/>
      <c r="F499" s="1032"/>
      <c r="G499" s="1032"/>
      <c r="H499" s="1032"/>
      <c r="I499" s="1032"/>
      <c r="J499" s="1032"/>
      <c r="K499" s="294" t="str">
        <f>'[6]PLANILHA ORÇAMENTÁRIA'!F130</f>
        <v>M3</v>
      </c>
      <c r="L499" s="295">
        <f>K504</f>
        <v>7.5374999999999998E-2</v>
      </c>
    </row>
    <row r="500" spans="2:12" hidden="1">
      <c r="B500" s="301"/>
      <c r="C500" s="983" t="s">
        <v>20</v>
      </c>
      <c r="D500" s="983"/>
      <c r="E500" s="983"/>
      <c r="F500" s="87" t="s">
        <v>22</v>
      </c>
      <c r="G500" s="279" t="s">
        <v>111</v>
      </c>
      <c r="H500" s="87" t="s">
        <v>112</v>
      </c>
      <c r="I500" s="279" t="s">
        <v>113</v>
      </c>
      <c r="J500" s="279" t="s">
        <v>114</v>
      </c>
      <c r="K500" s="89" t="s">
        <v>25</v>
      </c>
      <c r="L500" s="90"/>
    </row>
    <row r="501" spans="2:12" hidden="1">
      <c r="B501" s="301"/>
      <c r="C501" s="1028" t="s">
        <v>183</v>
      </c>
      <c r="D501" s="1028"/>
      <c r="E501" s="1028"/>
      <c r="F501" s="91">
        <v>2</v>
      </c>
      <c r="G501" s="91">
        <v>0.9</v>
      </c>
      <c r="H501" s="91">
        <v>0.15</v>
      </c>
      <c r="I501" s="91">
        <v>0.15</v>
      </c>
      <c r="J501" s="91"/>
      <c r="K501" s="296">
        <f>PRODUCT(F501:I501)</f>
        <v>4.0500000000000001E-2</v>
      </c>
      <c r="L501" s="90"/>
    </row>
    <row r="502" spans="2:12" hidden="1">
      <c r="B502" s="301"/>
      <c r="C502" s="1028" t="s">
        <v>184</v>
      </c>
      <c r="D502" s="1028"/>
      <c r="E502" s="1028"/>
      <c r="F502" s="91">
        <v>1</v>
      </c>
      <c r="G502" s="91">
        <v>0.8</v>
      </c>
      <c r="H502" s="91">
        <v>0.15</v>
      </c>
      <c r="I502" s="91">
        <v>0.15</v>
      </c>
      <c r="J502" s="91"/>
      <c r="K502" s="296">
        <f>PRODUCT(F502:I502)</f>
        <v>1.7999999999999999E-2</v>
      </c>
      <c r="L502" s="90"/>
    </row>
    <row r="503" spans="2:12" hidden="1">
      <c r="B503" s="301"/>
      <c r="C503" s="1028" t="s">
        <v>185</v>
      </c>
      <c r="D503" s="1028"/>
      <c r="E503" s="1028"/>
      <c r="F503" s="91">
        <v>1</v>
      </c>
      <c r="G503" s="91">
        <v>0.75</v>
      </c>
      <c r="H503" s="91">
        <v>0.15</v>
      </c>
      <c r="I503" s="91">
        <v>0.15</v>
      </c>
      <c r="J503" s="91"/>
      <c r="K503" s="296">
        <f>PRODUCT(F503:I503)</f>
        <v>1.6874999999999998E-2</v>
      </c>
      <c r="L503" s="90"/>
    </row>
    <row r="504" spans="2:12" hidden="1">
      <c r="B504" s="301"/>
      <c r="C504" s="987" t="s">
        <v>116</v>
      </c>
      <c r="D504" s="987"/>
      <c r="E504" s="987"/>
      <c r="F504" s="987"/>
      <c r="G504" s="987"/>
      <c r="H504" s="987"/>
      <c r="I504" s="987"/>
      <c r="J504" s="987"/>
      <c r="K504" s="298">
        <f>SUM(K501:K503)</f>
        <v>7.5374999999999998E-2</v>
      </c>
      <c r="L504" s="90"/>
    </row>
    <row r="505" spans="2:12" hidden="1">
      <c r="B505" s="301"/>
      <c r="C505" s="211"/>
      <c r="D505" s="211"/>
      <c r="E505" s="211"/>
      <c r="F505" s="211"/>
      <c r="G505" s="211"/>
      <c r="H505" s="211"/>
      <c r="I505" s="211"/>
      <c r="J505" s="211"/>
      <c r="K505" s="299"/>
      <c r="L505" s="90"/>
    </row>
    <row r="506" spans="2:12" ht="15" hidden="1" customHeight="1">
      <c r="B506" s="85" t="str">
        <f>'[6]PLANILHA ORÇAMENTÁRIA'!D131</f>
        <v>14.3.2</v>
      </c>
      <c r="C506" s="1032" t="str">
        <f>'[6]PLANILHA ORÇAMENTÁRIA'!E131</f>
        <v>LASTRO DE CONCRETO MAGRO, APLICADO EM PISOS OU RADIERS, ESPESSURA DE 5CM. AF_07_2016</v>
      </c>
      <c r="D506" s="1032"/>
      <c r="E506" s="1032"/>
      <c r="F506" s="1032"/>
      <c r="G506" s="1032"/>
      <c r="H506" s="1032"/>
      <c r="I506" s="1032"/>
      <c r="J506" s="1032"/>
      <c r="K506" s="294" t="str">
        <f>'[6]PLANILHA ORÇAMENTÁRIA'!F131</f>
        <v>M2</v>
      </c>
      <c r="L506" s="295">
        <f>K509</f>
        <v>0.09</v>
      </c>
    </row>
    <row r="507" spans="2:12" hidden="1">
      <c r="B507" s="301"/>
      <c r="C507" s="983" t="s">
        <v>20</v>
      </c>
      <c r="D507" s="983"/>
      <c r="E507" s="983"/>
      <c r="F507" s="87" t="s">
        <v>22</v>
      </c>
      <c r="G507" s="279" t="s">
        <v>111</v>
      </c>
      <c r="H507" s="87" t="s">
        <v>112</v>
      </c>
      <c r="I507" s="279" t="s">
        <v>113</v>
      </c>
      <c r="J507" s="279" t="s">
        <v>114</v>
      </c>
      <c r="K507" s="89" t="s">
        <v>25</v>
      </c>
      <c r="L507" s="90"/>
    </row>
    <row r="508" spans="2:12" hidden="1">
      <c r="B508" s="301"/>
      <c r="C508" s="1028"/>
      <c r="D508" s="1028"/>
      <c r="E508" s="1028"/>
      <c r="F508" s="91">
        <v>4</v>
      </c>
      <c r="G508" s="91"/>
      <c r="H508" s="91">
        <v>0.15</v>
      </c>
      <c r="I508" s="91">
        <v>0.15</v>
      </c>
      <c r="J508" s="91"/>
      <c r="K508" s="296">
        <f>PRODUCT(F508:I508)</f>
        <v>0.09</v>
      </c>
      <c r="L508" s="90"/>
    </row>
    <row r="509" spans="2:12" hidden="1">
      <c r="B509" s="301"/>
      <c r="C509" s="987" t="s">
        <v>116</v>
      </c>
      <c r="D509" s="987"/>
      <c r="E509" s="987"/>
      <c r="F509" s="987"/>
      <c r="G509" s="987"/>
      <c r="H509" s="987"/>
      <c r="I509" s="987"/>
      <c r="J509" s="987"/>
      <c r="K509" s="298">
        <f>SUM(K508:K508)</f>
        <v>0.09</v>
      </c>
      <c r="L509" s="90"/>
    </row>
    <row r="510" spans="2:12" hidden="1">
      <c r="B510" s="301"/>
      <c r="C510" s="211"/>
      <c r="D510" s="211"/>
      <c r="E510" s="211"/>
      <c r="F510" s="211"/>
      <c r="G510" s="211"/>
      <c r="H510" s="211"/>
      <c r="I510" s="211"/>
      <c r="J510" s="211"/>
      <c r="K510" s="299"/>
      <c r="L510" s="90"/>
    </row>
    <row r="511" spans="2:12" ht="27" hidden="1" customHeight="1">
      <c r="B511" s="85" t="str">
        <f>'[6]PLANILHA ORÇAMENTÁRIA'!D132</f>
        <v>14.3.3</v>
      </c>
      <c r="C511" s="1032" t="str">
        <f>'[6]PLANILHA ORÇAMENTÁRIA'!E132</f>
        <v>CONCRETAGEM DE BLOCOS DE COROAMENTO E VIGAS BALDRAMES, FCK 30 MPA, COM USO DE BOMBA LANÇAMENTO, ADENSAMENTO E ACABAMENTO. AF_06/2017</v>
      </c>
      <c r="D511" s="1032"/>
      <c r="E511" s="1032"/>
      <c r="F511" s="1032"/>
      <c r="G511" s="1032"/>
      <c r="H511" s="1032"/>
      <c r="I511" s="1032"/>
      <c r="J511" s="1032"/>
      <c r="K511" s="294" t="str">
        <f>'[6]PLANILHA ORÇAMENTÁRIA'!F132</f>
        <v>M3</v>
      </c>
      <c r="L511" s="295">
        <f>K516</f>
        <v>0.05</v>
      </c>
    </row>
    <row r="512" spans="2:12" hidden="1">
      <c r="B512" s="301"/>
      <c r="C512" s="983" t="s">
        <v>20</v>
      </c>
      <c r="D512" s="983"/>
      <c r="E512" s="983"/>
      <c r="F512" s="87" t="s">
        <v>22</v>
      </c>
      <c r="G512" s="279" t="s">
        <v>111</v>
      </c>
      <c r="H512" s="87" t="s">
        <v>112</v>
      </c>
      <c r="I512" s="279" t="s">
        <v>113</v>
      </c>
      <c r="J512" s="279" t="s">
        <v>114</v>
      </c>
      <c r="K512" s="89" t="s">
        <v>25</v>
      </c>
      <c r="L512" s="90"/>
    </row>
    <row r="513" spans="2:12" hidden="1">
      <c r="B513" s="301"/>
      <c r="C513" s="1028" t="s">
        <v>186</v>
      </c>
      <c r="D513" s="1028"/>
      <c r="E513" s="1028"/>
      <c r="F513" s="91">
        <v>2</v>
      </c>
      <c r="G513" s="91">
        <v>0.75</v>
      </c>
      <c r="H513" s="91">
        <v>0.15</v>
      </c>
      <c r="I513" s="91">
        <v>0.15</v>
      </c>
      <c r="J513" s="91"/>
      <c r="K513" s="282">
        <f>TRUNC(G513*H513*F513*I513,2)</f>
        <v>0.03</v>
      </c>
      <c r="L513" s="90"/>
    </row>
    <row r="514" spans="2:12" hidden="1">
      <c r="B514" s="301"/>
      <c r="C514" s="1028" t="s">
        <v>187</v>
      </c>
      <c r="D514" s="1028"/>
      <c r="E514" s="1028"/>
      <c r="F514" s="91">
        <v>1</v>
      </c>
      <c r="G514" s="91">
        <v>0.65</v>
      </c>
      <c r="H514" s="91">
        <v>0.15</v>
      </c>
      <c r="I514" s="91">
        <v>0.15</v>
      </c>
      <c r="J514" s="91"/>
      <c r="K514" s="282">
        <f>TRUNC(G514*H514*F514*I514,2)</f>
        <v>0.01</v>
      </c>
      <c r="L514" s="90"/>
    </row>
    <row r="515" spans="2:12" hidden="1">
      <c r="B515" s="301"/>
      <c r="C515" s="1028" t="s">
        <v>188</v>
      </c>
      <c r="D515" s="1028"/>
      <c r="E515" s="1028"/>
      <c r="F515" s="91">
        <v>1</v>
      </c>
      <c r="G515" s="91">
        <v>0.6</v>
      </c>
      <c r="H515" s="91">
        <v>0.15</v>
      </c>
      <c r="I515" s="91">
        <v>0.15</v>
      </c>
      <c r="J515" s="91"/>
      <c r="K515" s="282">
        <f>TRUNC(G515*H515*F515*I515,2)</f>
        <v>0.01</v>
      </c>
      <c r="L515" s="90"/>
    </row>
    <row r="516" spans="2:12" hidden="1">
      <c r="B516" s="301"/>
      <c r="C516" s="987" t="s">
        <v>116</v>
      </c>
      <c r="D516" s="987"/>
      <c r="E516" s="987"/>
      <c r="F516" s="987"/>
      <c r="G516" s="987"/>
      <c r="H516" s="987"/>
      <c r="I516" s="987"/>
      <c r="J516" s="987"/>
      <c r="K516" s="89">
        <f>SUM(K513:K515)</f>
        <v>0.05</v>
      </c>
      <c r="L516" s="90"/>
    </row>
    <row r="517" spans="2:12" hidden="1">
      <c r="B517" s="219"/>
      <c r="C517" s="219"/>
      <c r="D517" s="219"/>
      <c r="E517" s="219"/>
      <c r="F517" s="219"/>
      <c r="G517" s="219"/>
      <c r="H517" s="219"/>
      <c r="I517" s="219"/>
      <c r="J517" s="219"/>
      <c r="K517" s="219"/>
      <c r="L517" s="219"/>
    </row>
    <row r="518" spans="2:12" ht="15" hidden="1" customHeight="1">
      <c r="B518" s="85" t="str">
        <f>'[6]PLANILHA ORÇAMENTÁRIA'!D133</f>
        <v>14.3.4</v>
      </c>
      <c r="C518" s="1032" t="str">
        <f>'[6]PLANILHA ORÇAMENTÁRIA'!E133</f>
        <v>TUBO DE AÇO GALVANIZADO COM COSTURA 2" - FORNECIMENTO E INSTALACAO. - M</v>
      </c>
      <c r="D518" s="1032"/>
      <c r="E518" s="1032"/>
      <c r="F518" s="1032"/>
      <c r="G518" s="1032"/>
      <c r="H518" s="1032"/>
      <c r="I518" s="1032"/>
      <c r="J518" s="1032"/>
      <c r="K518" s="294" t="str">
        <f>'[6]PLANILHA ORÇAMENTÁRIA'!F133</f>
        <v>M</v>
      </c>
      <c r="L518" s="295">
        <f>K522</f>
        <v>13.2</v>
      </c>
    </row>
    <row r="519" spans="2:12" hidden="1">
      <c r="B519" s="301"/>
      <c r="C519" s="983" t="s">
        <v>20</v>
      </c>
      <c r="D519" s="983"/>
      <c r="E519" s="983"/>
      <c r="F519" s="87" t="s">
        <v>22</v>
      </c>
      <c r="G519" s="279" t="s">
        <v>111</v>
      </c>
      <c r="H519" s="87" t="s">
        <v>112</v>
      </c>
      <c r="I519" s="279" t="s">
        <v>113</v>
      </c>
      <c r="J519" s="279" t="s">
        <v>114</v>
      </c>
      <c r="K519" s="89" t="s">
        <v>25</v>
      </c>
      <c r="L519" s="90"/>
    </row>
    <row r="520" spans="2:12" hidden="1">
      <c r="B520" s="301"/>
      <c r="C520" s="1028" t="s">
        <v>189</v>
      </c>
      <c r="D520" s="1028"/>
      <c r="E520" s="1028"/>
      <c r="F520" s="91">
        <v>1</v>
      </c>
      <c r="G520" s="91"/>
      <c r="H520" s="91"/>
      <c r="I520" s="91">
        <v>10.199999999999999</v>
      </c>
      <c r="J520" s="91"/>
      <c r="K520" s="282">
        <f>F520*I520</f>
        <v>10.199999999999999</v>
      </c>
      <c r="L520" s="90"/>
    </row>
    <row r="521" spans="2:12" hidden="1">
      <c r="B521" s="301"/>
      <c r="C521" s="984" t="s">
        <v>190</v>
      </c>
      <c r="D521" s="985"/>
      <c r="E521" s="986"/>
      <c r="F521" s="91">
        <v>3</v>
      </c>
      <c r="G521" s="91"/>
      <c r="H521" s="91"/>
      <c r="I521" s="91">
        <v>1</v>
      </c>
      <c r="J521" s="91"/>
      <c r="K521" s="282">
        <f>F521*I521</f>
        <v>3</v>
      </c>
      <c r="L521" s="90"/>
    </row>
    <row r="522" spans="2:12" hidden="1">
      <c r="B522" s="301"/>
      <c r="C522" s="987" t="s">
        <v>116</v>
      </c>
      <c r="D522" s="987"/>
      <c r="E522" s="987"/>
      <c r="F522" s="987"/>
      <c r="G522" s="987"/>
      <c r="H522" s="987"/>
      <c r="I522" s="987"/>
      <c r="J522" s="987"/>
      <c r="K522" s="89">
        <f>SUM(K520:K521)</f>
        <v>13.2</v>
      </c>
      <c r="L522" s="90"/>
    </row>
    <row r="523" spans="2:12" hidden="1">
      <c r="B523" s="301"/>
      <c r="C523" s="211"/>
      <c r="D523" s="211"/>
      <c r="E523" s="211"/>
      <c r="F523" s="211"/>
      <c r="G523" s="211"/>
      <c r="H523" s="211"/>
      <c r="I523" s="211"/>
      <c r="J523" s="211"/>
      <c r="K523" s="212"/>
      <c r="L523" s="90"/>
    </row>
    <row r="524" spans="2:12" ht="15" hidden="1" customHeight="1">
      <c r="B524" s="85" t="str">
        <f>'[6]PLANILHA ORÇAMENTÁRIA'!D134</f>
        <v>14.3.5</v>
      </c>
      <c r="C524" s="1032" t="str">
        <f>'[6]PLANILHA ORÇAMENTÁRIA'!E134</f>
        <v>PINTURA ESMALTE ALTO BRILHO, DUAS DEMAOS, SOBRE SUPERFICIE METALICA</v>
      </c>
      <c r="D524" s="1032"/>
      <c r="E524" s="1032"/>
      <c r="F524" s="1032"/>
      <c r="G524" s="1032"/>
      <c r="H524" s="1032"/>
      <c r="I524" s="1032"/>
      <c r="J524" s="1032"/>
      <c r="K524" s="294" t="str">
        <f>'[6]PLANILHA ORÇAMENTÁRIA'!F134</f>
        <v>M2</v>
      </c>
      <c r="L524" s="295">
        <f>K528</f>
        <v>1.63</v>
      </c>
    </row>
    <row r="525" spans="2:12" hidden="1">
      <c r="B525" s="301"/>
      <c r="C525" s="983" t="s">
        <v>20</v>
      </c>
      <c r="D525" s="983"/>
      <c r="E525" s="983"/>
      <c r="F525" s="87" t="s">
        <v>22</v>
      </c>
      <c r="G525" s="279" t="s">
        <v>111</v>
      </c>
      <c r="H525" s="87" t="s">
        <v>178</v>
      </c>
      <c r="I525" s="279" t="s">
        <v>113</v>
      </c>
      <c r="J525" s="279" t="s">
        <v>114</v>
      </c>
      <c r="K525" s="89" t="s">
        <v>25</v>
      </c>
      <c r="L525" s="90"/>
    </row>
    <row r="526" spans="2:12" hidden="1">
      <c r="B526" s="301"/>
      <c r="C526" s="1028" t="s">
        <v>189</v>
      </c>
      <c r="D526" s="1028"/>
      <c r="E526" s="1028"/>
      <c r="F526" s="91">
        <v>1</v>
      </c>
      <c r="G526" s="91"/>
      <c r="H526" s="300">
        <v>2.5000000000000001E-2</v>
      </c>
      <c r="I526" s="91">
        <v>7.45</v>
      </c>
      <c r="J526" s="91"/>
      <c r="K526" s="282">
        <f>TRUNC((2*3.14*H526*I526)*F526,2)</f>
        <v>1.1599999999999999</v>
      </c>
      <c r="L526" s="90"/>
    </row>
    <row r="527" spans="2:12" hidden="1">
      <c r="B527" s="301"/>
      <c r="C527" s="984" t="s">
        <v>190</v>
      </c>
      <c r="D527" s="985"/>
      <c r="E527" s="986"/>
      <c r="F527" s="91">
        <v>3</v>
      </c>
      <c r="G527" s="91"/>
      <c r="H527" s="300">
        <v>2.5000000000000001E-2</v>
      </c>
      <c r="I527" s="91">
        <v>1</v>
      </c>
      <c r="J527" s="91"/>
      <c r="K527" s="282">
        <f>TRUNC((2*3.14*H527*I527)*F527,2)</f>
        <v>0.47</v>
      </c>
      <c r="L527" s="90"/>
    </row>
    <row r="528" spans="2:12" hidden="1">
      <c r="B528" s="301"/>
      <c r="C528" s="987" t="s">
        <v>116</v>
      </c>
      <c r="D528" s="987"/>
      <c r="E528" s="987"/>
      <c r="F528" s="987"/>
      <c r="G528" s="987"/>
      <c r="H528" s="987"/>
      <c r="I528" s="987"/>
      <c r="J528" s="987"/>
      <c r="K528" s="89">
        <f>SUM(K526:K527)</f>
        <v>1.63</v>
      </c>
      <c r="L528" s="90"/>
    </row>
    <row r="529" spans="2:12" hidden="1">
      <c r="B529" s="219"/>
      <c r="C529" s="219"/>
      <c r="D529" s="219"/>
      <c r="E529" s="219"/>
      <c r="F529" s="219"/>
      <c r="G529" s="219"/>
      <c r="H529" s="219"/>
      <c r="I529" s="219"/>
      <c r="J529" s="219"/>
      <c r="K529" s="219"/>
      <c r="L529" s="219"/>
    </row>
    <row r="530" spans="2:12" hidden="1">
      <c r="B530" s="292" t="str">
        <f>'[6]PLANILHA ORÇAMENTÁRIA'!D135</f>
        <v>14.4</v>
      </c>
      <c r="C530" s="1093" t="str">
        <f>'[6]PLANILHA ORÇAMENTÁRIA'!E135</f>
        <v>ESPALDAR SIMPLES</v>
      </c>
      <c r="D530" s="1093"/>
      <c r="E530" s="1093"/>
      <c r="F530" s="1093"/>
      <c r="G530" s="1093"/>
      <c r="H530" s="1093"/>
      <c r="I530" s="1093"/>
      <c r="J530" s="1093"/>
      <c r="K530" s="293"/>
      <c r="L530" s="293"/>
    </row>
    <row r="531" spans="2:12" ht="15" hidden="1" customHeight="1">
      <c r="B531" s="85" t="str">
        <f>'[6]PLANILHA ORÇAMENTÁRIA'!D136</f>
        <v>14.4.1</v>
      </c>
      <c r="C531" s="1032" t="str">
        <f>'[6]PLANILHA ORÇAMENTÁRIA'!E136</f>
        <v>ESCAVAÇÃO MANUAL DE VALA COM PROFUNDIDADE MENOR OU IGUAL A 1,30 M</v>
      </c>
      <c r="D531" s="1032"/>
      <c r="E531" s="1032"/>
      <c r="F531" s="1032"/>
      <c r="G531" s="1032"/>
      <c r="H531" s="1032"/>
      <c r="I531" s="1032"/>
      <c r="J531" s="1032"/>
      <c r="K531" s="294" t="str">
        <f>'[6]PLANILHA ORÇAMENTÁRIA'!F136</f>
        <v>M3</v>
      </c>
      <c r="L531" s="295">
        <f>K534</f>
        <v>3.5999999999999997E-2</v>
      </c>
    </row>
    <row r="532" spans="2:12" hidden="1">
      <c r="B532" s="301"/>
      <c r="C532" s="983" t="s">
        <v>20</v>
      </c>
      <c r="D532" s="983"/>
      <c r="E532" s="983"/>
      <c r="F532" s="87" t="s">
        <v>22</v>
      </c>
      <c r="G532" s="279" t="s">
        <v>111</v>
      </c>
      <c r="H532" s="87" t="s">
        <v>112</v>
      </c>
      <c r="I532" s="279" t="s">
        <v>113</v>
      </c>
      <c r="J532" s="279" t="s">
        <v>114</v>
      </c>
      <c r="K532" s="89" t="s">
        <v>25</v>
      </c>
      <c r="L532" s="90"/>
    </row>
    <row r="533" spans="2:12" hidden="1">
      <c r="B533" s="301"/>
      <c r="C533" s="1028" t="s">
        <v>174</v>
      </c>
      <c r="D533" s="1028"/>
      <c r="E533" s="1028"/>
      <c r="F533" s="91">
        <v>2</v>
      </c>
      <c r="G533" s="91">
        <v>0.8</v>
      </c>
      <c r="H533" s="91">
        <v>0.15</v>
      </c>
      <c r="I533" s="91">
        <v>0.15</v>
      </c>
      <c r="J533" s="91"/>
      <c r="K533" s="296">
        <f>PRODUCT(F533:I533)</f>
        <v>3.5999999999999997E-2</v>
      </c>
      <c r="L533" s="90"/>
    </row>
    <row r="534" spans="2:12" hidden="1">
      <c r="B534" s="301"/>
      <c r="C534" s="987" t="s">
        <v>116</v>
      </c>
      <c r="D534" s="987"/>
      <c r="E534" s="987"/>
      <c r="F534" s="987"/>
      <c r="G534" s="987"/>
      <c r="H534" s="987"/>
      <c r="I534" s="987"/>
      <c r="J534" s="987"/>
      <c r="K534" s="298">
        <f>SUM(K533:K533)</f>
        <v>3.5999999999999997E-2</v>
      </c>
      <c r="L534" s="90"/>
    </row>
    <row r="535" spans="2:12" hidden="1">
      <c r="B535" s="301"/>
      <c r="C535" s="211"/>
      <c r="D535" s="211"/>
      <c r="E535" s="211"/>
      <c r="F535" s="211"/>
      <c r="G535" s="211"/>
      <c r="H535" s="211"/>
      <c r="I535" s="211"/>
      <c r="J535" s="211"/>
      <c r="K535" s="299"/>
      <c r="L535" s="90"/>
    </row>
    <row r="536" spans="2:12" ht="15" hidden="1" customHeight="1">
      <c r="B536" s="85" t="str">
        <f>'[6]PLANILHA ORÇAMENTÁRIA'!D137</f>
        <v>14.4.2</v>
      </c>
      <c r="C536" s="1032" t="str">
        <f>'[6]PLANILHA ORÇAMENTÁRIA'!E137</f>
        <v>LASTRO DE CONCRETO MAGRO, APLICADO EM PISOS OU RADIERS, ESPESSURA DE 5CM. AF_07_2016</v>
      </c>
      <c r="D536" s="1032"/>
      <c r="E536" s="1032"/>
      <c r="F536" s="1032"/>
      <c r="G536" s="1032"/>
      <c r="H536" s="1032"/>
      <c r="I536" s="1032"/>
      <c r="J536" s="1032"/>
      <c r="K536" s="294" t="str">
        <f>'[6]PLANILHA ORÇAMENTÁRIA'!F137</f>
        <v>M2</v>
      </c>
      <c r="L536" s="295">
        <f>K539</f>
        <v>4.4999999999999998E-2</v>
      </c>
    </row>
    <row r="537" spans="2:12" hidden="1">
      <c r="B537" s="301"/>
      <c r="C537" s="983" t="s">
        <v>20</v>
      </c>
      <c r="D537" s="983"/>
      <c r="E537" s="983"/>
      <c r="F537" s="87" t="s">
        <v>22</v>
      </c>
      <c r="G537" s="279" t="s">
        <v>111</v>
      </c>
      <c r="H537" s="87" t="s">
        <v>112</v>
      </c>
      <c r="I537" s="279" t="s">
        <v>113</v>
      </c>
      <c r="J537" s="279" t="s">
        <v>114</v>
      </c>
      <c r="K537" s="89" t="s">
        <v>25</v>
      </c>
      <c r="L537" s="90"/>
    </row>
    <row r="538" spans="2:12" hidden="1">
      <c r="B538" s="301"/>
      <c r="C538" s="1028"/>
      <c r="D538" s="1028"/>
      <c r="E538" s="1028"/>
      <c r="F538" s="91">
        <v>2</v>
      </c>
      <c r="G538" s="91"/>
      <c r="H538" s="91">
        <v>0.15</v>
      </c>
      <c r="I538" s="91">
        <v>0.15</v>
      </c>
      <c r="J538" s="91"/>
      <c r="K538" s="296">
        <f>PRODUCT(F538:I538)</f>
        <v>4.4999999999999998E-2</v>
      </c>
      <c r="L538" s="90"/>
    </row>
    <row r="539" spans="2:12" hidden="1">
      <c r="B539" s="301"/>
      <c r="C539" s="987" t="s">
        <v>116</v>
      </c>
      <c r="D539" s="987"/>
      <c r="E539" s="987"/>
      <c r="F539" s="987"/>
      <c r="G539" s="987"/>
      <c r="H539" s="987"/>
      <c r="I539" s="987"/>
      <c r="J539" s="987"/>
      <c r="K539" s="298">
        <f>SUM(K538:K538)</f>
        <v>4.4999999999999998E-2</v>
      </c>
      <c r="L539" s="90"/>
    </row>
    <row r="540" spans="2:12" hidden="1">
      <c r="B540" s="301"/>
      <c r="C540" s="211"/>
      <c r="D540" s="211"/>
      <c r="E540" s="211"/>
      <c r="F540" s="211"/>
      <c r="G540" s="211"/>
      <c r="H540" s="211"/>
      <c r="I540" s="211"/>
      <c r="J540" s="211"/>
      <c r="K540" s="299"/>
      <c r="L540" s="90"/>
    </row>
    <row r="541" spans="2:12" ht="21.75" hidden="1" customHeight="1">
      <c r="B541" s="85" t="str">
        <f>'[6]PLANILHA ORÇAMENTÁRIA'!D138</f>
        <v>14.4.3</v>
      </c>
      <c r="C541" s="1032" t="str">
        <f>'[6]PLANILHA ORÇAMENTÁRIA'!E138</f>
        <v>CONCRETAGEM DE BLOCOS DE COROAMENTO E VIGAS BALDRAMES, FCK 30 MPA, COM USO DE BOMBA LANÇAMENTO, ADENSAMENTO E ACABAMENTO. AF_06/2017</v>
      </c>
      <c r="D541" s="1032"/>
      <c r="E541" s="1032"/>
      <c r="F541" s="1032"/>
      <c r="G541" s="1032"/>
      <c r="H541" s="1032"/>
      <c r="I541" s="1032"/>
      <c r="J541" s="1032"/>
      <c r="K541" s="294" t="str">
        <f>'[6]PLANILHA ORÇAMENTÁRIA'!F138</f>
        <v>M3</v>
      </c>
      <c r="L541" s="295">
        <f>K544</f>
        <v>0.02</v>
      </c>
    </row>
    <row r="542" spans="2:12" hidden="1">
      <c r="B542" s="301"/>
      <c r="C542" s="983" t="s">
        <v>20</v>
      </c>
      <c r="D542" s="983"/>
      <c r="E542" s="983"/>
      <c r="F542" s="87" t="s">
        <v>22</v>
      </c>
      <c r="G542" s="279" t="s">
        <v>111</v>
      </c>
      <c r="H542" s="87" t="s">
        <v>112</v>
      </c>
      <c r="I542" s="279" t="s">
        <v>113</v>
      </c>
      <c r="J542" s="279" t="s">
        <v>114</v>
      </c>
      <c r="K542" s="89" t="s">
        <v>25</v>
      </c>
      <c r="L542" s="90"/>
    </row>
    <row r="543" spans="2:12" hidden="1">
      <c r="B543" s="301"/>
      <c r="C543" s="1028" t="s">
        <v>191</v>
      </c>
      <c r="D543" s="1028"/>
      <c r="E543" s="1028"/>
      <c r="F543" s="91">
        <v>2</v>
      </c>
      <c r="G543" s="91">
        <v>0.65</v>
      </c>
      <c r="H543" s="91">
        <v>0.15</v>
      </c>
      <c r="I543" s="91">
        <v>0.15</v>
      </c>
      <c r="J543" s="91"/>
      <c r="K543" s="282">
        <f>TRUNC(G543*H543*F543*I543,2)</f>
        <v>0.02</v>
      </c>
      <c r="L543" s="90"/>
    </row>
    <row r="544" spans="2:12" hidden="1">
      <c r="B544" s="301"/>
      <c r="C544" s="987" t="s">
        <v>116</v>
      </c>
      <c r="D544" s="987"/>
      <c r="E544" s="987"/>
      <c r="F544" s="987"/>
      <c r="G544" s="987"/>
      <c r="H544" s="987"/>
      <c r="I544" s="987"/>
      <c r="J544" s="987"/>
      <c r="K544" s="89">
        <f>SUM(K543:K543)</f>
        <v>0.02</v>
      </c>
      <c r="L544" s="90"/>
    </row>
    <row r="545" spans="2:12" hidden="1">
      <c r="B545" s="219"/>
      <c r="C545" s="219"/>
      <c r="D545" s="219"/>
      <c r="E545" s="219"/>
      <c r="F545" s="219"/>
      <c r="G545" s="219"/>
      <c r="H545" s="219"/>
      <c r="I545" s="219"/>
      <c r="J545" s="219"/>
      <c r="K545" s="219"/>
      <c r="L545" s="219"/>
    </row>
    <row r="546" spans="2:12" ht="15" hidden="1" customHeight="1">
      <c r="B546" s="85" t="str">
        <f>'[6]PLANILHA ORÇAMENTÁRIA'!D139</f>
        <v>14.4.4</v>
      </c>
      <c r="C546" s="1032" t="str">
        <f>'[6]PLANILHA ORÇAMENTÁRIA'!E139</f>
        <v>TUBO DE AÇO GALVANIZADO COM COSTURA 2" - FORNECIMENTO E INSTALACAO. - M</v>
      </c>
      <c r="D546" s="1032"/>
      <c r="E546" s="1032"/>
      <c r="F546" s="1032"/>
      <c r="G546" s="1032"/>
      <c r="H546" s="1032"/>
      <c r="I546" s="1032"/>
      <c r="J546" s="1032"/>
      <c r="K546" s="294" t="str">
        <f>'[6]PLANILHA ORÇAMENTÁRIA'!F139</f>
        <v>M</v>
      </c>
      <c r="L546" s="295">
        <f>K550</f>
        <v>12.2</v>
      </c>
    </row>
    <row r="547" spans="2:12" hidden="1">
      <c r="B547" s="301"/>
      <c r="C547" s="983" t="s">
        <v>20</v>
      </c>
      <c r="D547" s="983"/>
      <c r="E547" s="983"/>
      <c r="F547" s="87" t="s">
        <v>22</v>
      </c>
      <c r="G547" s="279" t="s">
        <v>111</v>
      </c>
      <c r="H547" s="87" t="s">
        <v>112</v>
      </c>
      <c r="I547" s="279" t="s">
        <v>113</v>
      </c>
      <c r="J547" s="279" t="s">
        <v>114</v>
      </c>
      <c r="K547" s="89" t="s">
        <v>25</v>
      </c>
      <c r="L547" s="90"/>
    </row>
    <row r="548" spans="2:12" hidden="1">
      <c r="B548" s="301"/>
      <c r="C548" s="1028" t="s">
        <v>189</v>
      </c>
      <c r="D548" s="1028"/>
      <c r="E548" s="1028"/>
      <c r="F548" s="91">
        <v>2</v>
      </c>
      <c r="G548" s="91"/>
      <c r="H548" s="91"/>
      <c r="I548" s="91">
        <v>2.6</v>
      </c>
      <c r="J548" s="91"/>
      <c r="K548" s="282">
        <f>F548*I548</f>
        <v>5.2</v>
      </c>
      <c r="L548" s="90"/>
    </row>
    <row r="549" spans="2:12" hidden="1">
      <c r="B549" s="301"/>
      <c r="C549" s="984" t="s">
        <v>190</v>
      </c>
      <c r="D549" s="985"/>
      <c r="E549" s="986"/>
      <c r="F549" s="91">
        <v>7</v>
      </c>
      <c r="G549" s="91"/>
      <c r="H549" s="91"/>
      <c r="I549" s="91">
        <v>1</v>
      </c>
      <c r="J549" s="91"/>
      <c r="K549" s="282">
        <f>F549*I549</f>
        <v>7</v>
      </c>
      <c r="L549" s="90"/>
    </row>
    <row r="550" spans="2:12" hidden="1">
      <c r="B550" s="301"/>
      <c r="C550" s="987" t="s">
        <v>116</v>
      </c>
      <c r="D550" s="987"/>
      <c r="E550" s="987"/>
      <c r="F550" s="987"/>
      <c r="G550" s="987"/>
      <c r="H550" s="987"/>
      <c r="I550" s="987"/>
      <c r="J550" s="987"/>
      <c r="K550" s="89">
        <f>SUM(K548:K549)</f>
        <v>12.2</v>
      </c>
      <c r="L550" s="90"/>
    </row>
    <row r="551" spans="2:12" hidden="1">
      <c r="B551" s="301"/>
      <c r="C551" s="211"/>
      <c r="D551" s="211"/>
      <c r="E551" s="211"/>
      <c r="F551" s="211"/>
      <c r="G551" s="211"/>
      <c r="H551" s="211"/>
      <c r="I551" s="211"/>
      <c r="J551" s="211"/>
      <c r="K551" s="212"/>
      <c r="L551" s="90"/>
    </row>
    <row r="552" spans="2:12" ht="15" hidden="1" customHeight="1">
      <c r="B552" s="85" t="str">
        <f>'[6]PLANILHA ORÇAMENTÁRIA'!D140</f>
        <v>14.4.5</v>
      </c>
      <c r="C552" s="1032" t="str">
        <f>'[6]PLANILHA ORÇAMENTÁRIA'!E140</f>
        <v>PINTURA ESMALTE ALTO BRILHO, DUAS DEMAOS, SOBRE SUPERFICIE METALICA</v>
      </c>
      <c r="D552" s="1032"/>
      <c r="E552" s="1032"/>
      <c r="F552" s="1032"/>
      <c r="G552" s="1032"/>
      <c r="H552" s="1032"/>
      <c r="I552" s="1032"/>
      <c r="J552" s="1032"/>
      <c r="K552" s="294" t="str">
        <f>'[6]PLANILHA ORÇAMENTÁRIA'!F140</f>
        <v>M2</v>
      </c>
      <c r="L552" s="295">
        <f>K556</f>
        <v>1.7000000000000002</v>
      </c>
    </row>
    <row r="553" spans="2:12" hidden="1">
      <c r="B553" s="301"/>
      <c r="C553" s="983" t="s">
        <v>20</v>
      </c>
      <c r="D553" s="983"/>
      <c r="E553" s="983"/>
      <c r="F553" s="87" t="s">
        <v>22</v>
      </c>
      <c r="G553" s="279" t="s">
        <v>111</v>
      </c>
      <c r="H553" s="87" t="s">
        <v>178</v>
      </c>
      <c r="I553" s="279" t="s">
        <v>113</v>
      </c>
      <c r="J553" s="279" t="s">
        <v>114</v>
      </c>
      <c r="K553" s="89" t="s">
        <v>25</v>
      </c>
      <c r="L553" s="90"/>
    </row>
    <row r="554" spans="2:12" hidden="1">
      <c r="B554" s="301"/>
      <c r="C554" s="1028" t="s">
        <v>189</v>
      </c>
      <c r="D554" s="1028"/>
      <c r="E554" s="1028"/>
      <c r="F554" s="91">
        <v>2</v>
      </c>
      <c r="G554" s="91"/>
      <c r="H554" s="300">
        <v>2.5000000000000001E-2</v>
      </c>
      <c r="I554" s="91">
        <v>1.95</v>
      </c>
      <c r="J554" s="91"/>
      <c r="K554" s="282">
        <f>TRUNC((2*3.14*H554*I554)*F554,2)</f>
        <v>0.61</v>
      </c>
      <c r="L554" s="90"/>
    </row>
    <row r="555" spans="2:12" hidden="1">
      <c r="B555" s="301"/>
      <c r="C555" s="984" t="s">
        <v>190</v>
      </c>
      <c r="D555" s="985"/>
      <c r="E555" s="986"/>
      <c r="F555" s="91">
        <v>7</v>
      </c>
      <c r="G555" s="91"/>
      <c r="H555" s="300">
        <v>2.5000000000000001E-2</v>
      </c>
      <c r="I555" s="91">
        <v>1</v>
      </c>
      <c r="J555" s="91"/>
      <c r="K555" s="282">
        <f>TRUNC((2*3.14*H555*I555)*F555,2)</f>
        <v>1.0900000000000001</v>
      </c>
      <c r="L555" s="90"/>
    </row>
    <row r="556" spans="2:12" hidden="1">
      <c r="B556" s="301"/>
      <c r="C556" s="987" t="s">
        <v>116</v>
      </c>
      <c r="D556" s="987"/>
      <c r="E556" s="987"/>
      <c r="F556" s="987"/>
      <c r="G556" s="987"/>
      <c r="H556" s="987"/>
      <c r="I556" s="987"/>
      <c r="J556" s="987"/>
      <c r="K556" s="89">
        <f>SUM(K554:K555)</f>
        <v>1.7000000000000002</v>
      </c>
      <c r="L556" s="90"/>
    </row>
    <row r="557" spans="2:12" hidden="1">
      <c r="B557" s="219"/>
      <c r="C557" s="219"/>
      <c r="D557" s="219"/>
      <c r="E557" s="219"/>
      <c r="F557" s="219"/>
      <c r="G557" s="219"/>
      <c r="H557" s="219"/>
      <c r="I557" s="219"/>
      <c r="J557" s="219"/>
      <c r="K557" s="219"/>
      <c r="L557" s="219"/>
    </row>
    <row r="558" spans="2:12" hidden="1">
      <c r="B558" s="292" t="str">
        <f>'[6]PLANILHA ORÇAMENTÁRIA'!D141</f>
        <v>14.5</v>
      </c>
      <c r="C558" s="1093" t="str">
        <f>'[6]PLANILHA ORÇAMENTÁRIA'!E141</f>
        <v>BARRA DE APOIO</v>
      </c>
      <c r="D558" s="1093"/>
      <c r="E558" s="1093"/>
      <c r="F558" s="1093"/>
      <c r="G558" s="1093"/>
      <c r="H558" s="1093"/>
      <c r="I558" s="1093"/>
      <c r="J558" s="1093"/>
      <c r="K558" s="293"/>
      <c r="L558" s="293"/>
    </row>
    <row r="559" spans="2:12" ht="15" hidden="1" customHeight="1">
      <c r="B559" s="85" t="str">
        <f>'[6]PLANILHA ORÇAMENTÁRIA'!D142</f>
        <v>14.5.1</v>
      </c>
      <c r="C559" s="1032" t="str">
        <f>'[6]PLANILHA ORÇAMENTÁRIA'!E142</f>
        <v>ESCAVAÇÃO MANUAL DE VALA COM PROFUNDIDADE MENOR OU IGUAL A 1,30 M</v>
      </c>
      <c r="D559" s="1032"/>
      <c r="E559" s="1032"/>
      <c r="F559" s="1032"/>
      <c r="G559" s="1032"/>
      <c r="H559" s="1032"/>
      <c r="I559" s="1032"/>
      <c r="J559" s="1032"/>
      <c r="K559" s="294" t="str">
        <f>'[6]PLANILHA ORÇAMENTÁRIA'!F142</f>
        <v>M3</v>
      </c>
      <c r="L559" s="295">
        <f>K562</f>
        <v>4.9500000000000002E-2</v>
      </c>
    </row>
    <row r="560" spans="2:12" hidden="1">
      <c r="B560" s="301"/>
      <c r="C560" s="983" t="s">
        <v>20</v>
      </c>
      <c r="D560" s="983"/>
      <c r="E560" s="983"/>
      <c r="F560" s="87" t="s">
        <v>22</v>
      </c>
      <c r="G560" s="279" t="s">
        <v>111</v>
      </c>
      <c r="H560" s="87" t="s">
        <v>112</v>
      </c>
      <c r="I560" s="279" t="s">
        <v>113</v>
      </c>
      <c r="J560" s="279" t="s">
        <v>114</v>
      </c>
      <c r="K560" s="89" t="s">
        <v>25</v>
      </c>
      <c r="L560" s="90"/>
    </row>
    <row r="561" spans="2:12" hidden="1">
      <c r="B561" s="301"/>
      <c r="C561" s="1028" t="s">
        <v>174</v>
      </c>
      <c r="D561" s="1028"/>
      <c r="E561" s="1028"/>
      <c r="F561" s="91">
        <v>4</v>
      </c>
      <c r="G561" s="91">
        <v>0.55000000000000004</v>
      </c>
      <c r="H561" s="91">
        <v>0.15</v>
      </c>
      <c r="I561" s="91">
        <v>0.15</v>
      </c>
      <c r="J561" s="91"/>
      <c r="K561" s="296">
        <f>PRODUCT(F561:I561)</f>
        <v>4.9500000000000002E-2</v>
      </c>
      <c r="L561" s="90"/>
    </row>
    <row r="562" spans="2:12" hidden="1">
      <c r="B562" s="301"/>
      <c r="C562" s="987" t="s">
        <v>116</v>
      </c>
      <c r="D562" s="987"/>
      <c r="E562" s="987"/>
      <c r="F562" s="987"/>
      <c r="G562" s="987"/>
      <c r="H562" s="987"/>
      <c r="I562" s="987"/>
      <c r="J562" s="987"/>
      <c r="K562" s="298">
        <f>SUM(K561:K561)</f>
        <v>4.9500000000000002E-2</v>
      </c>
      <c r="L562" s="90"/>
    </row>
    <row r="563" spans="2:12" hidden="1">
      <c r="B563" s="301"/>
      <c r="C563" s="211"/>
      <c r="D563" s="211"/>
      <c r="E563" s="211"/>
      <c r="F563" s="211"/>
      <c r="G563" s="211"/>
      <c r="H563" s="211"/>
      <c r="I563" s="211"/>
      <c r="J563" s="211"/>
      <c r="K563" s="299"/>
      <c r="L563" s="90"/>
    </row>
    <row r="564" spans="2:12" ht="15" hidden="1" customHeight="1">
      <c r="B564" s="85" t="str">
        <f>'[6]PLANILHA ORÇAMENTÁRIA'!D143</f>
        <v>14.5.2</v>
      </c>
      <c r="C564" s="1032" t="str">
        <f>'[6]PLANILHA ORÇAMENTÁRIA'!E143</f>
        <v>LASTRO DE CONCRETO MAGRO, APLICADO EM PISOS OU RADIERS, ESPESSURA DE 5CM. AF_07_2016</v>
      </c>
      <c r="D564" s="1032"/>
      <c r="E564" s="1032"/>
      <c r="F564" s="1032"/>
      <c r="G564" s="1032"/>
      <c r="H564" s="1032"/>
      <c r="I564" s="1032"/>
      <c r="J564" s="1032"/>
      <c r="K564" s="294" t="str">
        <f>'[6]PLANILHA ORÇAMENTÁRIA'!F143</f>
        <v>M2</v>
      </c>
      <c r="L564" s="295">
        <f>K567</f>
        <v>0.09</v>
      </c>
    </row>
    <row r="565" spans="2:12" hidden="1">
      <c r="B565" s="301"/>
      <c r="C565" s="983" t="s">
        <v>20</v>
      </c>
      <c r="D565" s="983"/>
      <c r="E565" s="983"/>
      <c r="F565" s="87" t="s">
        <v>22</v>
      </c>
      <c r="G565" s="279" t="s">
        <v>111</v>
      </c>
      <c r="H565" s="87" t="s">
        <v>112</v>
      </c>
      <c r="I565" s="279" t="s">
        <v>113</v>
      </c>
      <c r="J565" s="279" t="s">
        <v>114</v>
      </c>
      <c r="K565" s="89" t="s">
        <v>25</v>
      </c>
      <c r="L565" s="90"/>
    </row>
    <row r="566" spans="2:12" hidden="1">
      <c r="B566" s="301"/>
      <c r="C566" s="1028"/>
      <c r="D566" s="1028"/>
      <c r="E566" s="1028"/>
      <c r="F566" s="91">
        <v>4</v>
      </c>
      <c r="G566" s="91"/>
      <c r="H566" s="91">
        <v>0.15</v>
      </c>
      <c r="I566" s="91">
        <v>0.15</v>
      </c>
      <c r="J566" s="91"/>
      <c r="K566" s="296">
        <f>PRODUCT(F566:I566)</f>
        <v>0.09</v>
      </c>
      <c r="L566" s="90"/>
    </row>
    <row r="567" spans="2:12" hidden="1">
      <c r="B567" s="301"/>
      <c r="C567" s="987" t="s">
        <v>116</v>
      </c>
      <c r="D567" s="987"/>
      <c r="E567" s="987"/>
      <c r="F567" s="987"/>
      <c r="G567" s="987"/>
      <c r="H567" s="987"/>
      <c r="I567" s="987"/>
      <c r="J567" s="987"/>
      <c r="K567" s="298">
        <f>SUM(K566:K566)</f>
        <v>0.09</v>
      </c>
      <c r="L567" s="90"/>
    </row>
    <row r="568" spans="2:12" ht="17.25" hidden="1" customHeight="1">
      <c r="B568" s="301"/>
      <c r="C568" s="211"/>
      <c r="D568" s="211"/>
      <c r="E568" s="211"/>
      <c r="F568" s="211"/>
      <c r="G568" s="211"/>
      <c r="H568" s="211"/>
      <c r="I568" s="211"/>
      <c r="J568" s="211"/>
      <c r="K568" s="299"/>
      <c r="L568" s="90"/>
    </row>
    <row r="569" spans="2:12" ht="22.5" hidden="1" customHeight="1">
      <c r="B569" s="85" t="str">
        <f>'[6]PLANILHA ORÇAMENTÁRIA'!D144</f>
        <v>14.5.3</v>
      </c>
      <c r="C569" s="1032" t="str">
        <f>'[6]PLANILHA ORÇAMENTÁRIA'!E144</f>
        <v>CONCRETAGEM DE BLOCOS DE COROAMENTO E VIGAS BALDRAMES, FCK 30 MPA, COM USO DE BOMBA LANÇAMENTO, ADENSAMENTO E ACABAMENTO. AF_06/2017</v>
      </c>
      <c r="D569" s="1032"/>
      <c r="E569" s="1032"/>
      <c r="F569" s="1032"/>
      <c r="G569" s="1032"/>
      <c r="H569" s="1032"/>
      <c r="I569" s="1032"/>
      <c r="J569" s="1032"/>
      <c r="K569" s="294" t="str">
        <f>'[6]PLANILHA ORÇAMENTÁRIA'!F144</f>
        <v>M3</v>
      </c>
      <c r="L569" s="295">
        <f>K572</f>
        <v>0.03</v>
      </c>
    </row>
    <row r="570" spans="2:12" hidden="1">
      <c r="B570" s="301"/>
      <c r="C570" s="983" t="s">
        <v>20</v>
      </c>
      <c r="D570" s="983"/>
      <c r="E570" s="983"/>
      <c r="F570" s="87" t="s">
        <v>22</v>
      </c>
      <c r="G570" s="279" t="s">
        <v>111</v>
      </c>
      <c r="H570" s="87" t="s">
        <v>112</v>
      </c>
      <c r="I570" s="279" t="s">
        <v>113</v>
      </c>
      <c r="J570" s="279" t="s">
        <v>114</v>
      </c>
      <c r="K570" s="89" t="s">
        <v>25</v>
      </c>
      <c r="L570" s="90"/>
    </row>
    <row r="571" spans="2:12" hidden="1">
      <c r="B571" s="301"/>
      <c r="C571" s="1028" t="s">
        <v>191</v>
      </c>
      <c r="D571" s="1028"/>
      <c r="E571" s="1028"/>
      <c r="F571" s="91">
        <v>4</v>
      </c>
      <c r="G571" s="91">
        <v>0.4</v>
      </c>
      <c r="H571" s="91">
        <v>0.15</v>
      </c>
      <c r="I571" s="91">
        <v>0.15</v>
      </c>
      <c r="J571" s="91"/>
      <c r="K571" s="282">
        <f>TRUNC(G571*H571*F571*I571,2)</f>
        <v>0.03</v>
      </c>
      <c r="L571" s="90"/>
    </row>
    <row r="572" spans="2:12" hidden="1">
      <c r="B572" s="301"/>
      <c r="C572" s="987" t="s">
        <v>116</v>
      </c>
      <c r="D572" s="987"/>
      <c r="E572" s="987"/>
      <c r="F572" s="987"/>
      <c r="G572" s="987"/>
      <c r="H572" s="987"/>
      <c r="I572" s="987"/>
      <c r="J572" s="987"/>
      <c r="K572" s="89">
        <f>SUM(K571:K571)</f>
        <v>0.03</v>
      </c>
      <c r="L572" s="90"/>
    </row>
    <row r="573" spans="2:12" ht="18" hidden="1" customHeight="1">
      <c r="B573" s="219"/>
      <c r="C573" s="219"/>
      <c r="D573" s="219"/>
      <c r="E573" s="219"/>
      <c r="F573" s="219"/>
      <c r="G573" s="219"/>
      <c r="H573" s="219"/>
      <c r="I573" s="219"/>
      <c r="J573" s="219"/>
      <c r="K573" s="219"/>
      <c r="L573" s="219"/>
    </row>
    <row r="574" spans="2:12" ht="15" hidden="1" customHeight="1">
      <c r="B574" s="85" t="str">
        <f>'[6]PLANILHA ORÇAMENTÁRIA'!D145</f>
        <v>14.5.4</v>
      </c>
      <c r="C574" s="1032" t="str">
        <f>'[6]PLANILHA ORÇAMENTÁRIA'!E145</f>
        <v>TUBO DE AÇO GALVANIZADO COM COSTURA 2" - FORNECIMENTO E INSTALACAO. - M</v>
      </c>
      <c r="D574" s="1032"/>
      <c r="E574" s="1032"/>
      <c r="F574" s="1032"/>
      <c r="G574" s="1032"/>
      <c r="H574" s="1032"/>
      <c r="I574" s="1032"/>
      <c r="J574" s="1032"/>
      <c r="K574" s="294" t="str">
        <f>'[6]PLANILHA ORÇAMENTÁRIA'!F145</f>
        <v>M</v>
      </c>
      <c r="L574" s="295">
        <f>K578</f>
        <v>14</v>
      </c>
    </row>
    <row r="575" spans="2:12" hidden="1">
      <c r="B575" s="301"/>
      <c r="C575" s="983" t="s">
        <v>20</v>
      </c>
      <c r="D575" s="983"/>
      <c r="E575" s="983"/>
      <c r="F575" s="87" t="s">
        <v>22</v>
      </c>
      <c r="G575" s="279" t="s">
        <v>111</v>
      </c>
      <c r="H575" s="87" t="s">
        <v>112</v>
      </c>
      <c r="I575" s="279" t="s">
        <v>113</v>
      </c>
      <c r="J575" s="279" t="s">
        <v>114</v>
      </c>
      <c r="K575" s="89" t="s">
        <v>25</v>
      </c>
      <c r="L575" s="90"/>
    </row>
    <row r="576" spans="2:12" hidden="1">
      <c r="B576" s="301"/>
      <c r="C576" s="1028" t="s">
        <v>189</v>
      </c>
      <c r="D576" s="1028"/>
      <c r="E576" s="1028"/>
      <c r="F576" s="91">
        <v>4</v>
      </c>
      <c r="G576" s="91"/>
      <c r="H576" s="91"/>
      <c r="I576" s="91">
        <v>1.6</v>
      </c>
      <c r="J576" s="91"/>
      <c r="K576" s="282">
        <f>F576*I576</f>
        <v>6.4</v>
      </c>
      <c r="L576" s="90"/>
    </row>
    <row r="577" spans="2:12" hidden="1">
      <c r="B577" s="301"/>
      <c r="C577" s="984" t="s">
        <v>190</v>
      </c>
      <c r="D577" s="985"/>
      <c r="E577" s="986"/>
      <c r="F577" s="91">
        <v>4</v>
      </c>
      <c r="G577" s="91"/>
      <c r="H577" s="91"/>
      <c r="I577" s="91">
        <v>1.9</v>
      </c>
      <c r="J577" s="91"/>
      <c r="K577" s="282">
        <f>F577*I577</f>
        <v>7.6</v>
      </c>
      <c r="L577" s="90"/>
    </row>
    <row r="578" spans="2:12" hidden="1">
      <c r="B578" s="301"/>
      <c r="C578" s="987" t="s">
        <v>116</v>
      </c>
      <c r="D578" s="987"/>
      <c r="E578" s="987"/>
      <c r="F578" s="987"/>
      <c r="G578" s="987"/>
      <c r="H578" s="987"/>
      <c r="I578" s="987"/>
      <c r="J578" s="987"/>
      <c r="K578" s="89">
        <f>SUM(K576:K577)</f>
        <v>14</v>
      </c>
      <c r="L578" s="90"/>
    </row>
    <row r="579" spans="2:12" hidden="1">
      <c r="B579" s="301"/>
      <c r="C579" s="211"/>
      <c r="D579" s="211"/>
      <c r="E579" s="211"/>
      <c r="F579" s="211"/>
      <c r="G579" s="211"/>
      <c r="H579" s="211"/>
      <c r="I579" s="211"/>
      <c r="J579" s="211"/>
      <c r="K579" s="212"/>
      <c r="L579" s="90"/>
    </row>
    <row r="580" spans="2:12" ht="15" hidden="1" customHeight="1">
      <c r="B580" s="85" t="str">
        <f>'[6]PLANILHA ORÇAMENTÁRIA'!D146</f>
        <v>14.5.5</v>
      </c>
      <c r="C580" s="1032" t="str">
        <f>'[6]PLANILHA ORÇAMENTÁRIA'!E146</f>
        <v>PINTURA ESMALTE ALTO BRILHO, DUAS DEMAOS, SOBRE SUPERFICIE METALICA</v>
      </c>
      <c r="D580" s="1032"/>
      <c r="E580" s="1032"/>
      <c r="F580" s="1032"/>
      <c r="G580" s="1032"/>
      <c r="H580" s="1032"/>
      <c r="I580" s="1032"/>
      <c r="J580" s="1032"/>
      <c r="K580" s="294" t="str">
        <f>'[6]PLANILHA ORÇAMENTÁRIA'!F146</f>
        <v>M2</v>
      </c>
      <c r="L580" s="295">
        <f>K584</f>
        <v>1.94</v>
      </c>
    </row>
    <row r="581" spans="2:12" hidden="1">
      <c r="B581" s="301"/>
      <c r="C581" s="983" t="s">
        <v>20</v>
      </c>
      <c r="D581" s="983"/>
      <c r="E581" s="983"/>
      <c r="F581" s="87" t="s">
        <v>22</v>
      </c>
      <c r="G581" s="279" t="s">
        <v>111</v>
      </c>
      <c r="H581" s="87" t="s">
        <v>178</v>
      </c>
      <c r="I581" s="279" t="s">
        <v>113</v>
      </c>
      <c r="J581" s="279" t="s">
        <v>114</v>
      </c>
      <c r="K581" s="89" t="s">
        <v>25</v>
      </c>
      <c r="L581" s="90"/>
    </row>
    <row r="582" spans="2:12" hidden="1">
      <c r="B582" s="301"/>
      <c r="C582" s="1028" t="s">
        <v>189</v>
      </c>
      <c r="D582" s="1028"/>
      <c r="E582" s="1028"/>
      <c r="F582" s="91">
        <v>4</v>
      </c>
      <c r="G582" s="91"/>
      <c r="H582" s="300">
        <v>2.5000000000000001E-2</v>
      </c>
      <c r="I582" s="91">
        <v>1.2</v>
      </c>
      <c r="J582" s="91"/>
      <c r="K582" s="282">
        <f>TRUNC((2*3.14*H582*I582)*F582,2)</f>
        <v>0.75</v>
      </c>
      <c r="L582" s="90"/>
    </row>
    <row r="583" spans="2:12" hidden="1">
      <c r="B583" s="301"/>
      <c r="C583" s="984" t="s">
        <v>190</v>
      </c>
      <c r="D583" s="985"/>
      <c r="E583" s="986"/>
      <c r="F583" s="91">
        <v>4</v>
      </c>
      <c r="G583" s="91"/>
      <c r="H583" s="300">
        <v>2.5000000000000001E-2</v>
      </c>
      <c r="I583" s="91">
        <v>1.9</v>
      </c>
      <c r="J583" s="91"/>
      <c r="K583" s="282">
        <f>TRUNC((2*3.14*H583*I583)*F583,2)</f>
        <v>1.19</v>
      </c>
      <c r="L583" s="90"/>
    </row>
    <row r="584" spans="2:12" hidden="1">
      <c r="B584" s="301"/>
      <c r="C584" s="987" t="s">
        <v>116</v>
      </c>
      <c r="D584" s="987"/>
      <c r="E584" s="987"/>
      <c r="F584" s="987"/>
      <c r="G584" s="987"/>
      <c r="H584" s="987"/>
      <c r="I584" s="987"/>
      <c r="J584" s="987"/>
      <c r="K584" s="89">
        <f>SUM(K582:K583)</f>
        <v>1.94</v>
      </c>
      <c r="L584" s="90"/>
    </row>
    <row r="585" spans="2:12" hidden="1">
      <c r="B585" s="219"/>
      <c r="C585" s="219"/>
      <c r="D585" s="219"/>
      <c r="E585" s="219"/>
      <c r="F585" s="219"/>
      <c r="G585" s="219"/>
      <c r="H585" s="219"/>
      <c r="I585" s="219"/>
      <c r="J585" s="219"/>
      <c r="K585" s="219"/>
      <c r="L585" s="219"/>
    </row>
    <row r="586" spans="2:12" hidden="1">
      <c r="B586" s="292" t="str">
        <f>'[6]PLANILHA ORÇAMENTÁRIA'!D147</f>
        <v>14.6</v>
      </c>
      <c r="C586" s="1093" t="str">
        <f>'[6]PLANILHA ORÇAMENTÁRIA'!E147</f>
        <v>BANCOS DE APOIO</v>
      </c>
      <c r="D586" s="1093"/>
      <c r="E586" s="1093"/>
      <c r="F586" s="1093"/>
      <c r="G586" s="1093"/>
      <c r="H586" s="1093"/>
      <c r="I586" s="1093"/>
      <c r="J586" s="1093"/>
      <c r="K586" s="293"/>
      <c r="L586" s="293"/>
    </row>
    <row r="587" spans="2:12" ht="15" hidden="1" customHeight="1">
      <c r="B587" s="85" t="str">
        <f>'[6]PLANILHA ORÇAMENTÁRIA'!D148</f>
        <v>14.6.1</v>
      </c>
      <c r="C587" s="1032" t="str">
        <f>'[6]PLANILHA ORÇAMENTÁRIA'!E148</f>
        <v>CONJUNTO DE BANCOS, TAMPO EM CONCRETO SIMPLES, DESEMPOLADA H=5OCM, 40CM E 30CM</v>
      </c>
      <c r="D587" s="1032"/>
      <c r="E587" s="1032"/>
      <c r="F587" s="1032"/>
      <c r="G587" s="1032"/>
      <c r="H587" s="1032"/>
      <c r="I587" s="1032"/>
      <c r="J587" s="1032"/>
      <c r="K587" s="294" t="str">
        <f>'[6]PLANILHA ORÇAMENTÁRIA'!F148</f>
        <v>CJ</v>
      </c>
      <c r="L587" s="295">
        <f>K590</f>
        <v>1</v>
      </c>
    </row>
    <row r="588" spans="2:12" hidden="1">
      <c r="B588" s="301"/>
      <c r="C588" s="983" t="s">
        <v>20</v>
      </c>
      <c r="D588" s="983"/>
      <c r="E588" s="983"/>
      <c r="F588" s="87" t="s">
        <v>22</v>
      </c>
      <c r="G588" s="279" t="s">
        <v>111</v>
      </c>
      <c r="H588" s="87" t="s">
        <v>112</v>
      </c>
      <c r="I588" s="279" t="s">
        <v>113</v>
      </c>
      <c r="J588" s="279" t="s">
        <v>114</v>
      </c>
      <c r="K588" s="89" t="s">
        <v>25</v>
      </c>
      <c r="L588" s="90"/>
    </row>
    <row r="589" spans="2:12" hidden="1">
      <c r="B589" s="301"/>
      <c r="C589" s="1028" t="s">
        <v>192</v>
      </c>
      <c r="D589" s="1028"/>
      <c r="E589" s="1028"/>
      <c r="F589" s="91">
        <v>1</v>
      </c>
      <c r="G589" s="91"/>
      <c r="H589" s="91"/>
      <c r="I589" s="91"/>
      <c r="J589" s="91"/>
      <c r="K589" s="296">
        <f>PRODUCT(F589:I589)</f>
        <v>1</v>
      </c>
      <c r="L589" s="90"/>
    </row>
    <row r="590" spans="2:12" hidden="1">
      <c r="B590" s="301"/>
      <c r="C590" s="987" t="s">
        <v>116</v>
      </c>
      <c r="D590" s="987"/>
      <c r="E590" s="987"/>
      <c r="F590" s="987"/>
      <c r="G590" s="987"/>
      <c r="H590" s="987"/>
      <c r="I590" s="987"/>
      <c r="J590" s="987"/>
      <c r="K590" s="298">
        <f>SUM(K589:K589)</f>
        <v>1</v>
      </c>
      <c r="L590" s="90"/>
    </row>
    <row r="591" spans="2:12" ht="15" hidden="1" customHeight="1">
      <c r="B591" s="219"/>
      <c r="C591" s="219"/>
      <c r="D591" s="219"/>
      <c r="E591" s="219"/>
      <c r="F591" s="219"/>
      <c r="G591" s="219"/>
      <c r="H591" s="219"/>
      <c r="I591" s="219"/>
      <c r="J591" s="219"/>
      <c r="K591" s="219"/>
      <c r="L591" s="219"/>
    </row>
    <row r="592" spans="2:12" hidden="1">
      <c r="B592" s="292" t="str">
        <f>'[6]PLANILHA ORÇAMENTÁRIA'!D149</f>
        <v>14.7</v>
      </c>
      <c r="C592" s="1093" t="str">
        <f>'[6]PLANILHA ORÇAMENTÁRIA'!E149</f>
        <v>PRANCHAS PARA EXERCICIOS ABDOMINAIS</v>
      </c>
      <c r="D592" s="1093"/>
      <c r="E592" s="1093"/>
      <c r="F592" s="1093"/>
      <c r="G592" s="1093"/>
      <c r="H592" s="1093"/>
      <c r="I592" s="1093"/>
      <c r="J592" s="1093"/>
      <c r="K592" s="293"/>
      <c r="L592" s="293"/>
    </row>
    <row r="593" spans="2:12" ht="26.25" hidden="1" customHeight="1">
      <c r="B593" s="85" t="str">
        <f>'[6]PLANILHA ORÇAMENTÁRIA'!D150</f>
        <v>14.7.1</v>
      </c>
      <c r="C593" s="1032" t="str">
        <f>'[6]PLANILHA ORÇAMENTÁRIA'!E150</f>
        <v>CONJUNTO DE PRANCHAS P/ EXERCICIOS ABDOMINAIS, TAMPO EM CONCRETO SIMPLES, DESEMPOLADA H=80CM, H=5OCM E 40CM</v>
      </c>
      <c r="D593" s="1032"/>
      <c r="E593" s="1032"/>
      <c r="F593" s="1032"/>
      <c r="G593" s="1032"/>
      <c r="H593" s="1032"/>
      <c r="I593" s="1032"/>
      <c r="J593" s="1032"/>
      <c r="K593" s="294" t="str">
        <f>'[6]PLANILHA ORÇAMENTÁRIA'!F150</f>
        <v>CJ</v>
      </c>
      <c r="L593" s="295">
        <f>K596</f>
        <v>1</v>
      </c>
    </row>
    <row r="594" spans="2:12" hidden="1">
      <c r="B594" s="301"/>
      <c r="C594" s="983" t="s">
        <v>20</v>
      </c>
      <c r="D594" s="983"/>
      <c r="E594" s="983"/>
      <c r="F594" s="87" t="s">
        <v>22</v>
      </c>
      <c r="G594" s="279" t="s">
        <v>111</v>
      </c>
      <c r="H594" s="87" t="s">
        <v>112</v>
      </c>
      <c r="I594" s="279" t="s">
        <v>113</v>
      </c>
      <c r="J594" s="279" t="s">
        <v>114</v>
      </c>
      <c r="K594" s="89" t="s">
        <v>25</v>
      </c>
      <c r="L594" s="90"/>
    </row>
    <row r="595" spans="2:12" hidden="1">
      <c r="B595" s="301"/>
      <c r="C595" s="1028" t="s">
        <v>193</v>
      </c>
      <c r="D595" s="1028"/>
      <c r="E595" s="1028"/>
      <c r="F595" s="91">
        <v>1</v>
      </c>
      <c r="G595" s="91"/>
      <c r="H595" s="91"/>
      <c r="I595" s="91"/>
      <c r="J595" s="91"/>
      <c r="K595" s="296">
        <f>PRODUCT(F595:I595)</f>
        <v>1</v>
      </c>
      <c r="L595" s="90"/>
    </row>
    <row r="596" spans="2:12" hidden="1">
      <c r="B596" s="301"/>
      <c r="C596" s="987" t="s">
        <v>116</v>
      </c>
      <c r="D596" s="987"/>
      <c r="E596" s="987"/>
      <c r="F596" s="987"/>
      <c r="G596" s="987"/>
      <c r="H596" s="987"/>
      <c r="I596" s="987"/>
      <c r="J596" s="987"/>
      <c r="K596" s="298">
        <f>SUM(K595:K595)</f>
        <v>1</v>
      </c>
      <c r="L596" s="90"/>
    </row>
    <row r="597" spans="2:12" hidden="1">
      <c r="B597" s="301"/>
      <c r="C597" s="211"/>
      <c r="D597" s="211"/>
      <c r="E597" s="211"/>
      <c r="F597" s="211"/>
      <c r="G597" s="211"/>
      <c r="H597" s="211"/>
      <c r="I597" s="211"/>
      <c r="J597" s="211"/>
      <c r="K597" s="299"/>
      <c r="L597" s="90"/>
    </row>
    <row r="598" spans="2:12" hidden="1">
      <c r="B598" s="301"/>
      <c r="C598" s="211"/>
      <c r="D598" s="211"/>
      <c r="E598" s="211"/>
      <c r="F598" s="211"/>
      <c r="G598" s="211"/>
      <c r="H598" s="211"/>
      <c r="I598" s="211"/>
      <c r="J598" s="211"/>
      <c r="K598" s="212"/>
      <c r="L598" s="90"/>
    </row>
    <row r="599" spans="2:12" ht="15" hidden="1" customHeight="1">
      <c r="B599" s="85" t="str">
        <f>'[6]PLANILHA ORÇAMENTÁRIA'!D153</f>
        <v>15.2</v>
      </c>
      <c r="C599" s="1032" t="str">
        <f>'[6]PLANILHA ORÇAMENTÁRIA'!E153</f>
        <v>BARRA DE APOIO RETA, EM ACO INOX POLIDO, COMPRIMENTO 60CM, DIAMETRO MINIMO 3CM</v>
      </c>
      <c r="D599" s="1032"/>
      <c r="E599" s="1032"/>
      <c r="F599" s="1032"/>
      <c r="G599" s="1032"/>
      <c r="H599" s="1032"/>
      <c r="I599" s="1032"/>
      <c r="J599" s="1032"/>
      <c r="K599" s="294" t="str">
        <f>'[6]PLANILHA ORÇAMENTÁRIA'!F153</f>
        <v>UND</v>
      </c>
      <c r="L599" s="295">
        <f>K603</f>
        <v>2</v>
      </c>
    </row>
    <row r="600" spans="2:12" hidden="1">
      <c r="B600" s="301"/>
      <c r="C600" s="1018" t="s">
        <v>20</v>
      </c>
      <c r="D600" s="1019"/>
      <c r="E600" s="1020"/>
      <c r="F600" s="87" t="s">
        <v>22</v>
      </c>
      <c r="G600" s="279" t="s">
        <v>111</v>
      </c>
      <c r="H600" s="279" t="s">
        <v>114</v>
      </c>
      <c r="I600" s="279" t="s">
        <v>113</v>
      </c>
      <c r="J600" s="279" t="s">
        <v>136</v>
      </c>
      <c r="K600" s="89" t="s">
        <v>25</v>
      </c>
      <c r="L600" s="90"/>
    </row>
    <row r="601" spans="2:12" ht="15" hidden="1" customHeight="1">
      <c r="B601" s="301"/>
      <c r="C601" s="984" t="s">
        <v>170</v>
      </c>
      <c r="D601" s="985"/>
      <c r="E601" s="986"/>
      <c r="F601" s="91">
        <v>1</v>
      </c>
      <c r="G601" s="91"/>
      <c r="H601" s="91"/>
      <c r="I601" s="91"/>
      <c r="J601" s="91"/>
      <c r="K601" s="282">
        <f>F601</f>
        <v>1</v>
      </c>
      <c r="L601" s="90"/>
    </row>
    <row r="602" spans="2:12" ht="15" hidden="1" customHeight="1">
      <c r="B602" s="301"/>
      <c r="C602" s="984" t="s">
        <v>194</v>
      </c>
      <c r="D602" s="985"/>
      <c r="E602" s="986"/>
      <c r="F602" s="91">
        <v>1</v>
      </c>
      <c r="G602" s="91"/>
      <c r="H602" s="91"/>
      <c r="I602" s="91"/>
      <c r="J602" s="91"/>
      <c r="K602" s="282">
        <f>F602</f>
        <v>1</v>
      </c>
      <c r="L602" s="90"/>
    </row>
    <row r="603" spans="2:12" hidden="1">
      <c r="B603" s="301"/>
      <c r="C603" s="1014" t="s">
        <v>116</v>
      </c>
      <c r="D603" s="1015"/>
      <c r="E603" s="1015"/>
      <c r="F603" s="1015"/>
      <c r="G603" s="1015"/>
      <c r="H603" s="1015"/>
      <c r="I603" s="1015"/>
      <c r="J603" s="1016"/>
      <c r="K603" s="89">
        <f>SUM(K601:K602)</f>
        <v>2</v>
      </c>
      <c r="L603" s="90"/>
    </row>
    <row r="604" spans="2:12" hidden="1">
      <c r="B604" s="301"/>
      <c r="C604" s="211"/>
      <c r="D604" s="211"/>
      <c r="E604" s="211"/>
      <c r="F604" s="211"/>
      <c r="G604" s="211"/>
      <c r="H604" s="211"/>
      <c r="I604" s="211"/>
      <c r="J604" s="211"/>
      <c r="K604" s="212"/>
      <c r="L604" s="90"/>
    </row>
    <row r="605" spans="2:12" ht="15" hidden="1" customHeight="1">
      <c r="B605" s="85" t="str">
        <f>'[6]PLANILHA ORÇAMENTÁRIA'!D154</f>
        <v>15.3</v>
      </c>
      <c r="C605" s="1032" t="str">
        <f>'[6]PLANILHA ORÇAMENTÁRIA'!E154</f>
        <v>PRATELEIRA EM CONCRETO ARMADO, LARGURA = 40CM, ESP= 5CM, REVESTIDA COM CERAMICA.</v>
      </c>
      <c r="D605" s="1032"/>
      <c r="E605" s="1032"/>
      <c r="F605" s="1032"/>
      <c r="G605" s="1032"/>
      <c r="H605" s="1032"/>
      <c r="I605" s="1032"/>
      <c r="J605" s="1032"/>
      <c r="K605" s="294" t="str">
        <f>'[6]PLANILHA ORÇAMENTÁRIA'!F154</f>
        <v>M</v>
      </c>
      <c r="L605" s="295">
        <f>K608</f>
        <v>12.6</v>
      </c>
    </row>
    <row r="606" spans="2:12" hidden="1">
      <c r="B606" s="301"/>
      <c r="C606" s="1018" t="s">
        <v>20</v>
      </c>
      <c r="D606" s="1019"/>
      <c r="E606" s="1020"/>
      <c r="F606" s="87" t="s">
        <v>22</v>
      </c>
      <c r="G606" s="279" t="s">
        <v>111</v>
      </c>
      <c r="H606" s="279" t="s">
        <v>114</v>
      </c>
      <c r="I606" s="279" t="s">
        <v>113</v>
      </c>
      <c r="J606" s="279" t="s">
        <v>136</v>
      </c>
      <c r="K606" s="89" t="s">
        <v>25</v>
      </c>
      <c r="L606" s="90"/>
    </row>
    <row r="607" spans="2:12" hidden="1">
      <c r="B607" s="301"/>
      <c r="C607" s="984" t="s">
        <v>167</v>
      </c>
      <c r="D607" s="985"/>
      <c r="E607" s="986"/>
      <c r="F607" s="91">
        <v>3</v>
      </c>
      <c r="G607" s="91"/>
      <c r="H607" s="91"/>
      <c r="I607" s="91">
        <v>4.2</v>
      </c>
      <c r="J607" s="91"/>
      <c r="K607" s="282">
        <f>TRUNC((I607*F607),2)</f>
        <v>12.6</v>
      </c>
      <c r="L607" s="90"/>
    </row>
    <row r="608" spans="2:12" hidden="1">
      <c r="B608" s="301"/>
      <c r="C608" s="1014" t="s">
        <v>116</v>
      </c>
      <c r="D608" s="1015"/>
      <c r="E608" s="1015"/>
      <c r="F608" s="1015"/>
      <c r="G608" s="1015"/>
      <c r="H608" s="1015"/>
      <c r="I608" s="1015"/>
      <c r="J608" s="1016"/>
      <c r="K608" s="89">
        <f>SUM(K607:K607)</f>
        <v>12.6</v>
      </c>
      <c r="L608" s="90"/>
    </row>
    <row r="609" spans="2:12" hidden="1">
      <c r="B609" s="301"/>
      <c r="C609" s="211"/>
      <c r="D609" s="211"/>
      <c r="E609" s="211"/>
      <c r="F609" s="211"/>
      <c r="G609" s="211"/>
      <c r="H609" s="211"/>
      <c r="I609" s="211"/>
      <c r="J609" s="211"/>
      <c r="K609" s="212"/>
      <c r="L609" s="90"/>
    </row>
    <row r="610" spans="2:12">
      <c r="B610" s="292" t="s">
        <v>31</v>
      </c>
      <c r="C610" s="1093" t="s">
        <v>34</v>
      </c>
      <c r="D610" s="1093"/>
      <c r="E610" s="1093"/>
      <c r="F610" s="1093"/>
      <c r="G610" s="1093"/>
      <c r="H610" s="1093"/>
      <c r="I610" s="1093"/>
      <c r="J610" s="1093"/>
      <c r="K610" s="293"/>
      <c r="L610" s="293"/>
    </row>
    <row r="611" spans="2:12">
      <c r="B611" s="219"/>
      <c r="C611" s="219"/>
      <c r="D611" s="219"/>
      <c r="E611" s="219"/>
      <c r="F611" s="219"/>
      <c r="G611" s="219"/>
      <c r="H611" s="219"/>
      <c r="I611" s="219"/>
      <c r="J611" s="219"/>
      <c r="K611" s="219"/>
      <c r="L611" s="219"/>
    </row>
    <row r="612" spans="2:12">
      <c r="B612" s="90"/>
      <c r="C612" s="90"/>
      <c r="D612" s="90"/>
      <c r="E612" s="90"/>
      <c r="F612" s="90"/>
      <c r="G612" s="90"/>
      <c r="H612" s="90"/>
      <c r="I612" s="90"/>
      <c r="J612" s="90"/>
      <c r="K612" s="90"/>
      <c r="L612" s="90"/>
    </row>
    <row r="613" spans="2:12" ht="15" customHeight="1">
      <c r="B613" s="301" t="s">
        <v>1332</v>
      </c>
      <c r="C613" s="980" t="str">
        <f>'ESCOLA PASCOAL'!C24</f>
        <v>APLICAÇÃO MANUAL DE PINTURA COM TINTA LÁTEX ACRÍLICA EM PAREDES, DUAS DEMÃOS. AF_06/2014</v>
      </c>
      <c r="D613" s="981"/>
      <c r="E613" s="981"/>
      <c r="F613" s="981"/>
      <c r="G613" s="981"/>
      <c r="H613" s="981"/>
      <c r="I613" s="981"/>
      <c r="J613" s="982"/>
      <c r="K613" s="97" t="s">
        <v>7</v>
      </c>
      <c r="L613" s="97">
        <f>K616</f>
        <v>826.54999999999984</v>
      </c>
    </row>
    <row r="614" spans="2:12">
      <c r="B614" s="301"/>
      <c r="C614" s="983" t="s">
        <v>20</v>
      </c>
      <c r="D614" s="983"/>
      <c r="E614" s="983"/>
      <c r="F614" s="87" t="s">
        <v>22</v>
      </c>
      <c r="G614" s="279" t="s">
        <v>111</v>
      </c>
      <c r="H614" s="87" t="s">
        <v>112</v>
      </c>
      <c r="I614" s="279" t="s">
        <v>113</v>
      </c>
      <c r="J614" s="279" t="s">
        <v>114</v>
      </c>
      <c r="K614" s="89" t="s">
        <v>25</v>
      </c>
      <c r="L614" s="90"/>
    </row>
    <row r="615" spans="2:12">
      <c r="B615" s="301"/>
      <c r="C615" s="984" t="s">
        <v>690</v>
      </c>
      <c r="D615" s="985"/>
      <c r="E615" s="986"/>
      <c r="F615" s="91">
        <v>2</v>
      </c>
      <c r="G615" s="91">
        <v>1.5</v>
      </c>
      <c r="H615" s="91">
        <v>1</v>
      </c>
      <c r="I615" s="91">
        <f>SUM(32.75+15.3+5.15+8+27+7.3+32.75+32.75+7.3+6.22+3.9+14.45+3.9+18.7+18.7+6.7+6.7+20.6+20.6+7.9+7.9)</f>
        <v>304.56999999999994</v>
      </c>
      <c r="J615" s="91">
        <f>SUM(3.78+6.3+1.26+3.3+5.04+8.4+4.5+3.3+0.6+22.68+24+4)</f>
        <v>87.16</v>
      </c>
      <c r="K615" s="354">
        <f>(F615*G615*H615*I615)-J615</f>
        <v>826.54999999999984</v>
      </c>
      <c r="L615" s="90"/>
    </row>
    <row r="616" spans="2:12">
      <c r="B616" s="301"/>
      <c r="C616" s="987" t="s">
        <v>116</v>
      </c>
      <c r="D616" s="987"/>
      <c r="E616" s="987"/>
      <c r="F616" s="987"/>
      <c r="G616" s="987"/>
      <c r="H616" s="987"/>
      <c r="I616" s="987"/>
      <c r="J616" s="987"/>
      <c r="K616" s="89">
        <f>SUM(K615:K615)</f>
        <v>826.54999999999984</v>
      </c>
      <c r="L616" s="90"/>
    </row>
    <row r="617" spans="2:12">
      <c r="B617" s="301"/>
      <c r="C617" s="211"/>
      <c r="D617" s="211"/>
      <c r="E617" s="211"/>
      <c r="F617" s="211"/>
      <c r="G617" s="211"/>
      <c r="H617" s="211"/>
      <c r="I617" s="211"/>
      <c r="J617" s="211"/>
      <c r="K617" s="212"/>
      <c r="L617" s="90"/>
    </row>
    <row r="618" spans="2:12" ht="28.5" customHeight="1">
      <c r="B618" s="301" t="s">
        <v>1333</v>
      </c>
      <c r="C618" s="980" t="s">
        <v>38</v>
      </c>
      <c r="D618" s="981"/>
      <c r="E618" s="981"/>
      <c r="F618" s="981"/>
      <c r="G618" s="981"/>
      <c r="H618" s="981"/>
      <c r="I618" s="981"/>
      <c r="J618" s="982"/>
      <c r="K618" s="97" t="s">
        <v>7</v>
      </c>
      <c r="L618" s="97">
        <f>K621</f>
        <v>852.79599999999982</v>
      </c>
    </row>
    <row r="619" spans="2:12">
      <c r="B619" s="301"/>
      <c r="C619" s="983" t="s">
        <v>20</v>
      </c>
      <c r="D619" s="983"/>
      <c r="E619" s="983"/>
      <c r="F619" s="87" t="s">
        <v>22</v>
      </c>
      <c r="G619" s="279" t="s">
        <v>111</v>
      </c>
      <c r="H619" s="87" t="s">
        <v>112</v>
      </c>
      <c r="I619" s="279" t="s">
        <v>113</v>
      </c>
      <c r="J619" s="279" t="s">
        <v>114</v>
      </c>
      <c r="K619" s="89" t="s">
        <v>25</v>
      </c>
      <c r="L619" s="90"/>
    </row>
    <row r="620" spans="2:12" ht="26.25" customHeight="1">
      <c r="B620" s="301"/>
      <c r="C620" s="984" t="s">
        <v>692</v>
      </c>
      <c r="D620" s="985"/>
      <c r="E620" s="986"/>
      <c r="F620" s="91">
        <v>1</v>
      </c>
      <c r="G620" s="91">
        <v>2.8</v>
      </c>
      <c r="H620" s="91">
        <v>1</v>
      </c>
      <c r="I620" s="91">
        <f>SUM(32.75+15.3+5.15+8+27+7.3+32.75+32.75+7.3+6.22+3.9+14.45+3.9+18.7+18.7+6.7+6.7+20.6+20.6+7.9+7.9)</f>
        <v>304.56999999999994</v>
      </c>
      <c r="J620" s="91">
        <v>0</v>
      </c>
      <c r="K620" s="354">
        <f>(F620*G620*H620*I620)-J620</f>
        <v>852.79599999999982</v>
      </c>
      <c r="L620" s="90"/>
    </row>
    <row r="621" spans="2:12">
      <c r="B621" s="301"/>
      <c r="C621" s="987" t="s">
        <v>116</v>
      </c>
      <c r="D621" s="987"/>
      <c r="E621" s="987"/>
      <c r="F621" s="987"/>
      <c r="G621" s="987"/>
      <c r="H621" s="987"/>
      <c r="I621" s="987"/>
      <c r="J621" s="987"/>
      <c r="K621" s="89">
        <f>SUM(K620:K620)</f>
        <v>852.79599999999982</v>
      </c>
      <c r="L621" s="90"/>
    </row>
    <row r="622" spans="2:12">
      <c r="B622" s="219"/>
      <c r="C622" s="219"/>
      <c r="D622" s="219"/>
      <c r="E622" s="219"/>
      <c r="F622" s="219"/>
      <c r="G622" s="219"/>
      <c r="H622" s="219"/>
      <c r="I622" s="219"/>
      <c r="J622" s="219"/>
      <c r="K622" s="219"/>
      <c r="L622" s="219"/>
    </row>
    <row r="623" spans="2:12" ht="27" customHeight="1">
      <c r="B623" s="301" t="s">
        <v>1334</v>
      </c>
      <c r="C623" s="980" t="s">
        <v>666</v>
      </c>
      <c r="D623" s="981"/>
      <c r="E623" s="981"/>
      <c r="F623" s="981"/>
      <c r="G623" s="981"/>
      <c r="H623" s="981"/>
      <c r="I623" s="981"/>
      <c r="J623" s="982"/>
      <c r="K623" s="97" t="s">
        <v>7</v>
      </c>
      <c r="L623" s="97">
        <f>K626</f>
        <v>730.96799999999985</v>
      </c>
    </row>
    <row r="624" spans="2:12">
      <c r="B624" s="301"/>
      <c r="C624" s="983" t="s">
        <v>20</v>
      </c>
      <c r="D624" s="983"/>
      <c r="E624" s="983"/>
      <c r="F624" s="87" t="s">
        <v>22</v>
      </c>
      <c r="G624" s="279" t="s">
        <v>111</v>
      </c>
      <c r="H624" s="87" t="s">
        <v>112</v>
      </c>
      <c r="I624" s="279" t="s">
        <v>113</v>
      </c>
      <c r="J624" s="279" t="s">
        <v>114</v>
      </c>
      <c r="K624" s="89" t="s">
        <v>25</v>
      </c>
      <c r="L624" s="90"/>
    </row>
    <row r="625" spans="2:12" ht="20.25" customHeight="1">
      <c r="B625" s="301"/>
      <c r="C625" s="984" t="s">
        <v>691</v>
      </c>
      <c r="D625" s="985"/>
      <c r="E625" s="986"/>
      <c r="F625" s="91">
        <v>2</v>
      </c>
      <c r="G625" s="91">
        <v>1.2</v>
      </c>
      <c r="H625" s="91">
        <v>1</v>
      </c>
      <c r="I625" s="91">
        <f>SUM(32.75+15.3+5.15+8+27+7.3+32.75+32.75+7.3+6.22+3.9+14.45+3.9+18.7+18.7+6.7+6.7+20.6+20.6+7.9+7.9)</f>
        <v>304.56999999999994</v>
      </c>
      <c r="J625" s="91">
        <v>0</v>
      </c>
      <c r="K625" s="354">
        <f>(F625*G625*H625*I625)-J625</f>
        <v>730.96799999999985</v>
      </c>
      <c r="L625" s="90"/>
    </row>
    <row r="626" spans="2:12">
      <c r="B626" s="301"/>
      <c r="C626" s="987" t="s">
        <v>116</v>
      </c>
      <c r="D626" s="987"/>
      <c r="E626" s="987"/>
      <c r="F626" s="987"/>
      <c r="G626" s="987"/>
      <c r="H626" s="987"/>
      <c r="I626" s="987"/>
      <c r="J626" s="987"/>
      <c r="K626" s="89">
        <f>K625</f>
        <v>730.96799999999985</v>
      </c>
      <c r="L626" s="90"/>
    </row>
    <row r="627" spans="2:12">
      <c r="B627" s="301"/>
      <c r="C627" s="211"/>
      <c r="D627" s="211"/>
      <c r="E627" s="211"/>
      <c r="F627" s="211"/>
      <c r="G627" s="211"/>
      <c r="H627" s="211"/>
      <c r="I627" s="211"/>
      <c r="J627" s="211"/>
      <c r="K627" s="212"/>
      <c r="L627" s="90"/>
    </row>
    <row r="628" spans="2:12">
      <c r="B628" s="301" t="s">
        <v>1335</v>
      </c>
      <c r="C628" s="980" t="s">
        <v>40</v>
      </c>
      <c r="D628" s="981"/>
      <c r="E628" s="981"/>
      <c r="F628" s="981"/>
      <c r="G628" s="981"/>
      <c r="H628" s="981"/>
      <c r="I628" s="981"/>
      <c r="J628" s="982"/>
      <c r="K628" s="97" t="s">
        <v>7</v>
      </c>
      <c r="L628" s="97">
        <f>K631</f>
        <v>25</v>
      </c>
    </row>
    <row r="629" spans="2:12">
      <c r="B629" s="301"/>
      <c r="C629" s="983" t="s">
        <v>20</v>
      </c>
      <c r="D629" s="983"/>
      <c r="E629" s="983"/>
      <c r="F629" s="87" t="s">
        <v>22</v>
      </c>
      <c r="G629" s="279" t="s">
        <v>111</v>
      </c>
      <c r="H629" s="87" t="s">
        <v>112</v>
      </c>
      <c r="I629" s="279" t="s">
        <v>113</v>
      </c>
      <c r="J629" s="279" t="s">
        <v>114</v>
      </c>
      <c r="K629" s="89" t="s">
        <v>25</v>
      </c>
      <c r="L629" s="90"/>
    </row>
    <row r="630" spans="2:12" ht="15" customHeight="1">
      <c r="B630" s="301"/>
      <c r="C630" s="984" t="s">
        <v>338</v>
      </c>
      <c r="D630" s="985"/>
      <c r="E630" s="986"/>
      <c r="F630" s="91">
        <v>1</v>
      </c>
      <c r="G630" s="91">
        <v>1</v>
      </c>
      <c r="H630" s="91">
        <v>5</v>
      </c>
      <c r="I630" s="91">
        <v>5</v>
      </c>
      <c r="J630" s="91">
        <v>0</v>
      </c>
      <c r="K630" s="354">
        <f>(F630*G630*H630*I630)-J630</f>
        <v>25</v>
      </c>
      <c r="L630" s="90"/>
    </row>
    <row r="631" spans="2:12">
      <c r="B631" s="301"/>
      <c r="C631" s="987" t="s">
        <v>116</v>
      </c>
      <c r="D631" s="987"/>
      <c r="E631" s="987"/>
      <c r="F631" s="987"/>
      <c r="G631" s="987"/>
      <c r="H631" s="987"/>
      <c r="I631" s="987"/>
      <c r="J631" s="987"/>
      <c r="K631" s="89">
        <f>SUM(K630)</f>
        <v>25</v>
      </c>
      <c r="L631" s="90"/>
    </row>
    <row r="632" spans="2:12">
      <c r="B632" s="355"/>
      <c r="C632" s="211"/>
      <c r="D632" s="211"/>
      <c r="E632" s="211"/>
      <c r="F632" s="211"/>
      <c r="G632" s="211"/>
      <c r="H632" s="211"/>
      <c r="I632" s="211"/>
      <c r="J632" s="211"/>
      <c r="K632" s="212"/>
      <c r="L632" s="90"/>
    </row>
    <row r="633" spans="2:12" ht="30" customHeight="1">
      <c r="B633" s="355" t="s">
        <v>1336</v>
      </c>
      <c r="C633" s="980" t="s">
        <v>41</v>
      </c>
      <c r="D633" s="981"/>
      <c r="E633" s="981"/>
      <c r="F633" s="981"/>
      <c r="G633" s="981"/>
      <c r="H633" s="981"/>
      <c r="I633" s="981"/>
      <c r="J633" s="982"/>
      <c r="K633" s="97" t="s">
        <v>7</v>
      </c>
      <c r="L633" s="97">
        <f>K636</f>
        <v>84</v>
      </c>
    </row>
    <row r="634" spans="2:12">
      <c r="B634" s="355"/>
      <c r="C634" s="983" t="s">
        <v>20</v>
      </c>
      <c r="D634" s="983"/>
      <c r="E634" s="983"/>
      <c r="F634" s="87" t="s">
        <v>22</v>
      </c>
      <c r="G634" s="352" t="s">
        <v>111</v>
      </c>
      <c r="H634" s="87" t="s">
        <v>112</v>
      </c>
      <c r="I634" s="352" t="s">
        <v>113</v>
      </c>
      <c r="J634" s="352" t="s">
        <v>114</v>
      </c>
      <c r="K634" s="89" t="s">
        <v>25</v>
      </c>
      <c r="L634" s="90"/>
    </row>
    <row r="635" spans="2:12">
      <c r="B635" s="355"/>
      <c r="C635" s="984" t="s">
        <v>693</v>
      </c>
      <c r="D635" s="985"/>
      <c r="E635" s="986"/>
      <c r="F635" s="91">
        <v>1</v>
      </c>
      <c r="G635" s="91">
        <v>2.1</v>
      </c>
      <c r="H635" s="91">
        <v>40</v>
      </c>
      <c r="I635" s="91">
        <v>1</v>
      </c>
      <c r="J635" s="91">
        <v>0</v>
      </c>
      <c r="K635" s="354">
        <f>(F635*G635*H635*I635)-J635</f>
        <v>84</v>
      </c>
      <c r="L635" s="90"/>
    </row>
    <row r="636" spans="2:12">
      <c r="B636" s="355"/>
      <c r="C636" s="987" t="s">
        <v>116</v>
      </c>
      <c r="D636" s="987"/>
      <c r="E636" s="987"/>
      <c r="F636" s="987"/>
      <c r="G636" s="987"/>
      <c r="H636" s="987"/>
      <c r="I636" s="987"/>
      <c r="J636" s="987"/>
      <c r="K636" s="89">
        <f>SUM(K635)</f>
        <v>84</v>
      </c>
      <c r="L636" s="90"/>
    </row>
    <row r="637" spans="2:12">
      <c r="B637" s="355"/>
      <c r="C637" s="211"/>
      <c r="D637" s="211"/>
      <c r="E637" s="211"/>
      <c r="F637" s="211"/>
      <c r="G637" s="211"/>
      <c r="H637" s="211"/>
      <c r="I637" s="211"/>
      <c r="J637" s="211"/>
      <c r="K637" s="212"/>
      <c r="L637" s="90"/>
    </row>
    <row r="638" spans="2:12">
      <c r="B638" s="355" t="s">
        <v>1337</v>
      </c>
      <c r="C638" s="980" t="s">
        <v>343</v>
      </c>
      <c r="D638" s="981"/>
      <c r="E638" s="981"/>
      <c r="F638" s="981"/>
      <c r="G638" s="981"/>
      <c r="H638" s="981"/>
      <c r="I638" s="981"/>
      <c r="J638" s="982"/>
      <c r="K638" s="97" t="s">
        <v>7</v>
      </c>
      <c r="L638" s="97">
        <f>K641</f>
        <v>1582.52</v>
      </c>
    </row>
    <row r="639" spans="2:12">
      <c r="B639" s="355"/>
      <c r="C639" s="983" t="s">
        <v>20</v>
      </c>
      <c r="D639" s="983"/>
      <c r="E639" s="983"/>
      <c r="F639" s="87" t="s">
        <v>22</v>
      </c>
      <c r="G639" s="352" t="s">
        <v>111</v>
      </c>
      <c r="H639" s="87" t="s">
        <v>112</v>
      </c>
      <c r="I639" s="352" t="s">
        <v>113</v>
      </c>
      <c r="J639" s="352" t="s">
        <v>114</v>
      </c>
      <c r="K639" s="89" t="s">
        <v>25</v>
      </c>
      <c r="L639" s="90"/>
    </row>
    <row r="640" spans="2:12">
      <c r="B640" s="355"/>
      <c r="C640" s="984" t="s">
        <v>615</v>
      </c>
      <c r="D640" s="985"/>
      <c r="E640" s="986"/>
      <c r="F640" s="91">
        <v>1582.52</v>
      </c>
      <c r="G640" s="91">
        <v>1</v>
      </c>
      <c r="H640" s="91">
        <v>1</v>
      </c>
      <c r="I640" s="91">
        <v>1</v>
      </c>
      <c r="J640" s="91">
        <v>0</v>
      </c>
      <c r="K640" s="354">
        <f>(F640*G640*H640*I640)-J640</f>
        <v>1582.52</v>
      </c>
      <c r="L640" s="90"/>
    </row>
    <row r="641" spans="2:12">
      <c r="B641" s="355"/>
      <c r="C641" s="987" t="s">
        <v>116</v>
      </c>
      <c r="D641" s="987"/>
      <c r="E641" s="987"/>
      <c r="F641" s="987"/>
      <c r="G641" s="987"/>
      <c r="H641" s="987"/>
      <c r="I641" s="987"/>
      <c r="J641" s="987"/>
      <c r="K641" s="89">
        <f>SUM(K640)</f>
        <v>1582.52</v>
      </c>
      <c r="L641" s="90"/>
    </row>
    <row r="642" spans="2:12">
      <c r="B642" s="355"/>
      <c r="C642" s="211"/>
      <c r="D642" s="211"/>
      <c r="E642" s="211"/>
      <c r="F642" s="211"/>
      <c r="G642" s="211"/>
      <c r="H642" s="211"/>
      <c r="I642" s="211"/>
      <c r="J642" s="211"/>
      <c r="K642" s="212"/>
      <c r="L642" s="90"/>
    </row>
    <row r="643" spans="2:12" ht="35.25" customHeight="1">
      <c r="B643" s="355" t="s">
        <v>1338</v>
      </c>
      <c r="C643" s="980" t="s">
        <v>619</v>
      </c>
      <c r="D643" s="981"/>
      <c r="E643" s="981"/>
      <c r="F643" s="981"/>
      <c r="G643" s="981"/>
      <c r="H643" s="981"/>
      <c r="I643" s="981"/>
      <c r="J643" s="982"/>
      <c r="K643" s="97" t="s">
        <v>7</v>
      </c>
      <c r="L643" s="97">
        <f>K646</f>
        <v>90</v>
      </c>
    </row>
    <row r="644" spans="2:12">
      <c r="B644" s="355"/>
      <c r="C644" s="983" t="s">
        <v>20</v>
      </c>
      <c r="D644" s="983"/>
      <c r="E644" s="983"/>
      <c r="F644" s="87" t="s">
        <v>22</v>
      </c>
      <c r="G644" s="352" t="s">
        <v>111</v>
      </c>
      <c r="H644" s="87" t="s">
        <v>112</v>
      </c>
      <c r="I644" s="352" t="s">
        <v>113</v>
      </c>
      <c r="J644" s="352" t="s">
        <v>114</v>
      </c>
      <c r="K644" s="89" t="s">
        <v>25</v>
      </c>
      <c r="L644" s="90"/>
    </row>
    <row r="645" spans="2:12">
      <c r="B645" s="355"/>
      <c r="C645" s="984" t="s">
        <v>694</v>
      </c>
      <c r="D645" s="985"/>
      <c r="E645" s="986"/>
      <c r="F645" s="91">
        <v>30</v>
      </c>
      <c r="G645" s="91">
        <v>2.5</v>
      </c>
      <c r="H645" s="91">
        <v>1.2</v>
      </c>
      <c r="I645" s="91">
        <v>1</v>
      </c>
      <c r="J645" s="91">
        <v>0</v>
      </c>
      <c r="K645" s="354">
        <f>(F645*G645*H645*I645)-J645</f>
        <v>90</v>
      </c>
      <c r="L645" s="90"/>
    </row>
    <row r="646" spans="2:12">
      <c r="B646" s="355"/>
      <c r="C646" s="987" t="s">
        <v>116</v>
      </c>
      <c r="D646" s="987"/>
      <c r="E646" s="987"/>
      <c r="F646" s="987"/>
      <c r="G646" s="987"/>
      <c r="H646" s="987"/>
      <c r="I646" s="987"/>
      <c r="J646" s="987"/>
      <c r="K646" s="89">
        <f>SUM(K645)</f>
        <v>90</v>
      </c>
      <c r="L646" s="90"/>
    </row>
    <row r="647" spans="2:12">
      <c r="B647" s="355"/>
      <c r="C647" s="211"/>
      <c r="D647" s="211"/>
      <c r="E647" s="211"/>
      <c r="F647" s="211"/>
      <c r="G647" s="211"/>
      <c r="H647" s="211"/>
      <c r="I647" s="211"/>
      <c r="J647" s="211"/>
      <c r="K647" s="212"/>
      <c r="L647" s="90"/>
    </row>
    <row r="648" spans="2:12">
      <c r="B648" s="292" t="s">
        <v>79</v>
      </c>
      <c r="C648" s="1093" t="s">
        <v>43</v>
      </c>
      <c r="D648" s="1093"/>
      <c r="E648" s="1093"/>
      <c r="F648" s="1093"/>
      <c r="G648" s="1093"/>
      <c r="H648" s="1093"/>
      <c r="I648" s="1093"/>
      <c r="J648" s="1093"/>
      <c r="K648" s="293"/>
      <c r="L648" s="293"/>
    </row>
    <row r="649" spans="2:12">
      <c r="B649" s="355"/>
      <c r="C649" s="211"/>
      <c r="D649" s="211"/>
      <c r="E649" s="211"/>
      <c r="F649" s="211"/>
      <c r="G649" s="211"/>
      <c r="H649" s="211"/>
      <c r="I649" s="211"/>
      <c r="J649" s="211"/>
      <c r="K649" s="212"/>
      <c r="L649" s="90"/>
    </row>
    <row r="650" spans="2:12" ht="26.25" customHeight="1">
      <c r="B650" s="301" t="s">
        <v>1340</v>
      </c>
      <c r="C650" s="980" t="str">
        <f>'ESCOLA MUNICIPAL DE QUEBEC E Q'!C36</f>
        <v>CHAPISCO APLICADO EM ALVENARIAS E ESTRUTURAS DE CONCRETO INTERNAS, COM COLHER DE PEDREIRO.  ARGAMASSA TRAÇO 1:3 COM PREPARO MANUAL. AF_06/2014</v>
      </c>
      <c r="D650" s="981"/>
      <c r="E650" s="981"/>
      <c r="F650" s="981"/>
      <c r="G650" s="981"/>
      <c r="H650" s="981"/>
      <c r="I650" s="981"/>
      <c r="J650" s="982"/>
      <c r="K650" s="97" t="s">
        <v>7</v>
      </c>
      <c r="L650" s="97">
        <f>K653</f>
        <v>84</v>
      </c>
    </row>
    <row r="651" spans="2:12">
      <c r="B651" s="301"/>
      <c r="C651" s="983" t="s">
        <v>20</v>
      </c>
      <c r="D651" s="983"/>
      <c r="E651" s="983"/>
      <c r="F651" s="87" t="s">
        <v>22</v>
      </c>
      <c r="G651" s="279" t="s">
        <v>111</v>
      </c>
      <c r="H651" s="87" t="s">
        <v>112</v>
      </c>
      <c r="I651" s="279" t="s">
        <v>113</v>
      </c>
      <c r="J651" s="279" t="s">
        <v>114</v>
      </c>
      <c r="K651" s="89" t="s">
        <v>25</v>
      </c>
      <c r="L651" s="90"/>
    </row>
    <row r="652" spans="2:12" ht="15" customHeight="1">
      <c r="B652" s="301"/>
      <c r="C652" s="984" t="s">
        <v>678</v>
      </c>
      <c r="D652" s="985"/>
      <c r="E652" s="986"/>
      <c r="F652" s="91">
        <v>1</v>
      </c>
      <c r="G652" s="91">
        <v>2.1</v>
      </c>
      <c r="H652" s="91">
        <v>1</v>
      </c>
      <c r="I652" s="91">
        <v>40</v>
      </c>
      <c r="J652" s="91">
        <v>0</v>
      </c>
      <c r="K652" s="89">
        <f>(G652*H652*I652*F652)-J652</f>
        <v>84</v>
      </c>
      <c r="L652" s="90"/>
    </row>
    <row r="653" spans="2:12">
      <c r="B653" s="301"/>
      <c r="C653" s="987" t="s">
        <v>116</v>
      </c>
      <c r="D653" s="987"/>
      <c r="E653" s="987"/>
      <c r="F653" s="987"/>
      <c r="G653" s="987"/>
      <c r="H653" s="987"/>
      <c r="I653" s="987"/>
      <c r="J653" s="987"/>
      <c r="K653" s="89">
        <f>SUM(K652:K652)</f>
        <v>84</v>
      </c>
      <c r="L653" s="90"/>
    </row>
    <row r="654" spans="2:12">
      <c r="B654" s="90"/>
      <c r="C654" s="90"/>
      <c r="D654" s="90"/>
      <c r="E654" s="90"/>
      <c r="F654" s="90"/>
      <c r="G654" s="90"/>
      <c r="H654" s="90"/>
      <c r="I654" s="90"/>
      <c r="J654" s="90"/>
      <c r="K654" s="90"/>
      <c r="L654" s="90"/>
    </row>
    <row r="655" spans="2:12" ht="37.5" customHeight="1">
      <c r="B655" s="301" t="s">
        <v>1341</v>
      </c>
      <c r="C655" s="980" t="s">
        <v>48</v>
      </c>
      <c r="D655" s="981"/>
      <c r="E655" s="981"/>
      <c r="F655" s="981"/>
      <c r="G655" s="981"/>
      <c r="H655" s="981"/>
      <c r="I655" s="981"/>
      <c r="J655" s="982"/>
      <c r="K655" s="97" t="s">
        <v>7</v>
      </c>
      <c r="L655" s="97">
        <f>K658</f>
        <v>84</v>
      </c>
    </row>
    <row r="656" spans="2:12">
      <c r="B656" s="301"/>
      <c r="C656" s="983" t="s">
        <v>20</v>
      </c>
      <c r="D656" s="983"/>
      <c r="E656" s="983"/>
      <c r="F656" s="87" t="s">
        <v>22</v>
      </c>
      <c r="G656" s="279" t="s">
        <v>111</v>
      </c>
      <c r="H656" s="87" t="s">
        <v>112</v>
      </c>
      <c r="I656" s="279" t="s">
        <v>113</v>
      </c>
      <c r="J656" s="279" t="s">
        <v>114</v>
      </c>
      <c r="K656" s="89" t="s">
        <v>25</v>
      </c>
      <c r="L656" s="90"/>
    </row>
    <row r="657" spans="1:12">
      <c r="B657" s="301"/>
      <c r="C657" s="984" t="s">
        <v>678</v>
      </c>
      <c r="D657" s="985"/>
      <c r="E657" s="986"/>
      <c r="F657" s="91">
        <v>1</v>
      </c>
      <c r="G657" s="91">
        <v>2.1</v>
      </c>
      <c r="H657" s="91">
        <v>1</v>
      </c>
      <c r="I657" s="91">
        <v>40</v>
      </c>
      <c r="J657" s="91">
        <v>0</v>
      </c>
      <c r="K657" s="89">
        <f>(G657*H657*I657*F657)-J657</f>
        <v>84</v>
      </c>
      <c r="L657" s="90"/>
    </row>
    <row r="658" spans="1:12">
      <c r="B658" s="301"/>
      <c r="C658" s="987" t="s">
        <v>116</v>
      </c>
      <c r="D658" s="987"/>
      <c r="E658" s="987"/>
      <c r="F658" s="987"/>
      <c r="G658" s="987"/>
      <c r="H658" s="987"/>
      <c r="I658" s="987"/>
      <c r="J658" s="987"/>
      <c r="K658" s="89">
        <f>SUM(K657:K657)</f>
        <v>84</v>
      </c>
      <c r="L658" s="90"/>
    </row>
    <row r="659" spans="1:12">
      <c r="A659" s="82"/>
      <c r="B659" s="90"/>
      <c r="C659" s="90"/>
      <c r="D659" s="90"/>
      <c r="E659" s="90"/>
      <c r="F659" s="90"/>
      <c r="G659" s="90"/>
      <c r="H659" s="90"/>
      <c r="I659" s="90"/>
      <c r="J659" s="90"/>
      <c r="K659" s="90"/>
      <c r="L659" s="90"/>
    </row>
    <row r="660" spans="1:12" ht="39.75" customHeight="1">
      <c r="B660" s="301" t="s">
        <v>1342</v>
      </c>
      <c r="C660" s="980" t="s">
        <v>51</v>
      </c>
      <c r="D660" s="981"/>
      <c r="E660" s="981"/>
      <c r="F660" s="981"/>
      <c r="G660" s="981"/>
      <c r="H660" s="981"/>
      <c r="I660" s="981"/>
      <c r="J660" s="982"/>
      <c r="K660" s="97" t="s">
        <v>7</v>
      </c>
      <c r="L660" s="97">
        <f>K663</f>
        <v>32</v>
      </c>
    </row>
    <row r="661" spans="1:12">
      <c r="B661" s="301"/>
      <c r="C661" s="983" t="s">
        <v>20</v>
      </c>
      <c r="D661" s="983"/>
      <c r="E661" s="983"/>
      <c r="F661" s="87" t="s">
        <v>22</v>
      </c>
      <c r="G661" s="279" t="s">
        <v>111</v>
      </c>
      <c r="H661" s="87" t="s">
        <v>112</v>
      </c>
      <c r="I661" s="279" t="s">
        <v>113</v>
      </c>
      <c r="J661" s="279" t="s">
        <v>114</v>
      </c>
      <c r="K661" s="89" t="s">
        <v>25</v>
      </c>
      <c r="L661" s="90"/>
    </row>
    <row r="662" spans="1:12">
      <c r="B662" s="355"/>
      <c r="C662" s="1018" t="s">
        <v>680</v>
      </c>
      <c r="D662" s="1019"/>
      <c r="E662" s="1020"/>
      <c r="F662" s="87">
        <v>8</v>
      </c>
      <c r="G662" s="352">
        <v>1</v>
      </c>
      <c r="H662" s="87">
        <v>2</v>
      </c>
      <c r="I662" s="352">
        <v>2</v>
      </c>
      <c r="J662" s="352">
        <v>0</v>
      </c>
      <c r="K662" s="89">
        <f>(G662*H662*I662*F662)-J662</f>
        <v>32</v>
      </c>
      <c r="L662" s="90"/>
    </row>
    <row r="663" spans="1:12">
      <c r="B663" s="301"/>
      <c r="C663" s="987" t="s">
        <v>116</v>
      </c>
      <c r="D663" s="987"/>
      <c r="E663" s="987"/>
      <c r="F663" s="987"/>
      <c r="G663" s="987"/>
      <c r="H663" s="987"/>
      <c r="I663" s="987"/>
      <c r="J663" s="987"/>
      <c r="K663" s="89">
        <f>SUM(K662)</f>
        <v>32</v>
      </c>
      <c r="L663" s="90"/>
    </row>
    <row r="664" spans="1:12">
      <c r="B664" s="219"/>
      <c r="C664" s="219"/>
      <c r="D664" s="219"/>
      <c r="E664" s="219"/>
      <c r="F664" s="219"/>
      <c r="G664" s="219"/>
      <c r="H664" s="219"/>
      <c r="I664" s="219"/>
      <c r="J664" s="219"/>
      <c r="K664" s="219"/>
      <c r="L664" s="219"/>
    </row>
    <row r="665" spans="1:12">
      <c r="B665" s="292" t="s">
        <v>196</v>
      </c>
      <c r="C665" s="1093" t="s">
        <v>53</v>
      </c>
      <c r="D665" s="1093"/>
      <c r="E665" s="1093"/>
      <c r="F665" s="1093"/>
      <c r="G665" s="1093"/>
      <c r="H665" s="1093"/>
      <c r="I665" s="1093"/>
      <c r="J665" s="1093"/>
      <c r="K665" s="293"/>
      <c r="L665" s="293"/>
    </row>
    <row r="666" spans="1:12">
      <c r="B666" s="90"/>
      <c r="C666" s="90"/>
      <c r="D666" s="90"/>
      <c r="E666" s="90"/>
      <c r="F666" s="90"/>
      <c r="G666" s="90"/>
      <c r="H666" s="90"/>
      <c r="I666" s="90"/>
      <c r="J666" s="90"/>
      <c r="K666" s="90"/>
      <c r="L666" s="90"/>
    </row>
    <row r="667" spans="1:12" ht="33" customHeight="1">
      <c r="B667" s="301" t="s">
        <v>1343</v>
      </c>
      <c r="C667" s="980" t="s">
        <v>86</v>
      </c>
      <c r="D667" s="981"/>
      <c r="E667" s="981"/>
      <c r="F667" s="981"/>
      <c r="G667" s="981"/>
      <c r="H667" s="981"/>
      <c r="I667" s="981"/>
      <c r="J667" s="982"/>
      <c r="K667" s="97" t="s">
        <v>21</v>
      </c>
      <c r="L667" s="97">
        <f>K670</f>
        <v>10</v>
      </c>
    </row>
    <row r="668" spans="1:12">
      <c r="B668" s="301"/>
      <c r="C668" s="983" t="s">
        <v>20</v>
      </c>
      <c r="D668" s="983"/>
      <c r="E668" s="983"/>
      <c r="F668" s="87" t="s">
        <v>22</v>
      </c>
      <c r="G668" s="279" t="s">
        <v>111</v>
      </c>
      <c r="H668" s="87" t="s">
        <v>112</v>
      </c>
      <c r="I668" s="279" t="s">
        <v>113</v>
      </c>
      <c r="J668" s="279" t="s">
        <v>114</v>
      </c>
      <c r="K668" s="89" t="s">
        <v>25</v>
      </c>
      <c r="L668" s="90"/>
    </row>
    <row r="669" spans="1:12">
      <c r="B669" s="301"/>
      <c r="C669" s="984" t="s">
        <v>458</v>
      </c>
      <c r="D669" s="985"/>
      <c r="E669" s="986"/>
      <c r="F669" s="91">
        <v>10</v>
      </c>
      <c r="G669" s="91">
        <v>0</v>
      </c>
      <c r="H669" s="91">
        <v>0</v>
      </c>
      <c r="I669" s="91">
        <v>0</v>
      </c>
      <c r="J669" s="91">
        <v>0</v>
      </c>
      <c r="K669" s="89">
        <f>F669</f>
        <v>10</v>
      </c>
      <c r="L669" s="90"/>
    </row>
    <row r="670" spans="1:12">
      <c r="B670" s="301"/>
      <c r="C670" s="987" t="s">
        <v>116</v>
      </c>
      <c r="D670" s="987"/>
      <c r="E670" s="987"/>
      <c r="F670" s="987"/>
      <c r="G670" s="987"/>
      <c r="H670" s="987"/>
      <c r="I670" s="987"/>
      <c r="J670" s="987"/>
      <c r="K670" s="89">
        <f>K669</f>
        <v>10</v>
      </c>
      <c r="L670" s="90"/>
    </row>
    <row r="671" spans="1:12" ht="15" customHeight="1">
      <c r="B671" s="90"/>
      <c r="C671" s="90"/>
      <c r="D671" s="90"/>
      <c r="E671" s="90"/>
      <c r="F671" s="90"/>
      <c r="G671" s="90"/>
      <c r="H671" s="90"/>
      <c r="I671" s="90"/>
      <c r="J671" s="90"/>
      <c r="K671" s="90"/>
      <c r="L671" s="90"/>
    </row>
    <row r="672" spans="1:12">
      <c r="B672" s="90"/>
      <c r="C672" s="90"/>
      <c r="D672" s="90"/>
      <c r="E672" s="90"/>
      <c r="F672" s="90"/>
      <c r="G672" s="90"/>
      <c r="H672" s="90"/>
      <c r="I672" s="90"/>
      <c r="J672" s="90"/>
      <c r="K672" s="90"/>
      <c r="L672" s="90"/>
    </row>
    <row r="673" spans="2:12" ht="30" customHeight="1">
      <c r="B673" s="301" t="s">
        <v>1344</v>
      </c>
      <c r="C673" s="980" t="s">
        <v>580</v>
      </c>
      <c r="D673" s="981"/>
      <c r="E673" s="981"/>
      <c r="F673" s="981"/>
      <c r="G673" s="981"/>
      <c r="H673" s="981"/>
      <c r="I673" s="981"/>
      <c r="J673" s="982"/>
      <c r="K673" s="97" t="s">
        <v>7</v>
      </c>
      <c r="L673" s="97">
        <f>K676</f>
        <v>5</v>
      </c>
    </row>
    <row r="674" spans="2:12">
      <c r="B674" s="301"/>
      <c r="C674" s="983" t="s">
        <v>20</v>
      </c>
      <c r="D674" s="983"/>
      <c r="E674" s="983"/>
      <c r="F674" s="87" t="s">
        <v>22</v>
      </c>
      <c r="G674" s="279" t="s">
        <v>111</v>
      </c>
      <c r="H674" s="87" t="s">
        <v>112</v>
      </c>
      <c r="I674" s="279" t="s">
        <v>113</v>
      </c>
      <c r="J674" s="279" t="s">
        <v>114</v>
      </c>
      <c r="K674" s="89" t="s">
        <v>25</v>
      </c>
      <c r="L674" s="90"/>
    </row>
    <row r="675" spans="2:12">
      <c r="B675" s="301"/>
      <c r="C675" s="984" t="s">
        <v>237</v>
      </c>
      <c r="D675" s="985"/>
      <c r="E675" s="986"/>
      <c r="F675" s="91">
        <v>5</v>
      </c>
      <c r="G675" s="91">
        <v>0</v>
      </c>
      <c r="H675" s="91">
        <v>0</v>
      </c>
      <c r="I675" s="91">
        <v>0</v>
      </c>
      <c r="J675" s="91">
        <v>0</v>
      </c>
      <c r="K675" s="89">
        <f>F675</f>
        <v>5</v>
      </c>
      <c r="L675" s="90"/>
    </row>
    <row r="676" spans="2:12">
      <c r="B676" s="301"/>
      <c r="C676" s="987" t="s">
        <v>116</v>
      </c>
      <c r="D676" s="987"/>
      <c r="E676" s="987"/>
      <c r="F676" s="987"/>
      <c r="G676" s="987"/>
      <c r="H676" s="987"/>
      <c r="I676" s="987"/>
      <c r="J676" s="987"/>
      <c r="K676" s="89">
        <f>SUM(K675:K675)</f>
        <v>5</v>
      </c>
      <c r="L676" s="90"/>
    </row>
    <row r="677" spans="2:12">
      <c r="B677" s="301"/>
      <c r="C677" s="211"/>
      <c r="D677" s="211"/>
      <c r="E677" s="211"/>
      <c r="F677" s="211"/>
      <c r="G677" s="211"/>
      <c r="H677" s="211"/>
      <c r="I677" s="211"/>
      <c r="J677" s="211"/>
      <c r="K677" s="212"/>
      <c r="L677" s="90"/>
    </row>
    <row r="678" spans="2:12" ht="15" customHeight="1">
      <c r="B678" s="301"/>
      <c r="C678" s="211"/>
      <c r="D678" s="211"/>
      <c r="E678" s="211"/>
      <c r="F678" s="211"/>
      <c r="G678" s="211"/>
      <c r="H678" s="211"/>
      <c r="I678" s="211"/>
      <c r="J678" s="211"/>
      <c r="K678" s="212"/>
      <c r="L678" s="90"/>
    </row>
    <row r="679" spans="2:12">
      <c r="B679" s="301" t="s">
        <v>1345</v>
      </c>
      <c r="C679" s="980" t="s">
        <v>98</v>
      </c>
      <c r="D679" s="981"/>
      <c r="E679" s="981"/>
      <c r="F679" s="981"/>
      <c r="G679" s="981"/>
      <c r="H679" s="981"/>
      <c r="I679" s="981"/>
      <c r="J679" s="982"/>
      <c r="K679" s="97" t="s">
        <v>7</v>
      </c>
      <c r="L679" s="97">
        <f>K682</f>
        <v>18.900000000000002</v>
      </c>
    </row>
    <row r="680" spans="2:12">
      <c r="B680" s="301"/>
      <c r="C680" s="983" t="s">
        <v>20</v>
      </c>
      <c r="D680" s="983"/>
      <c r="E680" s="983"/>
      <c r="F680" s="87" t="s">
        <v>22</v>
      </c>
      <c r="G680" s="279" t="s">
        <v>111</v>
      </c>
      <c r="H680" s="87" t="s">
        <v>112</v>
      </c>
      <c r="I680" s="279" t="s">
        <v>113</v>
      </c>
      <c r="J680" s="279" t="s">
        <v>114</v>
      </c>
      <c r="K680" s="89" t="s">
        <v>25</v>
      </c>
      <c r="L680" s="90"/>
    </row>
    <row r="681" spans="2:12">
      <c r="B681" s="301"/>
      <c r="C681" s="984" t="s">
        <v>681</v>
      </c>
      <c r="D681" s="985"/>
      <c r="E681" s="986"/>
      <c r="F681" s="91">
        <v>10</v>
      </c>
      <c r="G681" s="91">
        <v>2.1</v>
      </c>
      <c r="H681" s="91">
        <v>0.9</v>
      </c>
      <c r="I681" s="91">
        <v>1</v>
      </c>
      <c r="J681" s="91">
        <v>0</v>
      </c>
      <c r="K681" s="89">
        <f>(G681*H681*I681*F681)-J681</f>
        <v>18.900000000000002</v>
      </c>
      <c r="L681" s="90"/>
    </row>
    <row r="682" spans="2:12">
      <c r="B682" s="301"/>
      <c r="C682" s="987" t="s">
        <v>116</v>
      </c>
      <c r="D682" s="987"/>
      <c r="E682" s="987"/>
      <c r="F682" s="987"/>
      <c r="G682" s="987"/>
      <c r="H682" s="987"/>
      <c r="I682" s="987"/>
      <c r="J682" s="987"/>
      <c r="K682" s="89">
        <f>SUM(K681:K681)</f>
        <v>18.900000000000002</v>
      </c>
      <c r="L682" s="90"/>
    </row>
    <row r="683" spans="2:12">
      <c r="B683" s="301"/>
      <c r="C683" s="211"/>
      <c r="D683" s="211"/>
      <c r="E683" s="211"/>
      <c r="F683" s="211"/>
      <c r="G683" s="211"/>
      <c r="H683" s="211"/>
      <c r="I683" s="211"/>
      <c r="J683" s="211"/>
      <c r="K683" s="212"/>
      <c r="L683" s="90"/>
    </row>
    <row r="684" spans="2:12">
      <c r="B684" s="301" t="s">
        <v>1346</v>
      </c>
      <c r="C684" s="980" t="s">
        <v>99</v>
      </c>
      <c r="D684" s="981"/>
      <c r="E684" s="981"/>
      <c r="F684" s="981"/>
      <c r="G684" s="981"/>
      <c r="H684" s="981"/>
      <c r="I684" s="981"/>
      <c r="J684" s="982"/>
      <c r="K684" s="97" t="s">
        <v>7</v>
      </c>
      <c r="L684" s="97">
        <f>K687</f>
        <v>42</v>
      </c>
    </row>
    <row r="685" spans="2:12">
      <c r="B685" s="301"/>
      <c r="C685" s="983" t="s">
        <v>20</v>
      </c>
      <c r="D685" s="983"/>
      <c r="E685" s="983"/>
      <c r="F685" s="87" t="s">
        <v>22</v>
      </c>
      <c r="G685" s="279" t="s">
        <v>111</v>
      </c>
      <c r="H685" s="87" t="s">
        <v>112</v>
      </c>
      <c r="I685" s="279" t="s">
        <v>113</v>
      </c>
      <c r="J685" s="279" t="s">
        <v>114</v>
      </c>
      <c r="K685" s="89" t="s">
        <v>25</v>
      </c>
      <c r="L685" s="90"/>
    </row>
    <row r="686" spans="2:12">
      <c r="B686" s="301"/>
      <c r="C686" s="984" t="s">
        <v>684</v>
      </c>
      <c r="D686" s="985"/>
      <c r="E686" s="986"/>
      <c r="F686" s="91">
        <v>20</v>
      </c>
      <c r="G686" s="91">
        <v>2.1</v>
      </c>
      <c r="H686" s="91">
        <v>1</v>
      </c>
      <c r="I686" s="91">
        <v>1</v>
      </c>
      <c r="J686" s="91">
        <v>0</v>
      </c>
      <c r="K686" s="89">
        <f>(G686*H686*I686*F686)-J686</f>
        <v>42</v>
      </c>
      <c r="L686" s="90"/>
    </row>
    <row r="687" spans="2:12">
      <c r="B687" s="301"/>
      <c r="C687" s="987" t="s">
        <v>116</v>
      </c>
      <c r="D687" s="987"/>
      <c r="E687" s="987"/>
      <c r="F687" s="987"/>
      <c r="G687" s="987"/>
      <c r="H687" s="987"/>
      <c r="I687" s="987"/>
      <c r="J687" s="987"/>
      <c r="K687" s="89">
        <f>SUM(K686:K686)</f>
        <v>42</v>
      </c>
      <c r="L687" s="90"/>
    </row>
    <row r="688" spans="2:12">
      <c r="B688" s="219"/>
      <c r="C688" s="219"/>
      <c r="D688" s="219"/>
      <c r="E688" s="219"/>
      <c r="F688" s="219"/>
      <c r="G688" s="219"/>
      <c r="H688" s="219"/>
      <c r="I688" s="219"/>
      <c r="J688" s="219"/>
      <c r="K688" s="219"/>
      <c r="L688" s="219"/>
    </row>
    <row r="689" spans="2:12" ht="33" customHeight="1">
      <c r="B689" s="301" t="s">
        <v>1347</v>
      </c>
      <c r="C689" s="980" t="s">
        <v>434</v>
      </c>
      <c r="D689" s="981"/>
      <c r="E689" s="981"/>
      <c r="F689" s="981"/>
      <c r="G689" s="981"/>
      <c r="H689" s="981"/>
      <c r="I689" s="981"/>
      <c r="J689" s="982"/>
      <c r="K689" s="97" t="s">
        <v>7</v>
      </c>
      <c r="L689" s="97">
        <f>K692</f>
        <v>10</v>
      </c>
    </row>
    <row r="690" spans="2:12">
      <c r="B690" s="301"/>
      <c r="C690" s="983" t="s">
        <v>20</v>
      </c>
      <c r="D690" s="983"/>
      <c r="E690" s="983"/>
      <c r="F690" s="87" t="s">
        <v>22</v>
      </c>
      <c r="G690" s="279" t="s">
        <v>111</v>
      </c>
      <c r="H690" s="87" t="s">
        <v>112</v>
      </c>
      <c r="I690" s="279" t="s">
        <v>113</v>
      </c>
      <c r="J690" s="279" t="s">
        <v>114</v>
      </c>
      <c r="K690" s="89" t="s">
        <v>25</v>
      </c>
      <c r="L690" s="90"/>
    </row>
    <row r="691" spans="2:12">
      <c r="B691" s="301"/>
      <c r="C691" s="984" t="s">
        <v>458</v>
      </c>
      <c r="D691" s="985"/>
      <c r="E691" s="986"/>
      <c r="F691" s="91">
        <v>10</v>
      </c>
      <c r="G691" s="91">
        <v>1</v>
      </c>
      <c r="H691" s="91">
        <v>1</v>
      </c>
      <c r="I691" s="91">
        <v>1</v>
      </c>
      <c r="J691" s="91">
        <v>0</v>
      </c>
      <c r="K691" s="89">
        <f>(G691*H691*I691*F691)-J691</f>
        <v>10</v>
      </c>
      <c r="L691" s="90"/>
    </row>
    <row r="692" spans="2:12">
      <c r="B692" s="301"/>
      <c r="C692" s="987" t="s">
        <v>116</v>
      </c>
      <c r="D692" s="987"/>
      <c r="E692" s="987"/>
      <c r="F692" s="987"/>
      <c r="G692" s="987"/>
      <c r="H692" s="987"/>
      <c r="I692" s="987"/>
      <c r="J692" s="987"/>
      <c r="K692" s="89">
        <f>SUM(K691:K691)</f>
        <v>10</v>
      </c>
      <c r="L692" s="90"/>
    </row>
    <row r="693" spans="2:12">
      <c r="B693" s="301"/>
      <c r="C693" s="211"/>
      <c r="D693" s="211"/>
      <c r="E693" s="211"/>
      <c r="F693" s="211"/>
      <c r="G693" s="211"/>
      <c r="H693" s="211"/>
      <c r="I693" s="211"/>
      <c r="J693" s="211"/>
      <c r="K693" s="212"/>
      <c r="L693" s="90"/>
    </row>
    <row r="694" spans="2:12" ht="27" customHeight="1">
      <c r="B694" s="301" t="s">
        <v>1348</v>
      </c>
      <c r="C694" s="980" t="s">
        <v>686</v>
      </c>
      <c r="D694" s="981"/>
      <c r="E694" s="981"/>
      <c r="F694" s="981"/>
      <c r="G694" s="981"/>
      <c r="H694" s="981"/>
      <c r="I694" s="981"/>
      <c r="J694" s="982"/>
      <c r="K694" s="97" t="s">
        <v>77</v>
      </c>
      <c r="L694" s="97">
        <f>K697</f>
        <v>10</v>
      </c>
    </row>
    <row r="695" spans="2:12">
      <c r="B695" s="301"/>
      <c r="C695" s="983" t="s">
        <v>20</v>
      </c>
      <c r="D695" s="983"/>
      <c r="E695" s="983"/>
      <c r="F695" s="87" t="s">
        <v>22</v>
      </c>
      <c r="G695" s="279" t="s">
        <v>111</v>
      </c>
      <c r="H695" s="87" t="s">
        <v>112</v>
      </c>
      <c r="I695" s="279" t="s">
        <v>113</v>
      </c>
      <c r="J695" s="279" t="s">
        <v>114</v>
      </c>
      <c r="K695" s="89" t="s">
        <v>25</v>
      </c>
      <c r="L695" s="90"/>
    </row>
    <row r="696" spans="2:12">
      <c r="B696" s="301"/>
      <c r="C696" s="984" t="s">
        <v>458</v>
      </c>
      <c r="D696" s="985"/>
      <c r="E696" s="986"/>
      <c r="F696" s="91">
        <v>10</v>
      </c>
      <c r="G696" s="91">
        <v>0</v>
      </c>
      <c r="H696" s="91">
        <v>0</v>
      </c>
      <c r="I696" s="91">
        <v>0</v>
      </c>
      <c r="J696" s="91">
        <v>0</v>
      </c>
      <c r="K696" s="89">
        <f>F696</f>
        <v>10</v>
      </c>
      <c r="L696" s="90"/>
    </row>
    <row r="697" spans="2:12">
      <c r="B697" s="301"/>
      <c r="C697" s="987" t="s">
        <v>116</v>
      </c>
      <c r="D697" s="987"/>
      <c r="E697" s="987"/>
      <c r="F697" s="987"/>
      <c r="G697" s="987"/>
      <c r="H697" s="987"/>
      <c r="I697" s="987"/>
      <c r="J697" s="987"/>
      <c r="K697" s="89">
        <f>SUM(K696:K696)</f>
        <v>10</v>
      </c>
      <c r="L697" s="90"/>
    </row>
    <row r="698" spans="2:12">
      <c r="B698" s="301"/>
      <c r="C698" s="211"/>
      <c r="D698" s="211"/>
      <c r="E698" s="211"/>
      <c r="F698" s="211"/>
      <c r="G698" s="211"/>
      <c r="H698" s="211"/>
      <c r="I698" s="211"/>
      <c r="J698" s="211"/>
      <c r="K698" s="212"/>
      <c r="L698" s="90"/>
    </row>
    <row r="699" spans="2:12">
      <c r="B699" s="292" t="s">
        <v>637</v>
      </c>
      <c r="C699" s="1093" t="s">
        <v>57</v>
      </c>
      <c r="D699" s="1093"/>
      <c r="E699" s="1093"/>
      <c r="F699" s="1093"/>
      <c r="G699" s="1093"/>
      <c r="H699" s="1093"/>
      <c r="I699" s="1093"/>
      <c r="J699" s="1093"/>
      <c r="K699" s="293"/>
      <c r="L699" s="293"/>
    </row>
    <row r="700" spans="2:12">
      <c r="B700" s="1094"/>
      <c r="C700" s="1094"/>
      <c r="D700" s="1094"/>
      <c r="E700" s="1094"/>
      <c r="F700" s="1094"/>
      <c r="G700" s="1094"/>
      <c r="H700" s="1094"/>
      <c r="I700" s="1094"/>
      <c r="J700" s="1094"/>
      <c r="K700" s="1094"/>
      <c r="L700" s="1094"/>
    </row>
    <row r="701" spans="2:12" ht="29.25" customHeight="1">
      <c r="B701" s="301" t="s">
        <v>1349</v>
      </c>
      <c r="C701" s="980" t="s">
        <v>483</v>
      </c>
      <c r="D701" s="981"/>
      <c r="E701" s="981"/>
      <c r="F701" s="981"/>
      <c r="G701" s="981"/>
      <c r="H701" s="981"/>
      <c r="I701" s="981"/>
      <c r="J701" s="982"/>
      <c r="K701" s="97" t="s">
        <v>7</v>
      </c>
      <c r="L701" s="97">
        <f>K704</f>
        <v>25</v>
      </c>
    </row>
    <row r="702" spans="2:12">
      <c r="B702" s="301"/>
      <c r="C702" s="983" t="s">
        <v>20</v>
      </c>
      <c r="D702" s="983"/>
      <c r="E702" s="983"/>
      <c r="F702" s="87" t="s">
        <v>22</v>
      </c>
      <c r="G702" s="279" t="s">
        <v>111</v>
      </c>
      <c r="H702" s="87" t="s">
        <v>112</v>
      </c>
      <c r="I702" s="279" t="s">
        <v>113</v>
      </c>
      <c r="J702" s="279" t="s">
        <v>114</v>
      </c>
      <c r="K702" s="89" t="s">
        <v>25</v>
      </c>
      <c r="L702" s="90"/>
    </row>
    <row r="703" spans="2:12">
      <c r="B703" s="301"/>
      <c r="C703" s="984" t="s">
        <v>97</v>
      </c>
      <c r="D703" s="985"/>
      <c r="E703" s="986"/>
      <c r="F703" s="91">
        <v>1</v>
      </c>
      <c r="G703" s="91">
        <v>1</v>
      </c>
      <c r="H703" s="91">
        <v>5</v>
      </c>
      <c r="I703" s="91">
        <v>5</v>
      </c>
      <c r="J703" s="91">
        <v>0</v>
      </c>
      <c r="K703" s="89">
        <f>(G703*H703*I703*F703)-J703</f>
        <v>25</v>
      </c>
      <c r="L703" s="90"/>
    </row>
    <row r="704" spans="2:12">
      <c r="B704" s="301"/>
      <c r="C704" s="987" t="s">
        <v>116</v>
      </c>
      <c r="D704" s="987"/>
      <c r="E704" s="987"/>
      <c r="F704" s="987"/>
      <c r="G704" s="987"/>
      <c r="H704" s="987"/>
      <c r="I704" s="987"/>
      <c r="J704" s="987"/>
      <c r="K704" s="89">
        <f>SUM(K703:K703)</f>
        <v>25</v>
      </c>
      <c r="L704" s="90"/>
    </row>
    <row r="705" spans="2:12">
      <c r="B705" s="301"/>
      <c r="C705" s="211"/>
      <c r="D705" s="211"/>
      <c r="E705" s="211"/>
      <c r="F705" s="211"/>
      <c r="G705" s="211"/>
      <c r="H705" s="211"/>
      <c r="I705" s="211"/>
      <c r="J705" s="211"/>
      <c r="K705" s="212"/>
      <c r="L705" s="90"/>
    </row>
    <row r="706" spans="2:12">
      <c r="B706" s="301" t="s">
        <v>1350</v>
      </c>
      <c r="C706" s="980" t="s">
        <v>521</v>
      </c>
      <c r="D706" s="981"/>
      <c r="E706" s="981"/>
      <c r="F706" s="981"/>
      <c r="G706" s="981"/>
      <c r="H706" s="981"/>
      <c r="I706" s="981"/>
      <c r="J706" s="982"/>
      <c r="K706" s="97" t="s">
        <v>7</v>
      </c>
      <c r="L706" s="97">
        <f>K712</f>
        <v>119.69</v>
      </c>
    </row>
    <row r="707" spans="2:12">
      <c r="B707" s="301"/>
      <c r="C707" s="983" t="s">
        <v>20</v>
      </c>
      <c r="D707" s="983"/>
      <c r="E707" s="983"/>
      <c r="F707" s="87" t="s">
        <v>22</v>
      </c>
      <c r="G707" s="279" t="s">
        <v>111</v>
      </c>
      <c r="H707" s="87" t="s">
        <v>112</v>
      </c>
      <c r="I707" s="279" t="s">
        <v>113</v>
      </c>
      <c r="J707" s="279" t="s">
        <v>114</v>
      </c>
      <c r="K707" s="89" t="s">
        <v>25</v>
      </c>
      <c r="L707" s="90"/>
    </row>
    <row r="708" spans="2:12">
      <c r="B708" s="301"/>
      <c r="C708" s="984" t="s">
        <v>494</v>
      </c>
      <c r="D708" s="985"/>
      <c r="E708" s="986"/>
      <c r="F708" s="91">
        <v>1</v>
      </c>
      <c r="G708" s="91">
        <v>1</v>
      </c>
      <c r="H708" s="91">
        <v>3.5</v>
      </c>
      <c r="I708" s="91">
        <v>6.7</v>
      </c>
      <c r="J708" s="91">
        <v>0</v>
      </c>
      <c r="K708" s="89">
        <f>(G708*H708*I708*F708)-J708</f>
        <v>23.45</v>
      </c>
      <c r="L708" s="90"/>
    </row>
    <row r="709" spans="2:12">
      <c r="B709" s="301"/>
      <c r="C709" s="984" t="s">
        <v>494</v>
      </c>
      <c r="D709" s="985"/>
      <c r="E709" s="986"/>
      <c r="F709" s="91">
        <v>1</v>
      </c>
      <c r="G709" s="91">
        <v>1</v>
      </c>
      <c r="H709" s="91">
        <v>4</v>
      </c>
      <c r="I709" s="91">
        <v>6.7</v>
      </c>
      <c r="J709" s="91">
        <v>0</v>
      </c>
      <c r="K709" s="89">
        <f>(G709*H709*I709*F709)-J709</f>
        <v>26.8</v>
      </c>
      <c r="L709" s="90"/>
    </row>
    <row r="710" spans="2:12">
      <c r="B710" s="301"/>
      <c r="C710" s="984" t="s">
        <v>494</v>
      </c>
      <c r="D710" s="985"/>
      <c r="E710" s="986"/>
      <c r="F710" s="91">
        <v>1</v>
      </c>
      <c r="G710" s="91">
        <v>1</v>
      </c>
      <c r="H710" s="91">
        <v>3.2</v>
      </c>
      <c r="I710" s="91">
        <v>6.7</v>
      </c>
      <c r="J710" s="91">
        <v>0</v>
      </c>
      <c r="K710" s="89">
        <f>(G710*H710*I710*F710)-J710</f>
        <v>21.44</v>
      </c>
      <c r="L710" s="90"/>
    </row>
    <row r="711" spans="2:12">
      <c r="B711" s="301"/>
      <c r="C711" s="984" t="s">
        <v>494</v>
      </c>
      <c r="D711" s="985"/>
      <c r="E711" s="986"/>
      <c r="F711" s="91">
        <v>1</v>
      </c>
      <c r="G711" s="91">
        <v>1</v>
      </c>
      <c r="H711" s="91">
        <v>6</v>
      </c>
      <c r="I711" s="91">
        <v>8</v>
      </c>
      <c r="J711" s="91">
        <v>0</v>
      </c>
      <c r="K711" s="89">
        <f>(G711*H711*I711*F711)-J711</f>
        <v>48</v>
      </c>
      <c r="L711" s="90"/>
    </row>
    <row r="712" spans="2:12">
      <c r="B712" s="301"/>
      <c r="C712" s="987" t="s">
        <v>116</v>
      </c>
      <c r="D712" s="987"/>
      <c r="E712" s="987"/>
      <c r="F712" s="987"/>
      <c r="G712" s="987"/>
      <c r="H712" s="987"/>
      <c r="I712" s="987"/>
      <c r="J712" s="987"/>
      <c r="K712" s="89">
        <f>SUM(K708:K711)</f>
        <v>119.69</v>
      </c>
      <c r="L712" s="90"/>
    </row>
    <row r="713" spans="2:12">
      <c r="B713" s="301"/>
      <c r="C713" s="302"/>
      <c r="D713" s="303"/>
      <c r="E713" s="303"/>
      <c r="F713" s="303"/>
      <c r="G713" s="303"/>
      <c r="H713" s="303"/>
      <c r="I713" s="303"/>
      <c r="J713" s="304"/>
      <c r="K713" s="89"/>
      <c r="L713" s="90"/>
    </row>
    <row r="714" spans="2:12" ht="26.25" customHeight="1">
      <c r="B714" s="301" t="s">
        <v>1351</v>
      </c>
      <c r="C714" s="980" t="s">
        <v>60</v>
      </c>
      <c r="D714" s="981"/>
      <c r="E714" s="981"/>
      <c r="F714" s="981"/>
      <c r="G714" s="981"/>
      <c r="H714" s="981"/>
      <c r="I714" s="981"/>
      <c r="J714" s="982"/>
      <c r="K714" s="97" t="s">
        <v>7</v>
      </c>
      <c r="L714" s="97">
        <f>K717</f>
        <v>1265</v>
      </c>
    </row>
    <row r="715" spans="2:12">
      <c r="B715" s="301"/>
      <c r="C715" s="983" t="s">
        <v>20</v>
      </c>
      <c r="D715" s="983"/>
      <c r="E715" s="983"/>
      <c r="F715" s="87" t="s">
        <v>22</v>
      </c>
      <c r="G715" s="279" t="s">
        <v>111</v>
      </c>
      <c r="H715" s="87" t="s">
        <v>112</v>
      </c>
      <c r="I715" s="279" t="s">
        <v>113</v>
      </c>
      <c r="J715" s="279" t="s">
        <v>114</v>
      </c>
      <c r="K715" s="89" t="s">
        <v>25</v>
      </c>
      <c r="L715" s="90"/>
    </row>
    <row r="716" spans="2:12">
      <c r="B716" s="301"/>
      <c r="C716" s="984" t="s">
        <v>594</v>
      </c>
      <c r="D716" s="985"/>
      <c r="E716" s="986"/>
      <c r="F716" s="91">
        <v>1265</v>
      </c>
      <c r="G716" s="91">
        <v>1</v>
      </c>
      <c r="H716" s="91">
        <v>1</v>
      </c>
      <c r="I716" s="91">
        <v>1</v>
      </c>
      <c r="J716" s="91">
        <v>0</v>
      </c>
      <c r="K716" s="89">
        <f>(G716*H716*I716*F716)-J716</f>
        <v>1265</v>
      </c>
      <c r="L716" s="90"/>
    </row>
    <row r="717" spans="2:12">
      <c r="B717" s="301"/>
      <c r="C717" s="987" t="s">
        <v>116</v>
      </c>
      <c r="D717" s="987"/>
      <c r="E717" s="987"/>
      <c r="F717" s="987"/>
      <c r="G717" s="987"/>
      <c r="H717" s="987"/>
      <c r="I717" s="987"/>
      <c r="J717" s="987"/>
      <c r="K717" s="89">
        <f>K716</f>
        <v>1265</v>
      </c>
      <c r="L717" s="90"/>
    </row>
    <row r="718" spans="2:12">
      <c r="B718" s="219"/>
      <c r="C718" s="219"/>
      <c r="D718" s="219"/>
      <c r="E718" s="219"/>
      <c r="F718" s="219"/>
      <c r="G718" s="219"/>
      <c r="H718" s="219"/>
      <c r="I718" s="219"/>
      <c r="J718" s="219"/>
      <c r="K718" s="219"/>
      <c r="L718" s="219"/>
    </row>
    <row r="719" spans="2:12">
      <c r="B719" s="301"/>
      <c r="C719" s="211"/>
      <c r="D719" s="211"/>
      <c r="E719" s="211"/>
      <c r="F719" s="211"/>
      <c r="G719" s="211"/>
      <c r="H719" s="211"/>
      <c r="I719" s="211"/>
      <c r="J719" s="211"/>
      <c r="K719" s="212"/>
      <c r="L719" s="90"/>
    </row>
    <row r="720" spans="2:12">
      <c r="B720" s="292" t="s">
        <v>755</v>
      </c>
      <c r="C720" s="1093" t="s">
        <v>63</v>
      </c>
      <c r="D720" s="1093"/>
      <c r="E720" s="1093"/>
      <c r="F720" s="1093"/>
      <c r="G720" s="1093"/>
      <c r="H720" s="1093"/>
      <c r="I720" s="1093"/>
      <c r="J720" s="1093"/>
      <c r="K720" s="293"/>
      <c r="L720" s="293"/>
    </row>
    <row r="721" spans="2:12">
      <c r="B721" s="219"/>
      <c r="C721" s="219"/>
      <c r="D721" s="219"/>
      <c r="E721" s="219"/>
      <c r="F721" s="219"/>
      <c r="G721" s="219"/>
      <c r="H721" s="219"/>
      <c r="I721" s="219"/>
      <c r="J721" s="219"/>
      <c r="K721" s="219"/>
      <c r="L721" s="219"/>
    </row>
    <row r="722" spans="2:12">
      <c r="B722" s="301" t="s">
        <v>1352</v>
      </c>
      <c r="C722" s="980" t="s">
        <v>470</v>
      </c>
      <c r="D722" s="981"/>
      <c r="E722" s="981"/>
      <c r="F722" s="981"/>
      <c r="G722" s="981"/>
      <c r="H722" s="981"/>
      <c r="I722" s="981"/>
      <c r="J722" s="982"/>
      <c r="K722" s="97" t="s">
        <v>21</v>
      </c>
      <c r="L722" s="97">
        <f>K725</f>
        <v>10</v>
      </c>
    </row>
    <row r="723" spans="2:12">
      <c r="B723" s="301"/>
      <c r="C723" s="1018" t="s">
        <v>20</v>
      </c>
      <c r="D723" s="1019"/>
      <c r="E723" s="1020"/>
      <c r="F723" s="87" t="s">
        <v>22</v>
      </c>
      <c r="G723" s="279" t="s">
        <v>111</v>
      </c>
      <c r="H723" s="87" t="s">
        <v>112</v>
      </c>
      <c r="I723" s="279" t="s">
        <v>113</v>
      </c>
      <c r="J723" s="279" t="s">
        <v>114</v>
      </c>
      <c r="K723" s="89" t="s">
        <v>25</v>
      </c>
      <c r="L723" s="90"/>
    </row>
    <row r="724" spans="2:12">
      <c r="B724" s="301"/>
      <c r="C724" s="984" t="s">
        <v>237</v>
      </c>
      <c r="D724" s="985"/>
      <c r="E724" s="986"/>
      <c r="F724" s="91">
        <v>10</v>
      </c>
      <c r="G724" s="91">
        <v>0</v>
      </c>
      <c r="H724" s="91">
        <v>0</v>
      </c>
      <c r="I724" s="91">
        <v>0</v>
      </c>
      <c r="J724" s="91">
        <v>0</v>
      </c>
      <c r="K724" s="89">
        <f>F724</f>
        <v>10</v>
      </c>
      <c r="L724" s="90"/>
    </row>
    <row r="725" spans="2:12">
      <c r="B725" s="301"/>
      <c r="C725" s="1014" t="s">
        <v>116</v>
      </c>
      <c r="D725" s="1015"/>
      <c r="E725" s="1015"/>
      <c r="F725" s="1015"/>
      <c r="G725" s="1015"/>
      <c r="H725" s="1015"/>
      <c r="I725" s="1015"/>
      <c r="J725" s="1016"/>
      <c r="K725" s="89">
        <f>K724</f>
        <v>10</v>
      </c>
      <c r="L725" s="90"/>
    </row>
    <row r="726" spans="2:12">
      <c r="B726" s="219"/>
      <c r="C726" s="219"/>
      <c r="D726" s="219"/>
      <c r="E726" s="219"/>
      <c r="F726" s="219"/>
      <c r="G726" s="219"/>
      <c r="H726" s="219"/>
      <c r="I726" s="219"/>
      <c r="J726" s="219"/>
      <c r="K726" s="219"/>
      <c r="L726" s="219"/>
    </row>
    <row r="727" spans="2:12">
      <c r="B727" s="301" t="s">
        <v>1353</v>
      </c>
      <c r="C727" s="1024" t="s">
        <v>586</v>
      </c>
      <c r="D727" s="1025"/>
      <c r="E727" s="1025"/>
      <c r="F727" s="1025"/>
      <c r="G727" s="1025"/>
      <c r="H727" s="1025"/>
      <c r="I727" s="1025"/>
      <c r="J727" s="1026"/>
      <c r="K727" s="97" t="s">
        <v>21</v>
      </c>
      <c r="L727" s="97">
        <f>K730</f>
        <v>10</v>
      </c>
    </row>
    <row r="728" spans="2:12">
      <c r="B728" s="301"/>
      <c r="C728" s="1018" t="s">
        <v>20</v>
      </c>
      <c r="D728" s="1019"/>
      <c r="E728" s="1020"/>
      <c r="F728" s="87" t="s">
        <v>22</v>
      </c>
      <c r="G728" s="279" t="s">
        <v>111</v>
      </c>
      <c r="H728" s="87" t="s">
        <v>112</v>
      </c>
      <c r="I728" s="279" t="s">
        <v>113</v>
      </c>
      <c r="J728" s="279" t="s">
        <v>114</v>
      </c>
      <c r="K728" s="89" t="s">
        <v>25</v>
      </c>
      <c r="L728" s="90"/>
    </row>
    <row r="729" spans="2:12" ht="28.5" customHeight="1">
      <c r="B729" s="301"/>
      <c r="C729" s="984" t="s">
        <v>237</v>
      </c>
      <c r="D729" s="985"/>
      <c r="E729" s="986"/>
      <c r="F729" s="91">
        <v>10</v>
      </c>
      <c r="G729" s="91">
        <v>0</v>
      </c>
      <c r="H729" s="91">
        <v>0</v>
      </c>
      <c r="I729" s="91">
        <v>0</v>
      </c>
      <c r="J729" s="91">
        <v>0</v>
      </c>
      <c r="K729" s="89">
        <f>F729</f>
        <v>10</v>
      </c>
      <c r="L729" s="90"/>
    </row>
    <row r="730" spans="2:12">
      <c r="B730" s="301"/>
      <c r="C730" s="1014" t="s">
        <v>116</v>
      </c>
      <c r="D730" s="1015"/>
      <c r="E730" s="1015"/>
      <c r="F730" s="1015"/>
      <c r="G730" s="1015"/>
      <c r="H730" s="1015"/>
      <c r="I730" s="1015"/>
      <c r="J730" s="1016"/>
      <c r="K730" s="89">
        <f>K729</f>
        <v>10</v>
      </c>
      <c r="L730" s="90"/>
    </row>
    <row r="731" spans="2:12">
      <c r="B731" s="219"/>
      <c r="C731" s="219"/>
      <c r="D731" s="219"/>
      <c r="E731" s="219"/>
      <c r="F731" s="219"/>
      <c r="G731" s="219"/>
      <c r="H731" s="219"/>
      <c r="I731" s="219"/>
      <c r="J731" s="219"/>
      <c r="K731" s="219"/>
      <c r="L731" s="219"/>
    </row>
    <row r="732" spans="2:12">
      <c r="B732" s="301" t="s">
        <v>1354</v>
      </c>
      <c r="C732" s="980" t="s">
        <v>102</v>
      </c>
      <c r="D732" s="981"/>
      <c r="E732" s="981"/>
      <c r="F732" s="981"/>
      <c r="G732" s="981"/>
      <c r="H732" s="981"/>
      <c r="I732" s="981"/>
      <c r="J732" s="982"/>
      <c r="K732" s="97" t="s">
        <v>21</v>
      </c>
      <c r="L732" s="97">
        <f>K735</f>
        <v>10</v>
      </c>
    </row>
    <row r="733" spans="2:12">
      <c r="B733" s="301"/>
      <c r="C733" s="983" t="s">
        <v>20</v>
      </c>
      <c r="D733" s="983"/>
      <c r="E733" s="983"/>
      <c r="F733" s="87" t="s">
        <v>22</v>
      </c>
      <c r="G733" s="279" t="s">
        <v>111</v>
      </c>
      <c r="H733" s="87" t="s">
        <v>112</v>
      </c>
      <c r="I733" s="279" t="s">
        <v>113</v>
      </c>
      <c r="J733" s="279" t="s">
        <v>114</v>
      </c>
      <c r="K733" s="89" t="s">
        <v>25</v>
      </c>
      <c r="L733" s="90"/>
    </row>
    <row r="734" spans="2:12">
      <c r="B734" s="301"/>
      <c r="C734" s="984" t="s">
        <v>237</v>
      </c>
      <c r="D734" s="985"/>
      <c r="E734" s="986"/>
      <c r="F734" s="91">
        <v>10</v>
      </c>
      <c r="G734" s="91">
        <v>0</v>
      </c>
      <c r="H734" s="91">
        <v>0</v>
      </c>
      <c r="I734" s="91">
        <v>0</v>
      </c>
      <c r="J734" s="91">
        <v>0</v>
      </c>
      <c r="K734" s="89">
        <f>F734</f>
        <v>10</v>
      </c>
      <c r="L734" s="90"/>
    </row>
    <row r="735" spans="2:12">
      <c r="B735" s="301"/>
      <c r="C735" s="987" t="s">
        <v>116</v>
      </c>
      <c r="D735" s="987"/>
      <c r="E735" s="987"/>
      <c r="F735" s="987"/>
      <c r="G735" s="987"/>
      <c r="H735" s="987"/>
      <c r="I735" s="987"/>
      <c r="J735" s="987"/>
      <c r="K735" s="89">
        <f>K734</f>
        <v>10</v>
      </c>
      <c r="L735" s="90"/>
    </row>
    <row r="736" spans="2:12">
      <c r="B736" s="301"/>
      <c r="C736" s="211"/>
      <c r="D736" s="211"/>
      <c r="E736" s="211"/>
      <c r="F736" s="211"/>
      <c r="G736" s="211"/>
      <c r="H736" s="211"/>
      <c r="I736" s="211"/>
      <c r="J736" s="211"/>
      <c r="K736" s="212"/>
      <c r="L736" s="90"/>
    </row>
    <row r="737" spans="2:12">
      <c r="B737" s="301" t="s">
        <v>1355</v>
      </c>
      <c r="C737" s="980" t="str">
        <f>'ESCOLA MUNICIPAL DE QUEBEC E Q'!C57</f>
        <v>ASSENTO SANITÁRIO INFANTIL - FORNECIMENTO E INSTALACAO. AF_01/2020</v>
      </c>
      <c r="D737" s="981"/>
      <c r="E737" s="981"/>
      <c r="F737" s="981"/>
      <c r="G737" s="981"/>
      <c r="H737" s="981"/>
      <c r="I737" s="981"/>
      <c r="J737" s="982"/>
      <c r="K737" s="97" t="s">
        <v>21</v>
      </c>
      <c r="L737" s="97">
        <f>K740</f>
        <v>5</v>
      </c>
    </row>
    <row r="738" spans="2:12">
      <c r="B738" s="301"/>
      <c r="C738" s="983" t="s">
        <v>20</v>
      </c>
      <c r="D738" s="983"/>
      <c r="E738" s="983"/>
      <c r="F738" s="87" t="s">
        <v>22</v>
      </c>
      <c r="G738" s="279" t="s">
        <v>111</v>
      </c>
      <c r="H738" s="87" t="s">
        <v>112</v>
      </c>
      <c r="I738" s="279" t="s">
        <v>113</v>
      </c>
      <c r="J738" s="279" t="s">
        <v>114</v>
      </c>
      <c r="K738" s="89" t="s">
        <v>25</v>
      </c>
      <c r="L738" s="90"/>
    </row>
    <row r="739" spans="2:12">
      <c r="B739" s="301"/>
      <c r="C739" s="984" t="s">
        <v>237</v>
      </c>
      <c r="D739" s="985"/>
      <c r="E739" s="986"/>
      <c r="F739" s="91">
        <v>5</v>
      </c>
      <c r="G739" s="91">
        <v>0</v>
      </c>
      <c r="H739" s="91">
        <v>0</v>
      </c>
      <c r="I739" s="91">
        <v>0</v>
      </c>
      <c r="J739" s="91">
        <v>0</v>
      </c>
      <c r="K739" s="89">
        <f>F739</f>
        <v>5</v>
      </c>
      <c r="L739" s="90"/>
    </row>
    <row r="740" spans="2:12">
      <c r="B740" s="301"/>
      <c r="C740" s="987" t="s">
        <v>116</v>
      </c>
      <c r="D740" s="987"/>
      <c r="E740" s="987"/>
      <c r="F740" s="987"/>
      <c r="G740" s="987"/>
      <c r="H740" s="987"/>
      <c r="I740" s="987"/>
      <c r="J740" s="987"/>
      <c r="K740" s="89">
        <f>K739</f>
        <v>5</v>
      </c>
      <c r="L740" s="90"/>
    </row>
    <row r="741" spans="2:12">
      <c r="B741" s="301"/>
      <c r="C741" s="211"/>
      <c r="D741" s="211"/>
      <c r="E741" s="211"/>
      <c r="F741" s="211"/>
      <c r="G741" s="211"/>
      <c r="H741" s="211"/>
      <c r="I741" s="211"/>
      <c r="J741" s="211"/>
      <c r="K741" s="212"/>
      <c r="L741" s="90"/>
    </row>
    <row r="742" spans="2:12" ht="30.75" customHeight="1">
      <c r="B742" s="301" t="s">
        <v>1356</v>
      </c>
      <c r="C742" s="980" t="str">
        <f>'ESCOLA MUNICIPAL DE QUEBEC E Q'!C58</f>
        <v>LAVATÓRIO LOUÇA BRANCA COM COLUNA, *44 X 35,5* CM, PADRÃO POPULAR - FORNECIMENTO E INSTALAÇÃO. AF_01/2020</v>
      </c>
      <c r="D742" s="981"/>
      <c r="E742" s="981"/>
      <c r="F742" s="981"/>
      <c r="G742" s="981"/>
      <c r="H742" s="981"/>
      <c r="I742" s="981"/>
      <c r="J742" s="982"/>
      <c r="K742" s="97" t="s">
        <v>21</v>
      </c>
      <c r="L742" s="97">
        <f>K745</f>
        <v>4</v>
      </c>
    </row>
    <row r="743" spans="2:12">
      <c r="B743" s="301"/>
      <c r="C743" s="983" t="s">
        <v>20</v>
      </c>
      <c r="D743" s="983"/>
      <c r="E743" s="983"/>
      <c r="F743" s="87" t="s">
        <v>22</v>
      </c>
      <c r="G743" s="279" t="s">
        <v>111</v>
      </c>
      <c r="H743" s="87" t="s">
        <v>112</v>
      </c>
      <c r="I743" s="279" t="s">
        <v>113</v>
      </c>
      <c r="J743" s="279" t="s">
        <v>114</v>
      </c>
      <c r="K743" s="89" t="s">
        <v>25</v>
      </c>
      <c r="L743" s="90"/>
    </row>
    <row r="744" spans="2:12">
      <c r="B744" s="301"/>
      <c r="C744" s="984" t="s">
        <v>237</v>
      </c>
      <c r="D744" s="985"/>
      <c r="E744" s="986"/>
      <c r="F744" s="91">
        <v>4</v>
      </c>
      <c r="G744" s="91">
        <v>0</v>
      </c>
      <c r="H744" s="91">
        <v>0</v>
      </c>
      <c r="I744" s="91">
        <v>0</v>
      </c>
      <c r="J744" s="91">
        <v>0</v>
      </c>
      <c r="K744" s="89">
        <f>F744</f>
        <v>4</v>
      </c>
      <c r="L744" s="90"/>
    </row>
    <row r="745" spans="2:12">
      <c r="B745" s="301"/>
      <c r="C745" s="987" t="s">
        <v>116</v>
      </c>
      <c r="D745" s="987"/>
      <c r="E745" s="987"/>
      <c r="F745" s="987"/>
      <c r="G745" s="987"/>
      <c r="H745" s="987"/>
      <c r="I745" s="987"/>
      <c r="J745" s="987"/>
      <c r="K745" s="89">
        <f>K744</f>
        <v>4</v>
      </c>
      <c r="L745" s="90"/>
    </row>
    <row r="746" spans="2:12">
      <c r="B746" s="864"/>
      <c r="C746" s="861"/>
      <c r="D746" s="862"/>
      <c r="E746" s="862"/>
      <c r="F746" s="862"/>
      <c r="G746" s="862"/>
      <c r="H746" s="862"/>
      <c r="I746" s="862"/>
      <c r="J746" s="863"/>
      <c r="K746" s="89"/>
      <c r="L746" s="90"/>
    </row>
    <row r="747" spans="2:12" ht="27" customHeight="1">
      <c r="B747" s="864" t="s">
        <v>1357</v>
      </c>
      <c r="C747" s="980" t="str">
        <f>'ESCOLA MUNICIPAL DE QUEBEC E Q'!C59</f>
        <v>TORNEIRA CROMADA DE MESA, 1/2 OU 3/4, PARA LAVATÓRIO, PADRÃO POPULAR - FORNECIMENTO E INSTALAÇÃO. AF_01/2020</v>
      </c>
      <c r="D747" s="981"/>
      <c r="E747" s="981"/>
      <c r="F747" s="981"/>
      <c r="G747" s="981"/>
      <c r="H747" s="981"/>
      <c r="I747" s="981"/>
      <c r="J747" s="982"/>
      <c r="K747" s="97" t="s">
        <v>21</v>
      </c>
      <c r="L747" s="97">
        <f>K750</f>
        <v>14</v>
      </c>
    </row>
    <row r="748" spans="2:12">
      <c r="B748" s="864"/>
      <c r="C748" s="983" t="s">
        <v>20</v>
      </c>
      <c r="D748" s="983"/>
      <c r="E748" s="983"/>
      <c r="F748" s="87" t="s">
        <v>22</v>
      </c>
      <c r="G748" s="858" t="s">
        <v>111</v>
      </c>
      <c r="H748" s="87" t="s">
        <v>112</v>
      </c>
      <c r="I748" s="858" t="s">
        <v>113</v>
      </c>
      <c r="J748" s="858" t="s">
        <v>114</v>
      </c>
      <c r="K748" s="89" t="s">
        <v>25</v>
      </c>
      <c r="L748" s="90"/>
    </row>
    <row r="749" spans="2:12">
      <c r="B749" s="864"/>
      <c r="C749" s="984" t="s">
        <v>237</v>
      </c>
      <c r="D749" s="985"/>
      <c r="E749" s="986"/>
      <c r="F749" s="91">
        <v>14</v>
      </c>
      <c r="G749" s="91">
        <v>0</v>
      </c>
      <c r="H749" s="91">
        <v>0</v>
      </c>
      <c r="I749" s="91">
        <v>0</v>
      </c>
      <c r="J749" s="91">
        <v>0</v>
      </c>
      <c r="K749" s="89">
        <f>F749</f>
        <v>14</v>
      </c>
      <c r="L749" s="90"/>
    </row>
    <row r="750" spans="2:12">
      <c r="B750" s="864"/>
      <c r="C750" s="987" t="s">
        <v>116</v>
      </c>
      <c r="D750" s="987"/>
      <c r="E750" s="987"/>
      <c r="F750" s="987"/>
      <c r="G750" s="987"/>
      <c r="H750" s="987"/>
      <c r="I750" s="987"/>
      <c r="J750" s="987"/>
      <c r="K750" s="89">
        <f>K749</f>
        <v>14</v>
      </c>
      <c r="L750" s="90"/>
    </row>
    <row r="751" spans="2:12" s="867" customFormat="1">
      <c r="B751" s="864"/>
      <c r="C751" s="211"/>
      <c r="D751" s="211"/>
      <c r="E751" s="211"/>
      <c r="F751" s="211"/>
      <c r="G751" s="211"/>
      <c r="H751" s="211"/>
      <c r="I751" s="211"/>
      <c r="J751" s="211"/>
      <c r="K751" s="212"/>
      <c r="L751" s="90"/>
    </row>
    <row r="752" spans="2:12">
      <c r="B752" s="292" t="s">
        <v>757</v>
      </c>
      <c r="C752" s="1093" t="s">
        <v>442</v>
      </c>
      <c r="D752" s="1093"/>
      <c r="E752" s="1093"/>
      <c r="F752" s="1093"/>
      <c r="G752" s="1093"/>
      <c r="H752" s="1093"/>
      <c r="I752" s="1093"/>
      <c r="J752" s="1093"/>
      <c r="K752" s="293"/>
      <c r="L752" s="293"/>
    </row>
    <row r="753" spans="2:12">
      <c r="B753" s="301"/>
      <c r="C753" s="211"/>
      <c r="D753" s="211"/>
      <c r="E753" s="211"/>
      <c r="F753" s="211"/>
      <c r="G753" s="211"/>
      <c r="H753" s="211"/>
      <c r="I753" s="211"/>
      <c r="J753" s="211"/>
      <c r="K753" s="212"/>
      <c r="L753" s="90"/>
    </row>
    <row r="754" spans="2:12" ht="38.25" customHeight="1">
      <c r="B754" s="301" t="s">
        <v>1358</v>
      </c>
      <c r="C754" s="980" t="s">
        <v>428</v>
      </c>
      <c r="D754" s="981"/>
      <c r="E754" s="981"/>
      <c r="F754" s="981"/>
      <c r="G754" s="981"/>
      <c r="H754" s="981"/>
      <c r="I754" s="981"/>
      <c r="J754" s="982"/>
      <c r="K754" s="97" t="s">
        <v>21</v>
      </c>
      <c r="L754" s="97">
        <f>K757</f>
        <v>10</v>
      </c>
    </row>
    <row r="755" spans="2:12">
      <c r="B755" s="301"/>
      <c r="C755" s="983" t="s">
        <v>20</v>
      </c>
      <c r="D755" s="983"/>
      <c r="E755" s="983"/>
      <c r="F755" s="87" t="s">
        <v>22</v>
      </c>
      <c r="G755" s="279" t="s">
        <v>111</v>
      </c>
      <c r="H755" s="87" t="s">
        <v>112</v>
      </c>
      <c r="I755" s="279" t="s">
        <v>113</v>
      </c>
      <c r="J755" s="279" t="s">
        <v>114</v>
      </c>
      <c r="K755" s="89" t="s">
        <v>25</v>
      </c>
      <c r="L755" s="90"/>
    </row>
    <row r="756" spans="2:12">
      <c r="B756" s="301"/>
      <c r="C756" s="984" t="s">
        <v>458</v>
      </c>
      <c r="D756" s="985"/>
      <c r="E756" s="986"/>
      <c r="F756" s="91">
        <v>10</v>
      </c>
      <c r="G756" s="91">
        <v>0</v>
      </c>
      <c r="H756" s="91">
        <v>0</v>
      </c>
      <c r="I756" s="91">
        <v>0</v>
      </c>
      <c r="J756" s="91">
        <v>0</v>
      </c>
      <c r="K756" s="89">
        <f>F756</f>
        <v>10</v>
      </c>
      <c r="L756" s="90"/>
    </row>
    <row r="757" spans="2:12">
      <c r="B757" s="301"/>
      <c r="C757" s="987" t="s">
        <v>116</v>
      </c>
      <c r="D757" s="987"/>
      <c r="E757" s="987"/>
      <c r="F757" s="987"/>
      <c r="G757" s="987"/>
      <c r="H757" s="987"/>
      <c r="I757" s="987"/>
      <c r="J757" s="987"/>
      <c r="K757" s="89">
        <f>K756</f>
        <v>10</v>
      </c>
      <c r="L757" s="90"/>
    </row>
    <row r="758" spans="2:12">
      <c r="B758" s="301"/>
      <c r="C758" s="211"/>
      <c r="D758" s="211"/>
      <c r="E758" s="211"/>
      <c r="F758" s="211"/>
      <c r="G758" s="211"/>
      <c r="H758" s="211"/>
      <c r="I758" s="211"/>
      <c r="J758" s="211"/>
      <c r="K758" s="212"/>
      <c r="L758" s="90"/>
    </row>
    <row r="759" spans="2:12" ht="25.5" customHeight="1">
      <c r="B759" s="301" t="s">
        <v>1359</v>
      </c>
      <c r="C759" s="980" t="s">
        <v>71</v>
      </c>
      <c r="D759" s="981"/>
      <c r="E759" s="981"/>
      <c r="F759" s="981"/>
      <c r="G759" s="981"/>
      <c r="H759" s="981"/>
      <c r="I759" s="981"/>
      <c r="J759" s="982"/>
      <c r="K759" s="97" t="s">
        <v>21</v>
      </c>
      <c r="L759" s="97">
        <f>K762</f>
        <v>10</v>
      </c>
    </row>
    <row r="760" spans="2:12" ht="15.75" customHeight="1">
      <c r="B760" s="301"/>
      <c r="C760" s="983" t="s">
        <v>20</v>
      </c>
      <c r="D760" s="983"/>
      <c r="E760" s="983"/>
      <c r="F760" s="87" t="s">
        <v>22</v>
      </c>
      <c r="G760" s="279" t="s">
        <v>111</v>
      </c>
      <c r="H760" s="87" t="s">
        <v>112</v>
      </c>
      <c r="I760" s="279" t="s">
        <v>113</v>
      </c>
      <c r="J760" s="279" t="s">
        <v>114</v>
      </c>
      <c r="K760" s="89" t="s">
        <v>25</v>
      </c>
      <c r="L760" s="90"/>
    </row>
    <row r="761" spans="2:12">
      <c r="B761" s="301"/>
      <c r="C761" s="984" t="s">
        <v>591</v>
      </c>
      <c r="D761" s="985"/>
      <c r="E761" s="986"/>
      <c r="F761" s="91">
        <v>10</v>
      </c>
      <c r="G761" s="91">
        <v>0</v>
      </c>
      <c r="H761" s="91">
        <v>0</v>
      </c>
      <c r="I761" s="91">
        <v>0</v>
      </c>
      <c r="J761" s="91">
        <v>0</v>
      </c>
      <c r="K761" s="89">
        <f>F761</f>
        <v>10</v>
      </c>
      <c r="L761" s="90"/>
    </row>
    <row r="762" spans="2:12">
      <c r="B762" s="301"/>
      <c r="C762" s="987" t="s">
        <v>116</v>
      </c>
      <c r="D762" s="987"/>
      <c r="E762" s="987"/>
      <c r="F762" s="987"/>
      <c r="G762" s="987"/>
      <c r="H762" s="987"/>
      <c r="I762" s="987"/>
      <c r="J762" s="987"/>
      <c r="K762" s="89">
        <f>K761</f>
        <v>10</v>
      </c>
      <c r="L762" s="90"/>
    </row>
    <row r="763" spans="2:12">
      <c r="B763" s="355"/>
      <c r="C763" s="211"/>
      <c r="D763" s="211"/>
      <c r="E763" s="211"/>
      <c r="F763" s="211"/>
      <c r="G763" s="211"/>
      <c r="H763" s="211"/>
      <c r="I763" s="211"/>
      <c r="J763" s="211"/>
      <c r="K763" s="212"/>
      <c r="L763" s="90"/>
    </row>
    <row r="764" spans="2:12">
      <c r="B764" s="355" t="s">
        <v>1360</v>
      </c>
      <c r="C764" s="980" t="s">
        <v>655</v>
      </c>
      <c r="D764" s="981"/>
      <c r="E764" s="981"/>
      <c r="F764" s="981"/>
      <c r="G764" s="981"/>
      <c r="H764" s="981"/>
      <c r="I764" s="981"/>
      <c r="J764" s="982"/>
      <c r="K764" s="97" t="s">
        <v>21</v>
      </c>
      <c r="L764" s="97">
        <f>K767</f>
        <v>1</v>
      </c>
    </row>
    <row r="765" spans="2:12">
      <c r="B765" s="355"/>
      <c r="C765" s="983" t="s">
        <v>20</v>
      </c>
      <c r="D765" s="983"/>
      <c r="E765" s="983"/>
      <c r="F765" s="87" t="s">
        <v>22</v>
      </c>
      <c r="G765" s="352" t="s">
        <v>111</v>
      </c>
      <c r="H765" s="87" t="s">
        <v>112</v>
      </c>
      <c r="I765" s="352" t="s">
        <v>113</v>
      </c>
      <c r="J765" s="352" t="s">
        <v>114</v>
      </c>
      <c r="K765" s="89" t="s">
        <v>25</v>
      </c>
      <c r="L765" s="90"/>
    </row>
    <row r="766" spans="2:12">
      <c r="B766" s="355"/>
      <c r="C766" s="984" t="s">
        <v>688</v>
      </c>
      <c r="D766" s="985"/>
      <c r="E766" s="986"/>
      <c r="F766" s="91">
        <v>1</v>
      </c>
      <c r="G766" s="91">
        <v>0</v>
      </c>
      <c r="H766" s="91">
        <v>0</v>
      </c>
      <c r="I766" s="91">
        <v>0</v>
      </c>
      <c r="J766" s="91">
        <v>0</v>
      </c>
      <c r="K766" s="89">
        <f>F766</f>
        <v>1</v>
      </c>
      <c r="L766" s="90"/>
    </row>
    <row r="767" spans="2:12">
      <c r="B767" s="355"/>
      <c r="C767" s="987" t="s">
        <v>116</v>
      </c>
      <c r="D767" s="987"/>
      <c r="E767" s="987"/>
      <c r="F767" s="987"/>
      <c r="G767" s="987"/>
      <c r="H767" s="987"/>
      <c r="I767" s="987"/>
      <c r="J767" s="987"/>
      <c r="K767" s="89">
        <f>K766</f>
        <v>1</v>
      </c>
      <c r="L767" s="90"/>
    </row>
    <row r="768" spans="2:12">
      <c r="B768" s="355"/>
      <c r="C768" s="211"/>
      <c r="D768" s="211"/>
      <c r="E768" s="211"/>
      <c r="F768" s="211"/>
      <c r="G768" s="211"/>
      <c r="H768" s="211"/>
      <c r="I768" s="211"/>
      <c r="J768" s="211"/>
      <c r="K768" s="212"/>
      <c r="L768" s="90"/>
    </row>
    <row r="769" spans="2:12" ht="29.25" customHeight="1">
      <c r="B769" s="301" t="s">
        <v>1361</v>
      </c>
      <c r="C769" s="980" t="s">
        <v>424</v>
      </c>
      <c r="D769" s="981"/>
      <c r="E769" s="981"/>
      <c r="F769" s="981"/>
      <c r="G769" s="981"/>
      <c r="H769" s="981"/>
      <c r="I769" s="981"/>
      <c r="J769" s="982"/>
      <c r="K769" s="97" t="s">
        <v>21</v>
      </c>
      <c r="L769" s="97">
        <f>K772</f>
        <v>33</v>
      </c>
    </row>
    <row r="770" spans="2:12">
      <c r="B770" s="301"/>
      <c r="C770" s="983" t="s">
        <v>20</v>
      </c>
      <c r="D770" s="983"/>
      <c r="E770" s="983"/>
      <c r="F770" s="87" t="s">
        <v>22</v>
      </c>
      <c r="G770" s="279" t="s">
        <v>111</v>
      </c>
      <c r="H770" s="87" t="s">
        <v>112</v>
      </c>
      <c r="I770" s="279" t="s">
        <v>113</v>
      </c>
      <c r="J770" s="279" t="s">
        <v>114</v>
      </c>
      <c r="K770" s="89" t="s">
        <v>25</v>
      </c>
      <c r="L770" s="90"/>
    </row>
    <row r="771" spans="2:12" ht="30.75" customHeight="1">
      <c r="B771" s="301"/>
      <c r="C771" s="984" t="s">
        <v>590</v>
      </c>
      <c r="D771" s="985"/>
      <c r="E771" s="986"/>
      <c r="F771" s="91">
        <v>33</v>
      </c>
      <c r="G771" s="91">
        <v>0</v>
      </c>
      <c r="H771" s="91">
        <v>0</v>
      </c>
      <c r="I771" s="91">
        <v>0</v>
      </c>
      <c r="J771" s="91">
        <v>0</v>
      </c>
      <c r="K771" s="89">
        <f>F771</f>
        <v>33</v>
      </c>
      <c r="L771" s="90"/>
    </row>
    <row r="772" spans="2:12" ht="20.25" customHeight="1">
      <c r="B772" s="301"/>
      <c r="C772" s="987" t="s">
        <v>116</v>
      </c>
      <c r="D772" s="987"/>
      <c r="E772" s="987"/>
      <c r="F772" s="987"/>
      <c r="G772" s="987"/>
      <c r="H772" s="987"/>
      <c r="I772" s="987"/>
      <c r="J772" s="987"/>
      <c r="K772" s="89">
        <f>K771</f>
        <v>33</v>
      </c>
      <c r="L772" s="90"/>
    </row>
    <row r="773" spans="2:12" ht="20.25" customHeight="1">
      <c r="B773" s="301"/>
      <c r="C773" s="211"/>
      <c r="D773" s="211"/>
      <c r="E773" s="211"/>
      <c r="F773" s="211"/>
      <c r="G773" s="211"/>
      <c r="H773" s="211"/>
      <c r="I773" s="211"/>
      <c r="J773" s="211"/>
      <c r="K773" s="212"/>
      <c r="L773" s="90"/>
    </row>
    <row r="774" spans="2:12" ht="30.75" customHeight="1">
      <c r="B774" s="301" t="s">
        <v>1362</v>
      </c>
      <c r="C774" s="980" t="s">
        <v>426</v>
      </c>
      <c r="D774" s="981"/>
      <c r="E774" s="981"/>
      <c r="F774" s="981"/>
      <c r="G774" s="981"/>
      <c r="H774" s="981"/>
      <c r="I774" s="981"/>
      <c r="J774" s="982"/>
      <c r="K774" s="97" t="s">
        <v>21</v>
      </c>
      <c r="L774" s="97">
        <f>K777</f>
        <v>10</v>
      </c>
    </row>
    <row r="775" spans="2:12" ht="20.25" customHeight="1">
      <c r="B775" s="301"/>
      <c r="C775" s="983" t="s">
        <v>20</v>
      </c>
      <c r="D775" s="983"/>
      <c r="E775" s="983"/>
      <c r="F775" s="87" t="s">
        <v>22</v>
      </c>
      <c r="G775" s="279" t="s">
        <v>111</v>
      </c>
      <c r="H775" s="87" t="s">
        <v>112</v>
      </c>
      <c r="I775" s="279" t="s">
        <v>113</v>
      </c>
      <c r="J775" s="279" t="s">
        <v>114</v>
      </c>
      <c r="K775" s="89" t="s">
        <v>25</v>
      </c>
      <c r="L775" s="90"/>
    </row>
    <row r="776" spans="2:12" ht="20.25" customHeight="1">
      <c r="B776" s="301"/>
      <c r="C776" s="984" t="s">
        <v>338</v>
      </c>
      <c r="D776" s="985"/>
      <c r="E776" s="986"/>
      <c r="F776" s="91">
        <v>10</v>
      </c>
      <c r="G776" s="91">
        <v>0</v>
      </c>
      <c r="H776" s="91">
        <v>0</v>
      </c>
      <c r="I776" s="91">
        <v>0</v>
      </c>
      <c r="J776" s="91">
        <v>0</v>
      </c>
      <c r="K776" s="89">
        <f>F776</f>
        <v>10</v>
      </c>
      <c r="L776" s="90"/>
    </row>
    <row r="777" spans="2:12" ht="20.25" customHeight="1">
      <c r="B777" s="301"/>
      <c r="C777" s="987" t="s">
        <v>116</v>
      </c>
      <c r="D777" s="987"/>
      <c r="E777" s="987"/>
      <c r="F777" s="987"/>
      <c r="G777" s="987"/>
      <c r="H777" s="987"/>
      <c r="I777" s="987"/>
      <c r="J777" s="987"/>
      <c r="K777" s="89">
        <f>K776</f>
        <v>10</v>
      </c>
      <c r="L777" s="90"/>
    </row>
    <row r="778" spans="2:12" ht="20.25" customHeight="1">
      <c r="B778" s="355"/>
      <c r="C778" s="211"/>
      <c r="D778" s="211"/>
      <c r="E778" s="211"/>
      <c r="F778" s="211"/>
      <c r="G778" s="211"/>
      <c r="H778" s="211"/>
      <c r="I778" s="211"/>
      <c r="J778" s="211"/>
      <c r="K778" s="212"/>
      <c r="L778" s="90"/>
    </row>
    <row r="779" spans="2:12" ht="32.25" customHeight="1">
      <c r="B779" s="355" t="s">
        <v>1363</v>
      </c>
      <c r="C779" s="980" t="s">
        <v>69</v>
      </c>
      <c r="D779" s="981"/>
      <c r="E779" s="981"/>
      <c r="F779" s="981"/>
      <c r="G779" s="981"/>
      <c r="H779" s="981"/>
      <c r="I779" s="981"/>
      <c r="J779" s="982"/>
      <c r="K779" s="97" t="s">
        <v>21</v>
      </c>
      <c r="L779" s="97">
        <f>K782</f>
        <v>10</v>
      </c>
    </row>
    <row r="780" spans="2:12" ht="20.25" customHeight="1">
      <c r="B780" s="355"/>
      <c r="C780" s="983" t="s">
        <v>20</v>
      </c>
      <c r="D780" s="983"/>
      <c r="E780" s="983"/>
      <c r="F780" s="87" t="s">
        <v>22</v>
      </c>
      <c r="G780" s="352" t="s">
        <v>111</v>
      </c>
      <c r="H780" s="87" t="s">
        <v>112</v>
      </c>
      <c r="I780" s="352" t="s">
        <v>113</v>
      </c>
      <c r="J780" s="352" t="s">
        <v>114</v>
      </c>
      <c r="K780" s="89" t="s">
        <v>25</v>
      </c>
      <c r="L780" s="90"/>
    </row>
    <row r="781" spans="2:12" ht="20.25" customHeight="1">
      <c r="B781" s="355"/>
      <c r="C781" s="984" t="s">
        <v>458</v>
      </c>
      <c r="D781" s="985"/>
      <c r="E781" s="986"/>
      <c r="F781" s="91">
        <v>10</v>
      </c>
      <c r="G781" s="91">
        <v>0</v>
      </c>
      <c r="H781" s="91">
        <v>0</v>
      </c>
      <c r="I781" s="91">
        <v>0</v>
      </c>
      <c r="J781" s="91">
        <v>0</v>
      </c>
      <c r="K781" s="89">
        <f>F781</f>
        <v>10</v>
      </c>
      <c r="L781" s="90"/>
    </row>
    <row r="782" spans="2:12" ht="20.25" customHeight="1">
      <c r="B782" s="355"/>
      <c r="C782" s="987" t="s">
        <v>116</v>
      </c>
      <c r="D782" s="987"/>
      <c r="E782" s="987"/>
      <c r="F782" s="987"/>
      <c r="G782" s="987"/>
      <c r="H782" s="987"/>
      <c r="I782" s="987"/>
      <c r="J782" s="987"/>
      <c r="K782" s="89">
        <f>K781</f>
        <v>10</v>
      </c>
      <c r="L782" s="90"/>
    </row>
    <row r="783" spans="2:12" ht="20.25" customHeight="1">
      <c r="B783" s="355"/>
      <c r="C783" s="211"/>
      <c r="D783" s="211"/>
      <c r="E783" s="211"/>
      <c r="F783" s="211"/>
      <c r="G783" s="211"/>
      <c r="H783" s="211"/>
      <c r="I783" s="211"/>
      <c r="J783" s="211"/>
      <c r="K783" s="212"/>
      <c r="L783" s="90"/>
    </row>
    <row r="784" spans="2:12">
      <c r="B784" s="864" t="s">
        <v>1364</v>
      </c>
      <c r="C784" s="1093" t="s">
        <v>516</v>
      </c>
      <c r="D784" s="1093"/>
      <c r="E784" s="1093"/>
      <c r="F784" s="1093"/>
      <c r="G784" s="1093"/>
      <c r="H784" s="1093"/>
      <c r="I784" s="1093"/>
      <c r="J784" s="1093"/>
      <c r="K784" s="293"/>
      <c r="L784" s="293"/>
    </row>
    <row r="785" spans="2:12" ht="36" customHeight="1">
      <c r="B785" s="301" t="s">
        <v>1365</v>
      </c>
      <c r="C785" s="980" t="s">
        <v>527</v>
      </c>
      <c r="D785" s="981"/>
      <c r="E785" s="981"/>
      <c r="F785" s="981"/>
      <c r="G785" s="981"/>
      <c r="H785" s="981"/>
      <c r="I785" s="981"/>
      <c r="J785" s="982"/>
      <c r="K785" s="97" t="s">
        <v>7</v>
      </c>
      <c r="L785" s="97">
        <f>K788</f>
        <v>25</v>
      </c>
    </row>
    <row r="786" spans="2:12">
      <c r="B786" s="301"/>
      <c r="C786" s="983" t="s">
        <v>20</v>
      </c>
      <c r="D786" s="983"/>
      <c r="E786" s="983"/>
      <c r="F786" s="87" t="s">
        <v>22</v>
      </c>
      <c r="G786" s="279" t="s">
        <v>111</v>
      </c>
      <c r="H786" s="87" t="s">
        <v>112</v>
      </c>
      <c r="I786" s="279" t="s">
        <v>113</v>
      </c>
      <c r="J786" s="279" t="s">
        <v>114</v>
      </c>
      <c r="K786" s="89" t="s">
        <v>25</v>
      </c>
      <c r="L786" s="90"/>
    </row>
    <row r="787" spans="2:12">
      <c r="B787" s="301"/>
      <c r="C787" s="984" t="s">
        <v>595</v>
      </c>
      <c r="D787" s="985"/>
      <c r="E787" s="986"/>
      <c r="F787" s="91">
        <v>1</v>
      </c>
      <c r="G787" s="91">
        <v>5</v>
      </c>
      <c r="H787" s="91">
        <v>5</v>
      </c>
      <c r="I787" s="91">
        <v>1</v>
      </c>
      <c r="J787" s="91">
        <v>0</v>
      </c>
      <c r="K787" s="89">
        <f>(G787*H787*I787*F787)-J787</f>
        <v>25</v>
      </c>
      <c r="L787" s="90"/>
    </row>
    <row r="788" spans="2:12">
      <c r="B788" s="301"/>
      <c r="C788" s="987" t="s">
        <v>116</v>
      </c>
      <c r="D788" s="987"/>
      <c r="E788" s="987"/>
      <c r="F788" s="987"/>
      <c r="G788" s="987"/>
      <c r="H788" s="987"/>
      <c r="I788" s="987"/>
      <c r="J788" s="987"/>
      <c r="K788" s="89">
        <f>K787</f>
        <v>25</v>
      </c>
      <c r="L788" s="90"/>
    </row>
    <row r="790" spans="2:12">
      <c r="B790" s="292" t="s">
        <v>1366</v>
      </c>
      <c r="C790" s="1093" t="s">
        <v>516</v>
      </c>
      <c r="D790" s="1093"/>
      <c r="E790" s="1093"/>
      <c r="F790" s="1093"/>
      <c r="G790" s="1093"/>
      <c r="H790" s="1093"/>
      <c r="I790" s="1093"/>
      <c r="J790" s="1093"/>
      <c r="K790" s="293"/>
      <c r="L790" s="293"/>
    </row>
    <row r="791" spans="2:12" ht="14.25" customHeight="1">
      <c r="B791" s="355" t="s">
        <v>1367</v>
      </c>
      <c r="C791" s="980" t="s">
        <v>609</v>
      </c>
      <c r="D791" s="981"/>
      <c r="E791" s="981"/>
      <c r="F791" s="981"/>
      <c r="G791" s="981"/>
      <c r="H791" s="981"/>
      <c r="I791" s="981"/>
      <c r="J791" s="982"/>
      <c r="K791" s="97" t="s">
        <v>7</v>
      </c>
      <c r="L791" s="97">
        <f>K794</f>
        <v>200</v>
      </c>
    </row>
    <row r="792" spans="2:12">
      <c r="B792" s="355"/>
      <c r="C792" s="983" t="s">
        <v>20</v>
      </c>
      <c r="D792" s="983"/>
      <c r="E792" s="983"/>
      <c r="F792" s="87" t="s">
        <v>22</v>
      </c>
      <c r="G792" s="352" t="s">
        <v>111</v>
      </c>
      <c r="H792" s="87" t="s">
        <v>112</v>
      </c>
      <c r="I792" s="352" t="s">
        <v>113</v>
      </c>
      <c r="J792" s="352" t="s">
        <v>114</v>
      </c>
      <c r="K792" s="89" t="s">
        <v>25</v>
      </c>
      <c r="L792" s="90"/>
    </row>
    <row r="793" spans="2:12">
      <c r="B793" s="355"/>
      <c r="C793" s="984" t="s">
        <v>689</v>
      </c>
      <c r="D793" s="985"/>
      <c r="E793" s="986"/>
      <c r="F793" s="91">
        <v>1</v>
      </c>
      <c r="G793" s="91">
        <v>1</v>
      </c>
      <c r="H793" s="91">
        <v>20</v>
      </c>
      <c r="I793" s="91">
        <v>10</v>
      </c>
      <c r="J793" s="91">
        <v>0</v>
      </c>
      <c r="K793" s="89">
        <f>(G793*H793*I793*F793)-J793</f>
        <v>200</v>
      </c>
      <c r="L793" s="90"/>
    </row>
    <row r="794" spans="2:12">
      <c r="B794" s="355"/>
      <c r="C794" s="987" t="s">
        <v>116</v>
      </c>
      <c r="D794" s="987"/>
      <c r="E794" s="987"/>
      <c r="F794" s="987"/>
      <c r="G794" s="987"/>
      <c r="H794" s="987"/>
      <c r="I794" s="987"/>
      <c r="J794" s="987"/>
      <c r="K794" s="89">
        <f>K793</f>
        <v>200</v>
      </c>
      <c r="L794" s="90"/>
    </row>
  </sheetData>
  <mergeCells count="646">
    <mergeCell ref="C774:J774"/>
    <mergeCell ref="C775:E775"/>
    <mergeCell ref="C756:E756"/>
    <mergeCell ref="C757:J757"/>
    <mergeCell ref="C759:J759"/>
    <mergeCell ref="C760:E760"/>
    <mergeCell ref="C761:E761"/>
    <mergeCell ref="C762:J762"/>
    <mergeCell ref="C743:E743"/>
    <mergeCell ref="C744:E744"/>
    <mergeCell ref="C745:J745"/>
    <mergeCell ref="C752:J752"/>
    <mergeCell ref="C754:J754"/>
    <mergeCell ref="C755:E755"/>
    <mergeCell ref="C747:J747"/>
    <mergeCell ref="C748:E748"/>
    <mergeCell ref="C749:E749"/>
    <mergeCell ref="C750:J750"/>
    <mergeCell ref="C735:J735"/>
    <mergeCell ref="C737:J737"/>
    <mergeCell ref="C738:E738"/>
    <mergeCell ref="C739:E739"/>
    <mergeCell ref="C740:J740"/>
    <mergeCell ref="C742:J742"/>
    <mergeCell ref="C728:E728"/>
    <mergeCell ref="C729:E729"/>
    <mergeCell ref="C730:J730"/>
    <mergeCell ref="C732:J732"/>
    <mergeCell ref="C733:E733"/>
    <mergeCell ref="C734:E734"/>
    <mergeCell ref="C720:J720"/>
    <mergeCell ref="C722:J722"/>
    <mergeCell ref="C723:E723"/>
    <mergeCell ref="C724:E724"/>
    <mergeCell ref="C725:J725"/>
    <mergeCell ref="C727:J727"/>
    <mergeCell ref="C715:E715"/>
    <mergeCell ref="C716:E716"/>
    <mergeCell ref="C717:J717"/>
    <mergeCell ref="C709:E709"/>
    <mergeCell ref="C710:E710"/>
    <mergeCell ref="C711:E711"/>
    <mergeCell ref="C712:J712"/>
    <mergeCell ref="C714:J714"/>
    <mergeCell ref="C702:E702"/>
    <mergeCell ref="C703:E703"/>
    <mergeCell ref="C704:J704"/>
    <mergeCell ref="C706:J706"/>
    <mergeCell ref="C707:E707"/>
    <mergeCell ref="C708:E708"/>
    <mergeCell ref="C695:E695"/>
    <mergeCell ref="C696:E696"/>
    <mergeCell ref="C697:J697"/>
    <mergeCell ref="C699:J699"/>
    <mergeCell ref="B700:L700"/>
    <mergeCell ref="C701:J701"/>
    <mergeCell ref="C687:J687"/>
    <mergeCell ref="C689:J689"/>
    <mergeCell ref="C690:E690"/>
    <mergeCell ref="C691:E691"/>
    <mergeCell ref="C692:J692"/>
    <mergeCell ref="C694:J694"/>
    <mergeCell ref="C680:E680"/>
    <mergeCell ref="C681:E681"/>
    <mergeCell ref="C682:J682"/>
    <mergeCell ref="C684:J684"/>
    <mergeCell ref="C685:E685"/>
    <mergeCell ref="C686:E686"/>
    <mergeCell ref="C670:J670"/>
    <mergeCell ref="C673:J673"/>
    <mergeCell ref="C674:E674"/>
    <mergeCell ref="C675:E675"/>
    <mergeCell ref="C676:J676"/>
    <mergeCell ref="C679:J679"/>
    <mergeCell ref="C663:J663"/>
    <mergeCell ref="C665:J665"/>
    <mergeCell ref="C667:J667"/>
    <mergeCell ref="C668:E668"/>
    <mergeCell ref="C669:E669"/>
    <mergeCell ref="C658:J658"/>
    <mergeCell ref="C660:J660"/>
    <mergeCell ref="C661:E661"/>
    <mergeCell ref="C662:E662"/>
    <mergeCell ref="C657:E657"/>
    <mergeCell ref="C628:J628"/>
    <mergeCell ref="C629:E629"/>
    <mergeCell ref="C630:E630"/>
    <mergeCell ref="C631:J631"/>
    <mergeCell ref="C648:J648"/>
    <mergeCell ref="C650:J650"/>
    <mergeCell ref="C633:J633"/>
    <mergeCell ref="C634:E634"/>
    <mergeCell ref="C635:E635"/>
    <mergeCell ref="C636:J636"/>
    <mergeCell ref="C638:J638"/>
    <mergeCell ref="C639:E639"/>
    <mergeCell ref="C640:E640"/>
    <mergeCell ref="C641:J641"/>
    <mergeCell ref="C643:J643"/>
    <mergeCell ref="C644:E644"/>
    <mergeCell ref="C645:E645"/>
    <mergeCell ref="C646:J646"/>
    <mergeCell ref="C626:J626"/>
    <mergeCell ref="C616:J616"/>
    <mergeCell ref="C618:J618"/>
    <mergeCell ref="C619:E619"/>
    <mergeCell ref="C651:E651"/>
    <mergeCell ref="C652:E652"/>
    <mergeCell ref="C653:J653"/>
    <mergeCell ref="C655:J655"/>
    <mergeCell ref="C656:E656"/>
    <mergeCell ref="C603:J603"/>
    <mergeCell ref="C605:J605"/>
    <mergeCell ref="C606:E606"/>
    <mergeCell ref="C607:E607"/>
    <mergeCell ref="C608:J608"/>
    <mergeCell ref="C610:J610"/>
    <mergeCell ref="C615:E615"/>
    <mergeCell ref="C625:E625"/>
    <mergeCell ref="C620:E620"/>
    <mergeCell ref="C613:J613"/>
    <mergeCell ref="C614:E614"/>
    <mergeCell ref="C621:J621"/>
    <mergeCell ref="C623:J623"/>
    <mergeCell ref="C624:E624"/>
    <mergeCell ref="C595:E595"/>
    <mergeCell ref="C596:J596"/>
    <mergeCell ref="C599:J599"/>
    <mergeCell ref="C600:E600"/>
    <mergeCell ref="C601:E601"/>
    <mergeCell ref="C602:E602"/>
    <mergeCell ref="C588:E588"/>
    <mergeCell ref="C589:E589"/>
    <mergeCell ref="C590:J590"/>
    <mergeCell ref="C592:J592"/>
    <mergeCell ref="C593:J593"/>
    <mergeCell ref="C594:E594"/>
    <mergeCell ref="C581:E581"/>
    <mergeCell ref="C582:E582"/>
    <mergeCell ref="C583:E583"/>
    <mergeCell ref="C584:J584"/>
    <mergeCell ref="C586:J586"/>
    <mergeCell ref="C587:J587"/>
    <mergeCell ref="C574:J574"/>
    <mergeCell ref="C575:E575"/>
    <mergeCell ref="C576:E576"/>
    <mergeCell ref="C577:E577"/>
    <mergeCell ref="C578:J578"/>
    <mergeCell ref="C580:J580"/>
    <mergeCell ref="C566:E566"/>
    <mergeCell ref="C567:J567"/>
    <mergeCell ref="C569:J569"/>
    <mergeCell ref="C570:E570"/>
    <mergeCell ref="C571:E571"/>
    <mergeCell ref="C572:J572"/>
    <mergeCell ref="C559:J559"/>
    <mergeCell ref="C560:E560"/>
    <mergeCell ref="C561:E561"/>
    <mergeCell ref="C562:J562"/>
    <mergeCell ref="C564:J564"/>
    <mergeCell ref="C565:E565"/>
    <mergeCell ref="C552:J552"/>
    <mergeCell ref="C553:E553"/>
    <mergeCell ref="C554:E554"/>
    <mergeCell ref="C555:E555"/>
    <mergeCell ref="C556:J556"/>
    <mergeCell ref="C558:J558"/>
    <mergeCell ref="C544:J544"/>
    <mergeCell ref="C546:J546"/>
    <mergeCell ref="C547:E547"/>
    <mergeCell ref="C548:E548"/>
    <mergeCell ref="C549:E549"/>
    <mergeCell ref="C550:J550"/>
    <mergeCell ref="C537:E537"/>
    <mergeCell ref="C538:E538"/>
    <mergeCell ref="C539:J539"/>
    <mergeCell ref="C541:J541"/>
    <mergeCell ref="C542:E542"/>
    <mergeCell ref="C543:E543"/>
    <mergeCell ref="C530:J530"/>
    <mergeCell ref="C531:J531"/>
    <mergeCell ref="C532:E532"/>
    <mergeCell ref="C533:E533"/>
    <mergeCell ref="C534:J534"/>
    <mergeCell ref="C536:J536"/>
    <mergeCell ref="C522:J522"/>
    <mergeCell ref="C524:J524"/>
    <mergeCell ref="C525:E525"/>
    <mergeCell ref="C526:E526"/>
    <mergeCell ref="C527:E527"/>
    <mergeCell ref="C528:J528"/>
    <mergeCell ref="C515:E515"/>
    <mergeCell ref="C516:J516"/>
    <mergeCell ref="C518:J518"/>
    <mergeCell ref="C519:E519"/>
    <mergeCell ref="C520:E520"/>
    <mergeCell ref="C521:E521"/>
    <mergeCell ref="C508:E508"/>
    <mergeCell ref="C509:J509"/>
    <mergeCell ref="C511:J511"/>
    <mergeCell ref="C512:E512"/>
    <mergeCell ref="C513:E513"/>
    <mergeCell ref="C514:E514"/>
    <mergeCell ref="C501:E501"/>
    <mergeCell ref="C502:E502"/>
    <mergeCell ref="C503:E503"/>
    <mergeCell ref="C504:J504"/>
    <mergeCell ref="C506:J506"/>
    <mergeCell ref="C507:E507"/>
    <mergeCell ref="C494:E494"/>
    <mergeCell ref="C495:E495"/>
    <mergeCell ref="C496:J496"/>
    <mergeCell ref="C498:J498"/>
    <mergeCell ref="C499:J499"/>
    <mergeCell ref="C500:E500"/>
    <mergeCell ref="C487:E487"/>
    <mergeCell ref="C488:E488"/>
    <mergeCell ref="C489:J489"/>
    <mergeCell ref="C491:J491"/>
    <mergeCell ref="C492:E492"/>
    <mergeCell ref="C493:E493"/>
    <mergeCell ref="C480:E480"/>
    <mergeCell ref="C481:E481"/>
    <mergeCell ref="C482:J482"/>
    <mergeCell ref="C484:J484"/>
    <mergeCell ref="C485:E485"/>
    <mergeCell ref="C486:E486"/>
    <mergeCell ref="C472:J472"/>
    <mergeCell ref="C474:J474"/>
    <mergeCell ref="C475:E475"/>
    <mergeCell ref="C476:E476"/>
    <mergeCell ref="C477:J477"/>
    <mergeCell ref="C479:J479"/>
    <mergeCell ref="C465:E465"/>
    <mergeCell ref="C466:J466"/>
    <mergeCell ref="C468:J468"/>
    <mergeCell ref="C469:J469"/>
    <mergeCell ref="C470:E470"/>
    <mergeCell ref="C471:E471"/>
    <mergeCell ref="C458:E458"/>
    <mergeCell ref="C459:J459"/>
    <mergeCell ref="C461:J461"/>
    <mergeCell ref="C462:E462"/>
    <mergeCell ref="C463:E463"/>
    <mergeCell ref="C464:E464"/>
    <mergeCell ref="C451:E451"/>
    <mergeCell ref="C452:E452"/>
    <mergeCell ref="C453:J453"/>
    <mergeCell ref="C455:J455"/>
    <mergeCell ref="C456:E456"/>
    <mergeCell ref="C457:E457"/>
    <mergeCell ref="C443:J443"/>
    <mergeCell ref="C445:J445"/>
    <mergeCell ref="C446:E446"/>
    <mergeCell ref="C447:E447"/>
    <mergeCell ref="C448:J448"/>
    <mergeCell ref="C450:J450"/>
    <mergeCell ref="C436:J436"/>
    <mergeCell ref="C438:J438"/>
    <mergeCell ref="C439:J439"/>
    <mergeCell ref="C440:J440"/>
    <mergeCell ref="C441:E441"/>
    <mergeCell ref="C442:E442"/>
    <mergeCell ref="C429:E429"/>
    <mergeCell ref="C430:J430"/>
    <mergeCell ref="C432:J432"/>
    <mergeCell ref="C433:E433"/>
    <mergeCell ref="C434:E434"/>
    <mergeCell ref="C435:E435"/>
    <mergeCell ref="C422:E422"/>
    <mergeCell ref="C423:E423"/>
    <mergeCell ref="C424:J424"/>
    <mergeCell ref="C426:J426"/>
    <mergeCell ref="C427:E427"/>
    <mergeCell ref="C428:E428"/>
    <mergeCell ref="C415:E415"/>
    <mergeCell ref="C416:E416"/>
    <mergeCell ref="C417:E417"/>
    <mergeCell ref="C418:J418"/>
    <mergeCell ref="C420:J420"/>
    <mergeCell ref="C421:E421"/>
    <mergeCell ref="C408:E408"/>
    <mergeCell ref="C409:J409"/>
    <mergeCell ref="C411:J411"/>
    <mergeCell ref="C412:E412"/>
    <mergeCell ref="C413:E413"/>
    <mergeCell ref="C414:E414"/>
    <mergeCell ref="C402:J402"/>
    <mergeCell ref="C403:E403"/>
    <mergeCell ref="C404:E404"/>
    <mergeCell ref="C405:E405"/>
    <mergeCell ref="C406:E406"/>
    <mergeCell ref="C407:E407"/>
    <mergeCell ref="C395:E395"/>
    <mergeCell ref="C396:E396"/>
    <mergeCell ref="C397:E397"/>
    <mergeCell ref="C398:E398"/>
    <mergeCell ref="C399:E399"/>
    <mergeCell ref="C400:J400"/>
    <mergeCell ref="C388:E388"/>
    <mergeCell ref="C389:E389"/>
    <mergeCell ref="C390:J390"/>
    <mergeCell ref="C392:J392"/>
    <mergeCell ref="C393:J393"/>
    <mergeCell ref="C394:E394"/>
    <mergeCell ref="C380:J380"/>
    <mergeCell ref="C382:J382"/>
    <mergeCell ref="C383:E383"/>
    <mergeCell ref="C384:E384"/>
    <mergeCell ref="C385:J385"/>
    <mergeCell ref="C387:J387"/>
    <mergeCell ref="C373:E373"/>
    <mergeCell ref="C374:E374"/>
    <mergeCell ref="C375:J375"/>
    <mergeCell ref="C377:J377"/>
    <mergeCell ref="C378:E378"/>
    <mergeCell ref="C379:E379"/>
    <mergeCell ref="C365:J365"/>
    <mergeCell ref="C367:J367"/>
    <mergeCell ref="C368:E368"/>
    <mergeCell ref="C369:E369"/>
    <mergeCell ref="C370:J370"/>
    <mergeCell ref="C372:J372"/>
    <mergeCell ref="C358:E358"/>
    <mergeCell ref="C359:E359"/>
    <mergeCell ref="C360:J360"/>
    <mergeCell ref="C362:J362"/>
    <mergeCell ref="C363:E363"/>
    <mergeCell ref="C364:E364"/>
    <mergeCell ref="C350:J350"/>
    <mergeCell ref="C352:J352"/>
    <mergeCell ref="C353:E353"/>
    <mergeCell ref="C354:E354"/>
    <mergeCell ref="C355:J355"/>
    <mergeCell ref="C357:J357"/>
    <mergeCell ref="C343:E343"/>
    <mergeCell ref="C344:E344"/>
    <mergeCell ref="C345:J345"/>
    <mergeCell ref="C347:J347"/>
    <mergeCell ref="C348:E348"/>
    <mergeCell ref="C349:E349"/>
    <mergeCell ref="C335:J335"/>
    <mergeCell ref="C337:J337"/>
    <mergeCell ref="C338:E338"/>
    <mergeCell ref="C339:E339"/>
    <mergeCell ref="C340:J340"/>
    <mergeCell ref="C342:J342"/>
    <mergeCell ref="C328:E328"/>
    <mergeCell ref="C329:E329"/>
    <mergeCell ref="C330:J330"/>
    <mergeCell ref="C332:J332"/>
    <mergeCell ref="C333:E333"/>
    <mergeCell ref="C334:E334"/>
    <mergeCell ref="C320:J320"/>
    <mergeCell ref="C322:J322"/>
    <mergeCell ref="C323:E323"/>
    <mergeCell ref="C324:E324"/>
    <mergeCell ref="C325:J325"/>
    <mergeCell ref="C327:J327"/>
    <mergeCell ref="C313:E313"/>
    <mergeCell ref="C314:J314"/>
    <mergeCell ref="C316:J316"/>
    <mergeCell ref="C317:J317"/>
    <mergeCell ref="C318:E318"/>
    <mergeCell ref="C319:E319"/>
    <mergeCell ref="C306:J306"/>
    <mergeCell ref="C307:E307"/>
    <mergeCell ref="C308:E308"/>
    <mergeCell ref="C309:J309"/>
    <mergeCell ref="C311:J311"/>
    <mergeCell ref="C312:E312"/>
    <mergeCell ref="C298:E298"/>
    <mergeCell ref="C299:J299"/>
    <mergeCell ref="C301:J301"/>
    <mergeCell ref="C302:E302"/>
    <mergeCell ref="C303:E303"/>
    <mergeCell ref="C304:J304"/>
    <mergeCell ref="C291:J291"/>
    <mergeCell ref="C292:E292"/>
    <mergeCell ref="C293:E293"/>
    <mergeCell ref="C294:J294"/>
    <mergeCell ref="C296:J296"/>
    <mergeCell ref="C297:E297"/>
    <mergeCell ref="C283:E283"/>
    <mergeCell ref="C284:J284"/>
    <mergeCell ref="C286:J286"/>
    <mergeCell ref="C287:E287"/>
    <mergeCell ref="C288:E288"/>
    <mergeCell ref="C289:J289"/>
    <mergeCell ref="C276:J276"/>
    <mergeCell ref="C277:E277"/>
    <mergeCell ref="C278:E278"/>
    <mergeCell ref="C279:J279"/>
    <mergeCell ref="C281:J281"/>
    <mergeCell ref="C282:E282"/>
    <mergeCell ref="C268:E268"/>
    <mergeCell ref="C269:J269"/>
    <mergeCell ref="C271:J271"/>
    <mergeCell ref="C272:E272"/>
    <mergeCell ref="C273:E273"/>
    <mergeCell ref="C274:J274"/>
    <mergeCell ref="C261:E261"/>
    <mergeCell ref="C262:J262"/>
    <mergeCell ref="C263:E263"/>
    <mergeCell ref="C264:J264"/>
    <mergeCell ref="C266:J266"/>
    <mergeCell ref="C267:E267"/>
    <mergeCell ref="C253:J253"/>
    <mergeCell ref="C255:J255"/>
    <mergeCell ref="C256:E256"/>
    <mergeCell ref="C257:E257"/>
    <mergeCell ref="C258:J258"/>
    <mergeCell ref="C260:J260"/>
    <mergeCell ref="C247:J247"/>
    <mergeCell ref="C248:E248"/>
    <mergeCell ref="C249:E249"/>
    <mergeCell ref="C250:J250"/>
    <mergeCell ref="C251:E251"/>
    <mergeCell ref="C252:E252"/>
    <mergeCell ref="C241:E241"/>
    <mergeCell ref="C242:E242"/>
    <mergeCell ref="C243:E243"/>
    <mergeCell ref="C244:E244"/>
    <mergeCell ref="C245:E245"/>
    <mergeCell ref="C246:E246"/>
    <mergeCell ref="C233:E233"/>
    <mergeCell ref="C234:E234"/>
    <mergeCell ref="C235:E235"/>
    <mergeCell ref="C236:E236"/>
    <mergeCell ref="C237:J237"/>
    <mergeCell ref="C239:J239"/>
    <mergeCell ref="C226:E226"/>
    <mergeCell ref="C227:E227"/>
    <mergeCell ref="C228:E228"/>
    <mergeCell ref="C229:J229"/>
    <mergeCell ref="C231:J231"/>
    <mergeCell ref="C232:E232"/>
    <mergeCell ref="C207:J207"/>
    <mergeCell ref="C208:E208"/>
    <mergeCell ref="C209:E209"/>
    <mergeCell ref="C210:J210"/>
    <mergeCell ref="C224:E224"/>
    <mergeCell ref="C225:E225"/>
    <mergeCell ref="C204:E204"/>
    <mergeCell ref="C205:J205"/>
    <mergeCell ref="C219:J219"/>
    <mergeCell ref="C220:E220"/>
    <mergeCell ref="C221:E221"/>
    <mergeCell ref="C222:J222"/>
    <mergeCell ref="C217:J217"/>
    <mergeCell ref="C212:J212"/>
    <mergeCell ref="C213:E213"/>
    <mergeCell ref="C214:E214"/>
    <mergeCell ref="C215:J215"/>
    <mergeCell ref="C197:J197"/>
    <mergeCell ref="C198:E198"/>
    <mergeCell ref="C199:E199"/>
    <mergeCell ref="C200:J200"/>
    <mergeCell ref="C202:J202"/>
    <mergeCell ref="C203:E203"/>
    <mergeCell ref="C187:J187"/>
    <mergeCell ref="C189:J189"/>
    <mergeCell ref="C192:J192"/>
    <mergeCell ref="C193:E193"/>
    <mergeCell ref="C194:E194"/>
    <mergeCell ref="C195:J195"/>
    <mergeCell ref="C181:J181"/>
    <mergeCell ref="C182:J182"/>
    <mergeCell ref="C183:E183"/>
    <mergeCell ref="C184:E184"/>
    <mergeCell ref="C185:E185"/>
    <mergeCell ref="C186:E186"/>
    <mergeCell ref="C173:E173"/>
    <mergeCell ref="C174:J174"/>
    <mergeCell ref="C176:J176"/>
    <mergeCell ref="C177:E177"/>
    <mergeCell ref="C178:E178"/>
    <mergeCell ref="C179:J179"/>
    <mergeCell ref="C166:J166"/>
    <mergeCell ref="C167:E167"/>
    <mergeCell ref="C168:E168"/>
    <mergeCell ref="C169:J169"/>
    <mergeCell ref="C171:J171"/>
    <mergeCell ref="C172:E172"/>
    <mergeCell ref="C158:E158"/>
    <mergeCell ref="C159:J159"/>
    <mergeCell ref="C161:J161"/>
    <mergeCell ref="C162:E162"/>
    <mergeCell ref="C163:E163"/>
    <mergeCell ref="C164:J164"/>
    <mergeCell ref="C151:E151"/>
    <mergeCell ref="C152:E152"/>
    <mergeCell ref="C153:E153"/>
    <mergeCell ref="C154:J154"/>
    <mergeCell ref="C156:J156"/>
    <mergeCell ref="C157:E157"/>
    <mergeCell ref="C144:J144"/>
    <mergeCell ref="C145:E145"/>
    <mergeCell ref="C146:E146"/>
    <mergeCell ref="C147:E147"/>
    <mergeCell ref="C148:J148"/>
    <mergeCell ref="C150:J150"/>
    <mergeCell ref="C136:J136"/>
    <mergeCell ref="C138:J138"/>
    <mergeCell ref="C139:E139"/>
    <mergeCell ref="C140:E140"/>
    <mergeCell ref="C141:E141"/>
    <mergeCell ref="C142:J142"/>
    <mergeCell ref="C129:J129"/>
    <mergeCell ref="C131:J131"/>
    <mergeCell ref="C132:E132"/>
    <mergeCell ref="C133:E133"/>
    <mergeCell ref="C134:E134"/>
    <mergeCell ref="C135:E135"/>
    <mergeCell ref="C123:E123"/>
    <mergeCell ref="C124:E124"/>
    <mergeCell ref="C125:E125"/>
    <mergeCell ref="C126:E126"/>
    <mergeCell ref="C127:E127"/>
    <mergeCell ref="C128:E128"/>
    <mergeCell ref="C116:E116"/>
    <mergeCell ref="C117:E117"/>
    <mergeCell ref="C118:E118"/>
    <mergeCell ref="C119:E119"/>
    <mergeCell ref="C120:J120"/>
    <mergeCell ref="C122:J122"/>
    <mergeCell ref="C109:E109"/>
    <mergeCell ref="C110:E110"/>
    <mergeCell ref="C111:J111"/>
    <mergeCell ref="C113:J113"/>
    <mergeCell ref="C114:E114"/>
    <mergeCell ref="C115:E115"/>
    <mergeCell ref="C102:E102"/>
    <mergeCell ref="C103:E103"/>
    <mergeCell ref="C104:J104"/>
    <mergeCell ref="C106:J106"/>
    <mergeCell ref="C107:E107"/>
    <mergeCell ref="C108:E108"/>
    <mergeCell ref="C95:J95"/>
    <mergeCell ref="C96:E96"/>
    <mergeCell ref="C97:E97"/>
    <mergeCell ref="C98:J98"/>
    <mergeCell ref="C100:J100"/>
    <mergeCell ref="C101:J101"/>
    <mergeCell ref="C87:E87"/>
    <mergeCell ref="C88:J88"/>
    <mergeCell ref="C90:J90"/>
    <mergeCell ref="C91:E91"/>
    <mergeCell ref="C92:E92"/>
    <mergeCell ref="C93:J93"/>
    <mergeCell ref="C80:E80"/>
    <mergeCell ref="C81:E81"/>
    <mergeCell ref="C82:E82"/>
    <mergeCell ref="C83:J83"/>
    <mergeCell ref="C85:J85"/>
    <mergeCell ref="C86:E86"/>
    <mergeCell ref="C73:E73"/>
    <mergeCell ref="C74:J74"/>
    <mergeCell ref="C76:J76"/>
    <mergeCell ref="C77:E77"/>
    <mergeCell ref="C78:E78"/>
    <mergeCell ref="C79:E79"/>
    <mergeCell ref="C67:J67"/>
    <mergeCell ref="C68:E68"/>
    <mergeCell ref="C69:E69"/>
    <mergeCell ref="C70:E70"/>
    <mergeCell ref="C71:E71"/>
    <mergeCell ref="C72:E72"/>
    <mergeCell ref="C60:E60"/>
    <mergeCell ref="C61:E61"/>
    <mergeCell ref="C62:E62"/>
    <mergeCell ref="C63:E63"/>
    <mergeCell ref="C64:E64"/>
    <mergeCell ref="C65:J65"/>
    <mergeCell ref="C53:E53"/>
    <mergeCell ref="C54:J54"/>
    <mergeCell ref="C56:J56"/>
    <mergeCell ref="C57:J57"/>
    <mergeCell ref="C58:E58"/>
    <mergeCell ref="C59:E59"/>
    <mergeCell ref="C46:E46"/>
    <mergeCell ref="C47:E47"/>
    <mergeCell ref="C48:E48"/>
    <mergeCell ref="C49:J49"/>
    <mergeCell ref="C51:J51"/>
    <mergeCell ref="C52:E52"/>
    <mergeCell ref="C39:J39"/>
    <mergeCell ref="C41:J41"/>
    <mergeCell ref="C42:E42"/>
    <mergeCell ref="C43:E43"/>
    <mergeCell ref="C44:E44"/>
    <mergeCell ref="C45:E45"/>
    <mergeCell ref="C32:E32"/>
    <mergeCell ref="C33:J33"/>
    <mergeCell ref="C35:J35"/>
    <mergeCell ref="C36:J36"/>
    <mergeCell ref="C37:E37"/>
    <mergeCell ref="C38:E38"/>
    <mergeCell ref="C25:E25"/>
    <mergeCell ref="C26:E26"/>
    <mergeCell ref="C27:J27"/>
    <mergeCell ref="C29:J29"/>
    <mergeCell ref="C30:J30"/>
    <mergeCell ref="C31:E31"/>
    <mergeCell ref="C18:J18"/>
    <mergeCell ref="C19:E19"/>
    <mergeCell ref="C20:E20"/>
    <mergeCell ref="C21:J21"/>
    <mergeCell ref="C23:J23"/>
    <mergeCell ref="C24:E24"/>
    <mergeCell ref="C8:D8"/>
    <mergeCell ref="C12:J12"/>
    <mergeCell ref="C13:J13"/>
    <mergeCell ref="C14:E14"/>
    <mergeCell ref="C15:E15"/>
    <mergeCell ref="C16:J16"/>
    <mergeCell ref="B2:C5"/>
    <mergeCell ref="D2:I2"/>
    <mergeCell ref="J2:L5"/>
    <mergeCell ref="D3:I3"/>
    <mergeCell ref="D4:I5"/>
    <mergeCell ref="B7:C7"/>
    <mergeCell ref="C791:J791"/>
    <mergeCell ref="C792:E792"/>
    <mergeCell ref="C793:E793"/>
    <mergeCell ref="C794:J794"/>
    <mergeCell ref="C764:J764"/>
    <mergeCell ref="C765:E765"/>
    <mergeCell ref="C766:E766"/>
    <mergeCell ref="C767:J767"/>
    <mergeCell ref="C779:J779"/>
    <mergeCell ref="C780:E780"/>
    <mergeCell ref="C781:E781"/>
    <mergeCell ref="C782:J782"/>
    <mergeCell ref="C790:J790"/>
    <mergeCell ref="C788:J788"/>
    <mergeCell ref="C776:E776"/>
    <mergeCell ref="C777:J777"/>
    <mergeCell ref="C784:J784"/>
    <mergeCell ref="C785:J785"/>
    <mergeCell ref="C786:E786"/>
    <mergeCell ref="C787:E787"/>
    <mergeCell ref="C769:J769"/>
    <mergeCell ref="C770:E770"/>
    <mergeCell ref="C771:E771"/>
    <mergeCell ref="C772:J772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49" orientation="portrait" horizontalDpi="360" verticalDpi="360" r:id="rId1"/>
  <headerFooter>
    <oddFooter>Página &amp;P de &amp;N</oddFooter>
  </headerFooter>
  <rowBreaks count="2" manualBreakCount="2">
    <brk id="647" min="1" max="11" man="1"/>
    <brk id="719" min="1" max="11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3"/>
  <sheetViews>
    <sheetView view="pageBreakPreview" zoomScale="85" zoomScaleNormal="100" zoomScaleSheetLayoutView="85" workbookViewId="0">
      <selection activeCell="A45" sqref="A45:XFD45"/>
    </sheetView>
  </sheetViews>
  <sheetFormatPr defaultRowHeight="15"/>
  <cols>
    <col min="1" max="1" width="17.42578125" style="26" bestFit="1" customWidth="1"/>
    <col min="2" max="2" width="17.140625" style="27" customWidth="1"/>
    <col min="3" max="3" width="35.85546875" style="27" customWidth="1"/>
    <col min="4" max="4" width="6.85546875" style="27" customWidth="1"/>
    <col min="5" max="5" width="8.85546875" style="28" bestFit="1" customWidth="1"/>
    <col min="6" max="6" width="14" style="29" customWidth="1"/>
    <col min="7" max="7" width="13.5703125" style="29" bestFit="1" customWidth="1"/>
    <col min="8" max="8" width="27.140625" style="29" customWidth="1"/>
    <col min="257" max="257" width="17.42578125" bestFit="1" customWidth="1"/>
    <col min="258" max="258" width="8.7109375" customWidth="1"/>
    <col min="259" max="259" width="58.85546875" customWidth="1"/>
    <col min="260" max="260" width="6.85546875" customWidth="1"/>
    <col min="261" max="261" width="8.42578125" bestFit="1" customWidth="1"/>
    <col min="262" max="262" width="11.28515625" bestFit="1" customWidth="1"/>
    <col min="263" max="264" width="13.5703125" bestFit="1" customWidth="1"/>
    <col min="513" max="513" width="17.42578125" bestFit="1" customWidth="1"/>
    <col min="514" max="514" width="8.7109375" customWidth="1"/>
    <col min="515" max="515" width="58.85546875" customWidth="1"/>
    <col min="516" max="516" width="6.85546875" customWidth="1"/>
    <col min="517" max="517" width="8.42578125" bestFit="1" customWidth="1"/>
    <col min="518" max="518" width="11.28515625" bestFit="1" customWidth="1"/>
    <col min="519" max="520" width="13.5703125" bestFit="1" customWidth="1"/>
    <col min="769" max="769" width="17.42578125" bestFit="1" customWidth="1"/>
    <col min="770" max="770" width="8.7109375" customWidth="1"/>
    <col min="771" max="771" width="58.85546875" customWidth="1"/>
    <col min="772" max="772" width="6.85546875" customWidth="1"/>
    <col min="773" max="773" width="8.42578125" bestFit="1" customWidth="1"/>
    <col min="774" max="774" width="11.28515625" bestFit="1" customWidth="1"/>
    <col min="775" max="776" width="13.5703125" bestFit="1" customWidth="1"/>
    <col min="1025" max="1025" width="17.42578125" bestFit="1" customWidth="1"/>
    <col min="1026" max="1026" width="8.7109375" customWidth="1"/>
    <col min="1027" max="1027" width="58.85546875" customWidth="1"/>
    <col min="1028" max="1028" width="6.85546875" customWidth="1"/>
    <col min="1029" max="1029" width="8.42578125" bestFit="1" customWidth="1"/>
    <col min="1030" max="1030" width="11.28515625" bestFit="1" customWidth="1"/>
    <col min="1031" max="1032" width="13.5703125" bestFit="1" customWidth="1"/>
    <col min="1281" max="1281" width="17.42578125" bestFit="1" customWidth="1"/>
    <col min="1282" max="1282" width="8.7109375" customWidth="1"/>
    <col min="1283" max="1283" width="58.85546875" customWidth="1"/>
    <col min="1284" max="1284" width="6.85546875" customWidth="1"/>
    <col min="1285" max="1285" width="8.42578125" bestFit="1" customWidth="1"/>
    <col min="1286" max="1286" width="11.28515625" bestFit="1" customWidth="1"/>
    <col min="1287" max="1288" width="13.5703125" bestFit="1" customWidth="1"/>
    <col min="1537" max="1537" width="17.42578125" bestFit="1" customWidth="1"/>
    <col min="1538" max="1538" width="8.7109375" customWidth="1"/>
    <col min="1539" max="1539" width="58.85546875" customWidth="1"/>
    <col min="1540" max="1540" width="6.85546875" customWidth="1"/>
    <col min="1541" max="1541" width="8.42578125" bestFit="1" customWidth="1"/>
    <col min="1542" max="1542" width="11.28515625" bestFit="1" customWidth="1"/>
    <col min="1543" max="1544" width="13.5703125" bestFit="1" customWidth="1"/>
    <col min="1793" max="1793" width="17.42578125" bestFit="1" customWidth="1"/>
    <col min="1794" max="1794" width="8.7109375" customWidth="1"/>
    <col min="1795" max="1795" width="58.85546875" customWidth="1"/>
    <col min="1796" max="1796" width="6.85546875" customWidth="1"/>
    <col min="1797" max="1797" width="8.42578125" bestFit="1" customWidth="1"/>
    <col min="1798" max="1798" width="11.28515625" bestFit="1" customWidth="1"/>
    <col min="1799" max="1800" width="13.5703125" bestFit="1" customWidth="1"/>
    <col min="2049" max="2049" width="17.42578125" bestFit="1" customWidth="1"/>
    <col min="2050" max="2050" width="8.7109375" customWidth="1"/>
    <col min="2051" max="2051" width="58.85546875" customWidth="1"/>
    <col min="2052" max="2052" width="6.85546875" customWidth="1"/>
    <col min="2053" max="2053" width="8.42578125" bestFit="1" customWidth="1"/>
    <col min="2054" max="2054" width="11.28515625" bestFit="1" customWidth="1"/>
    <col min="2055" max="2056" width="13.5703125" bestFit="1" customWidth="1"/>
    <col min="2305" max="2305" width="17.42578125" bestFit="1" customWidth="1"/>
    <col min="2306" max="2306" width="8.7109375" customWidth="1"/>
    <col min="2307" max="2307" width="58.85546875" customWidth="1"/>
    <col min="2308" max="2308" width="6.85546875" customWidth="1"/>
    <col min="2309" max="2309" width="8.42578125" bestFit="1" customWidth="1"/>
    <col min="2310" max="2310" width="11.28515625" bestFit="1" customWidth="1"/>
    <col min="2311" max="2312" width="13.5703125" bestFit="1" customWidth="1"/>
    <col min="2561" max="2561" width="17.42578125" bestFit="1" customWidth="1"/>
    <col min="2562" max="2562" width="8.7109375" customWidth="1"/>
    <col min="2563" max="2563" width="58.85546875" customWidth="1"/>
    <col min="2564" max="2564" width="6.85546875" customWidth="1"/>
    <col min="2565" max="2565" width="8.42578125" bestFit="1" customWidth="1"/>
    <col min="2566" max="2566" width="11.28515625" bestFit="1" customWidth="1"/>
    <col min="2567" max="2568" width="13.5703125" bestFit="1" customWidth="1"/>
    <col min="2817" max="2817" width="17.42578125" bestFit="1" customWidth="1"/>
    <col min="2818" max="2818" width="8.7109375" customWidth="1"/>
    <col min="2819" max="2819" width="58.85546875" customWidth="1"/>
    <col min="2820" max="2820" width="6.85546875" customWidth="1"/>
    <col min="2821" max="2821" width="8.42578125" bestFit="1" customWidth="1"/>
    <col min="2822" max="2822" width="11.28515625" bestFit="1" customWidth="1"/>
    <col min="2823" max="2824" width="13.5703125" bestFit="1" customWidth="1"/>
    <col min="3073" max="3073" width="17.42578125" bestFit="1" customWidth="1"/>
    <col min="3074" max="3074" width="8.7109375" customWidth="1"/>
    <col min="3075" max="3075" width="58.85546875" customWidth="1"/>
    <col min="3076" max="3076" width="6.85546875" customWidth="1"/>
    <col min="3077" max="3077" width="8.42578125" bestFit="1" customWidth="1"/>
    <col min="3078" max="3078" width="11.28515625" bestFit="1" customWidth="1"/>
    <col min="3079" max="3080" width="13.5703125" bestFit="1" customWidth="1"/>
    <col min="3329" max="3329" width="17.42578125" bestFit="1" customWidth="1"/>
    <col min="3330" max="3330" width="8.7109375" customWidth="1"/>
    <col min="3331" max="3331" width="58.85546875" customWidth="1"/>
    <col min="3332" max="3332" width="6.85546875" customWidth="1"/>
    <col min="3333" max="3333" width="8.42578125" bestFit="1" customWidth="1"/>
    <col min="3334" max="3334" width="11.28515625" bestFit="1" customWidth="1"/>
    <col min="3335" max="3336" width="13.5703125" bestFit="1" customWidth="1"/>
    <col min="3585" max="3585" width="17.42578125" bestFit="1" customWidth="1"/>
    <col min="3586" max="3586" width="8.7109375" customWidth="1"/>
    <col min="3587" max="3587" width="58.85546875" customWidth="1"/>
    <col min="3588" max="3588" width="6.85546875" customWidth="1"/>
    <col min="3589" max="3589" width="8.42578125" bestFit="1" customWidth="1"/>
    <col min="3590" max="3590" width="11.28515625" bestFit="1" customWidth="1"/>
    <col min="3591" max="3592" width="13.5703125" bestFit="1" customWidth="1"/>
    <col min="3841" max="3841" width="17.42578125" bestFit="1" customWidth="1"/>
    <col min="3842" max="3842" width="8.7109375" customWidth="1"/>
    <col min="3843" max="3843" width="58.85546875" customWidth="1"/>
    <col min="3844" max="3844" width="6.85546875" customWidth="1"/>
    <col min="3845" max="3845" width="8.42578125" bestFit="1" customWidth="1"/>
    <col min="3846" max="3846" width="11.28515625" bestFit="1" customWidth="1"/>
    <col min="3847" max="3848" width="13.5703125" bestFit="1" customWidth="1"/>
    <col min="4097" max="4097" width="17.42578125" bestFit="1" customWidth="1"/>
    <col min="4098" max="4098" width="8.7109375" customWidth="1"/>
    <col min="4099" max="4099" width="58.85546875" customWidth="1"/>
    <col min="4100" max="4100" width="6.85546875" customWidth="1"/>
    <col min="4101" max="4101" width="8.42578125" bestFit="1" customWidth="1"/>
    <col min="4102" max="4102" width="11.28515625" bestFit="1" customWidth="1"/>
    <col min="4103" max="4104" width="13.5703125" bestFit="1" customWidth="1"/>
    <col min="4353" max="4353" width="17.42578125" bestFit="1" customWidth="1"/>
    <col min="4354" max="4354" width="8.7109375" customWidth="1"/>
    <col min="4355" max="4355" width="58.85546875" customWidth="1"/>
    <col min="4356" max="4356" width="6.85546875" customWidth="1"/>
    <col min="4357" max="4357" width="8.42578125" bestFit="1" customWidth="1"/>
    <col min="4358" max="4358" width="11.28515625" bestFit="1" customWidth="1"/>
    <col min="4359" max="4360" width="13.5703125" bestFit="1" customWidth="1"/>
    <col min="4609" max="4609" width="17.42578125" bestFit="1" customWidth="1"/>
    <col min="4610" max="4610" width="8.7109375" customWidth="1"/>
    <col min="4611" max="4611" width="58.85546875" customWidth="1"/>
    <col min="4612" max="4612" width="6.85546875" customWidth="1"/>
    <col min="4613" max="4613" width="8.42578125" bestFit="1" customWidth="1"/>
    <col min="4614" max="4614" width="11.28515625" bestFit="1" customWidth="1"/>
    <col min="4615" max="4616" width="13.5703125" bestFit="1" customWidth="1"/>
    <col min="4865" max="4865" width="17.42578125" bestFit="1" customWidth="1"/>
    <col min="4866" max="4866" width="8.7109375" customWidth="1"/>
    <col min="4867" max="4867" width="58.85546875" customWidth="1"/>
    <col min="4868" max="4868" width="6.85546875" customWidth="1"/>
    <col min="4869" max="4869" width="8.42578125" bestFit="1" customWidth="1"/>
    <col min="4870" max="4870" width="11.28515625" bestFit="1" customWidth="1"/>
    <col min="4871" max="4872" width="13.5703125" bestFit="1" customWidth="1"/>
    <col min="5121" max="5121" width="17.42578125" bestFit="1" customWidth="1"/>
    <col min="5122" max="5122" width="8.7109375" customWidth="1"/>
    <col min="5123" max="5123" width="58.85546875" customWidth="1"/>
    <col min="5124" max="5124" width="6.85546875" customWidth="1"/>
    <col min="5125" max="5125" width="8.42578125" bestFit="1" customWidth="1"/>
    <col min="5126" max="5126" width="11.28515625" bestFit="1" customWidth="1"/>
    <col min="5127" max="5128" width="13.5703125" bestFit="1" customWidth="1"/>
    <col min="5377" max="5377" width="17.42578125" bestFit="1" customWidth="1"/>
    <col min="5378" max="5378" width="8.7109375" customWidth="1"/>
    <col min="5379" max="5379" width="58.85546875" customWidth="1"/>
    <col min="5380" max="5380" width="6.85546875" customWidth="1"/>
    <col min="5381" max="5381" width="8.42578125" bestFit="1" customWidth="1"/>
    <col min="5382" max="5382" width="11.28515625" bestFit="1" customWidth="1"/>
    <col min="5383" max="5384" width="13.5703125" bestFit="1" customWidth="1"/>
    <col min="5633" max="5633" width="17.42578125" bestFit="1" customWidth="1"/>
    <col min="5634" max="5634" width="8.7109375" customWidth="1"/>
    <col min="5635" max="5635" width="58.85546875" customWidth="1"/>
    <col min="5636" max="5636" width="6.85546875" customWidth="1"/>
    <col min="5637" max="5637" width="8.42578125" bestFit="1" customWidth="1"/>
    <col min="5638" max="5638" width="11.28515625" bestFit="1" customWidth="1"/>
    <col min="5639" max="5640" width="13.5703125" bestFit="1" customWidth="1"/>
    <col min="5889" max="5889" width="17.42578125" bestFit="1" customWidth="1"/>
    <col min="5890" max="5890" width="8.7109375" customWidth="1"/>
    <col min="5891" max="5891" width="58.85546875" customWidth="1"/>
    <col min="5892" max="5892" width="6.85546875" customWidth="1"/>
    <col min="5893" max="5893" width="8.42578125" bestFit="1" customWidth="1"/>
    <col min="5894" max="5894" width="11.28515625" bestFit="1" customWidth="1"/>
    <col min="5895" max="5896" width="13.5703125" bestFit="1" customWidth="1"/>
    <col min="6145" max="6145" width="17.42578125" bestFit="1" customWidth="1"/>
    <col min="6146" max="6146" width="8.7109375" customWidth="1"/>
    <col min="6147" max="6147" width="58.85546875" customWidth="1"/>
    <col min="6148" max="6148" width="6.85546875" customWidth="1"/>
    <col min="6149" max="6149" width="8.42578125" bestFit="1" customWidth="1"/>
    <col min="6150" max="6150" width="11.28515625" bestFit="1" customWidth="1"/>
    <col min="6151" max="6152" width="13.5703125" bestFit="1" customWidth="1"/>
    <col min="6401" max="6401" width="17.42578125" bestFit="1" customWidth="1"/>
    <col min="6402" max="6402" width="8.7109375" customWidth="1"/>
    <col min="6403" max="6403" width="58.85546875" customWidth="1"/>
    <col min="6404" max="6404" width="6.85546875" customWidth="1"/>
    <col min="6405" max="6405" width="8.42578125" bestFit="1" customWidth="1"/>
    <col min="6406" max="6406" width="11.28515625" bestFit="1" customWidth="1"/>
    <col min="6407" max="6408" width="13.5703125" bestFit="1" customWidth="1"/>
    <col min="6657" max="6657" width="17.42578125" bestFit="1" customWidth="1"/>
    <col min="6658" max="6658" width="8.7109375" customWidth="1"/>
    <col min="6659" max="6659" width="58.85546875" customWidth="1"/>
    <col min="6660" max="6660" width="6.85546875" customWidth="1"/>
    <col min="6661" max="6661" width="8.42578125" bestFit="1" customWidth="1"/>
    <col min="6662" max="6662" width="11.28515625" bestFit="1" customWidth="1"/>
    <col min="6663" max="6664" width="13.5703125" bestFit="1" customWidth="1"/>
    <col min="6913" max="6913" width="17.42578125" bestFit="1" customWidth="1"/>
    <col min="6914" max="6914" width="8.7109375" customWidth="1"/>
    <col min="6915" max="6915" width="58.85546875" customWidth="1"/>
    <col min="6916" max="6916" width="6.85546875" customWidth="1"/>
    <col min="6917" max="6917" width="8.42578125" bestFit="1" customWidth="1"/>
    <col min="6918" max="6918" width="11.28515625" bestFit="1" customWidth="1"/>
    <col min="6919" max="6920" width="13.5703125" bestFit="1" customWidth="1"/>
    <col min="7169" max="7169" width="17.42578125" bestFit="1" customWidth="1"/>
    <col min="7170" max="7170" width="8.7109375" customWidth="1"/>
    <col min="7171" max="7171" width="58.85546875" customWidth="1"/>
    <col min="7172" max="7172" width="6.85546875" customWidth="1"/>
    <col min="7173" max="7173" width="8.42578125" bestFit="1" customWidth="1"/>
    <col min="7174" max="7174" width="11.28515625" bestFit="1" customWidth="1"/>
    <col min="7175" max="7176" width="13.5703125" bestFit="1" customWidth="1"/>
    <col min="7425" max="7425" width="17.42578125" bestFit="1" customWidth="1"/>
    <col min="7426" max="7426" width="8.7109375" customWidth="1"/>
    <col min="7427" max="7427" width="58.85546875" customWidth="1"/>
    <col min="7428" max="7428" width="6.85546875" customWidth="1"/>
    <col min="7429" max="7429" width="8.42578125" bestFit="1" customWidth="1"/>
    <col min="7430" max="7430" width="11.28515625" bestFit="1" customWidth="1"/>
    <col min="7431" max="7432" width="13.5703125" bestFit="1" customWidth="1"/>
    <col min="7681" max="7681" width="17.42578125" bestFit="1" customWidth="1"/>
    <col min="7682" max="7682" width="8.7109375" customWidth="1"/>
    <col min="7683" max="7683" width="58.85546875" customWidth="1"/>
    <col min="7684" max="7684" width="6.85546875" customWidth="1"/>
    <col min="7685" max="7685" width="8.42578125" bestFit="1" customWidth="1"/>
    <col min="7686" max="7686" width="11.28515625" bestFit="1" customWidth="1"/>
    <col min="7687" max="7688" width="13.5703125" bestFit="1" customWidth="1"/>
    <col min="7937" max="7937" width="17.42578125" bestFit="1" customWidth="1"/>
    <col min="7938" max="7938" width="8.7109375" customWidth="1"/>
    <col min="7939" max="7939" width="58.85546875" customWidth="1"/>
    <col min="7940" max="7940" width="6.85546875" customWidth="1"/>
    <col min="7941" max="7941" width="8.42578125" bestFit="1" customWidth="1"/>
    <col min="7942" max="7942" width="11.28515625" bestFit="1" customWidth="1"/>
    <col min="7943" max="7944" width="13.5703125" bestFit="1" customWidth="1"/>
    <col min="8193" max="8193" width="17.42578125" bestFit="1" customWidth="1"/>
    <col min="8194" max="8194" width="8.7109375" customWidth="1"/>
    <col min="8195" max="8195" width="58.85546875" customWidth="1"/>
    <col min="8196" max="8196" width="6.85546875" customWidth="1"/>
    <col min="8197" max="8197" width="8.42578125" bestFit="1" customWidth="1"/>
    <col min="8198" max="8198" width="11.28515625" bestFit="1" customWidth="1"/>
    <col min="8199" max="8200" width="13.5703125" bestFit="1" customWidth="1"/>
    <col min="8449" max="8449" width="17.42578125" bestFit="1" customWidth="1"/>
    <col min="8450" max="8450" width="8.7109375" customWidth="1"/>
    <col min="8451" max="8451" width="58.85546875" customWidth="1"/>
    <col min="8452" max="8452" width="6.85546875" customWidth="1"/>
    <col min="8453" max="8453" width="8.42578125" bestFit="1" customWidth="1"/>
    <col min="8454" max="8454" width="11.28515625" bestFit="1" customWidth="1"/>
    <col min="8455" max="8456" width="13.5703125" bestFit="1" customWidth="1"/>
    <col min="8705" max="8705" width="17.42578125" bestFit="1" customWidth="1"/>
    <col min="8706" max="8706" width="8.7109375" customWidth="1"/>
    <col min="8707" max="8707" width="58.85546875" customWidth="1"/>
    <col min="8708" max="8708" width="6.85546875" customWidth="1"/>
    <col min="8709" max="8709" width="8.42578125" bestFit="1" customWidth="1"/>
    <col min="8710" max="8710" width="11.28515625" bestFit="1" customWidth="1"/>
    <col min="8711" max="8712" width="13.5703125" bestFit="1" customWidth="1"/>
    <col min="8961" max="8961" width="17.42578125" bestFit="1" customWidth="1"/>
    <col min="8962" max="8962" width="8.7109375" customWidth="1"/>
    <col min="8963" max="8963" width="58.85546875" customWidth="1"/>
    <col min="8964" max="8964" width="6.85546875" customWidth="1"/>
    <col min="8965" max="8965" width="8.42578125" bestFit="1" customWidth="1"/>
    <col min="8966" max="8966" width="11.28515625" bestFit="1" customWidth="1"/>
    <col min="8967" max="8968" width="13.5703125" bestFit="1" customWidth="1"/>
    <col min="9217" max="9217" width="17.42578125" bestFit="1" customWidth="1"/>
    <col min="9218" max="9218" width="8.7109375" customWidth="1"/>
    <col min="9219" max="9219" width="58.85546875" customWidth="1"/>
    <col min="9220" max="9220" width="6.85546875" customWidth="1"/>
    <col min="9221" max="9221" width="8.42578125" bestFit="1" customWidth="1"/>
    <col min="9222" max="9222" width="11.28515625" bestFit="1" customWidth="1"/>
    <col min="9223" max="9224" width="13.5703125" bestFit="1" customWidth="1"/>
    <col min="9473" max="9473" width="17.42578125" bestFit="1" customWidth="1"/>
    <col min="9474" max="9474" width="8.7109375" customWidth="1"/>
    <col min="9475" max="9475" width="58.85546875" customWidth="1"/>
    <col min="9476" max="9476" width="6.85546875" customWidth="1"/>
    <col min="9477" max="9477" width="8.42578125" bestFit="1" customWidth="1"/>
    <col min="9478" max="9478" width="11.28515625" bestFit="1" customWidth="1"/>
    <col min="9479" max="9480" width="13.5703125" bestFit="1" customWidth="1"/>
    <col min="9729" max="9729" width="17.42578125" bestFit="1" customWidth="1"/>
    <col min="9730" max="9730" width="8.7109375" customWidth="1"/>
    <col min="9731" max="9731" width="58.85546875" customWidth="1"/>
    <col min="9732" max="9732" width="6.85546875" customWidth="1"/>
    <col min="9733" max="9733" width="8.42578125" bestFit="1" customWidth="1"/>
    <col min="9734" max="9734" width="11.28515625" bestFit="1" customWidth="1"/>
    <col min="9735" max="9736" width="13.5703125" bestFit="1" customWidth="1"/>
    <col min="9985" max="9985" width="17.42578125" bestFit="1" customWidth="1"/>
    <col min="9986" max="9986" width="8.7109375" customWidth="1"/>
    <col min="9987" max="9987" width="58.85546875" customWidth="1"/>
    <col min="9988" max="9988" width="6.85546875" customWidth="1"/>
    <col min="9989" max="9989" width="8.42578125" bestFit="1" customWidth="1"/>
    <col min="9990" max="9990" width="11.28515625" bestFit="1" customWidth="1"/>
    <col min="9991" max="9992" width="13.5703125" bestFit="1" customWidth="1"/>
    <col min="10241" max="10241" width="17.42578125" bestFit="1" customWidth="1"/>
    <col min="10242" max="10242" width="8.7109375" customWidth="1"/>
    <col min="10243" max="10243" width="58.85546875" customWidth="1"/>
    <col min="10244" max="10244" width="6.85546875" customWidth="1"/>
    <col min="10245" max="10245" width="8.42578125" bestFit="1" customWidth="1"/>
    <col min="10246" max="10246" width="11.28515625" bestFit="1" customWidth="1"/>
    <col min="10247" max="10248" width="13.5703125" bestFit="1" customWidth="1"/>
    <col min="10497" max="10497" width="17.42578125" bestFit="1" customWidth="1"/>
    <col min="10498" max="10498" width="8.7109375" customWidth="1"/>
    <col min="10499" max="10499" width="58.85546875" customWidth="1"/>
    <col min="10500" max="10500" width="6.85546875" customWidth="1"/>
    <col min="10501" max="10501" width="8.42578125" bestFit="1" customWidth="1"/>
    <col min="10502" max="10502" width="11.28515625" bestFit="1" customWidth="1"/>
    <col min="10503" max="10504" width="13.5703125" bestFit="1" customWidth="1"/>
    <col min="10753" max="10753" width="17.42578125" bestFit="1" customWidth="1"/>
    <col min="10754" max="10754" width="8.7109375" customWidth="1"/>
    <col min="10755" max="10755" width="58.85546875" customWidth="1"/>
    <col min="10756" max="10756" width="6.85546875" customWidth="1"/>
    <col min="10757" max="10757" width="8.42578125" bestFit="1" customWidth="1"/>
    <col min="10758" max="10758" width="11.28515625" bestFit="1" customWidth="1"/>
    <col min="10759" max="10760" width="13.5703125" bestFit="1" customWidth="1"/>
    <col min="11009" max="11009" width="17.42578125" bestFit="1" customWidth="1"/>
    <col min="11010" max="11010" width="8.7109375" customWidth="1"/>
    <col min="11011" max="11011" width="58.85546875" customWidth="1"/>
    <col min="11012" max="11012" width="6.85546875" customWidth="1"/>
    <col min="11013" max="11013" width="8.42578125" bestFit="1" customWidth="1"/>
    <col min="11014" max="11014" width="11.28515625" bestFit="1" customWidth="1"/>
    <col min="11015" max="11016" width="13.5703125" bestFit="1" customWidth="1"/>
    <col min="11265" max="11265" width="17.42578125" bestFit="1" customWidth="1"/>
    <col min="11266" max="11266" width="8.7109375" customWidth="1"/>
    <col min="11267" max="11267" width="58.85546875" customWidth="1"/>
    <col min="11268" max="11268" width="6.85546875" customWidth="1"/>
    <col min="11269" max="11269" width="8.42578125" bestFit="1" customWidth="1"/>
    <col min="11270" max="11270" width="11.28515625" bestFit="1" customWidth="1"/>
    <col min="11271" max="11272" width="13.5703125" bestFit="1" customWidth="1"/>
    <col min="11521" max="11521" width="17.42578125" bestFit="1" customWidth="1"/>
    <col min="11522" max="11522" width="8.7109375" customWidth="1"/>
    <col min="11523" max="11523" width="58.85546875" customWidth="1"/>
    <col min="11524" max="11524" width="6.85546875" customWidth="1"/>
    <col min="11525" max="11525" width="8.42578125" bestFit="1" customWidth="1"/>
    <col min="11526" max="11526" width="11.28515625" bestFit="1" customWidth="1"/>
    <col min="11527" max="11528" width="13.5703125" bestFit="1" customWidth="1"/>
    <col min="11777" max="11777" width="17.42578125" bestFit="1" customWidth="1"/>
    <col min="11778" max="11778" width="8.7109375" customWidth="1"/>
    <col min="11779" max="11779" width="58.85546875" customWidth="1"/>
    <col min="11780" max="11780" width="6.85546875" customWidth="1"/>
    <col min="11781" max="11781" width="8.42578125" bestFit="1" customWidth="1"/>
    <col min="11782" max="11782" width="11.28515625" bestFit="1" customWidth="1"/>
    <col min="11783" max="11784" width="13.5703125" bestFit="1" customWidth="1"/>
    <col min="12033" max="12033" width="17.42578125" bestFit="1" customWidth="1"/>
    <col min="12034" max="12034" width="8.7109375" customWidth="1"/>
    <col min="12035" max="12035" width="58.85546875" customWidth="1"/>
    <col min="12036" max="12036" width="6.85546875" customWidth="1"/>
    <col min="12037" max="12037" width="8.42578125" bestFit="1" customWidth="1"/>
    <col min="12038" max="12038" width="11.28515625" bestFit="1" customWidth="1"/>
    <col min="12039" max="12040" width="13.5703125" bestFit="1" customWidth="1"/>
    <col min="12289" max="12289" width="17.42578125" bestFit="1" customWidth="1"/>
    <col min="12290" max="12290" width="8.7109375" customWidth="1"/>
    <col min="12291" max="12291" width="58.85546875" customWidth="1"/>
    <col min="12292" max="12292" width="6.85546875" customWidth="1"/>
    <col min="12293" max="12293" width="8.42578125" bestFit="1" customWidth="1"/>
    <col min="12294" max="12294" width="11.28515625" bestFit="1" customWidth="1"/>
    <col min="12295" max="12296" width="13.5703125" bestFit="1" customWidth="1"/>
    <col min="12545" max="12545" width="17.42578125" bestFit="1" customWidth="1"/>
    <col min="12546" max="12546" width="8.7109375" customWidth="1"/>
    <col min="12547" max="12547" width="58.85546875" customWidth="1"/>
    <col min="12548" max="12548" width="6.85546875" customWidth="1"/>
    <col min="12549" max="12549" width="8.42578125" bestFit="1" customWidth="1"/>
    <col min="12550" max="12550" width="11.28515625" bestFit="1" customWidth="1"/>
    <col min="12551" max="12552" width="13.5703125" bestFit="1" customWidth="1"/>
    <col min="12801" max="12801" width="17.42578125" bestFit="1" customWidth="1"/>
    <col min="12802" max="12802" width="8.7109375" customWidth="1"/>
    <col min="12803" max="12803" width="58.85546875" customWidth="1"/>
    <col min="12804" max="12804" width="6.85546875" customWidth="1"/>
    <col min="12805" max="12805" width="8.42578125" bestFit="1" customWidth="1"/>
    <col min="12806" max="12806" width="11.28515625" bestFit="1" customWidth="1"/>
    <col min="12807" max="12808" width="13.5703125" bestFit="1" customWidth="1"/>
    <col min="13057" max="13057" width="17.42578125" bestFit="1" customWidth="1"/>
    <col min="13058" max="13058" width="8.7109375" customWidth="1"/>
    <col min="13059" max="13059" width="58.85546875" customWidth="1"/>
    <col min="13060" max="13060" width="6.85546875" customWidth="1"/>
    <col min="13061" max="13061" width="8.42578125" bestFit="1" customWidth="1"/>
    <col min="13062" max="13062" width="11.28515625" bestFit="1" customWidth="1"/>
    <col min="13063" max="13064" width="13.5703125" bestFit="1" customWidth="1"/>
    <col min="13313" max="13313" width="17.42578125" bestFit="1" customWidth="1"/>
    <col min="13314" max="13314" width="8.7109375" customWidth="1"/>
    <col min="13315" max="13315" width="58.85546875" customWidth="1"/>
    <col min="13316" max="13316" width="6.85546875" customWidth="1"/>
    <col min="13317" max="13317" width="8.42578125" bestFit="1" customWidth="1"/>
    <col min="13318" max="13318" width="11.28515625" bestFit="1" customWidth="1"/>
    <col min="13319" max="13320" width="13.5703125" bestFit="1" customWidth="1"/>
    <col min="13569" max="13569" width="17.42578125" bestFit="1" customWidth="1"/>
    <col min="13570" max="13570" width="8.7109375" customWidth="1"/>
    <col min="13571" max="13571" width="58.85546875" customWidth="1"/>
    <col min="13572" max="13572" width="6.85546875" customWidth="1"/>
    <col min="13573" max="13573" width="8.42578125" bestFit="1" customWidth="1"/>
    <col min="13574" max="13574" width="11.28515625" bestFit="1" customWidth="1"/>
    <col min="13575" max="13576" width="13.5703125" bestFit="1" customWidth="1"/>
    <col min="13825" max="13825" width="17.42578125" bestFit="1" customWidth="1"/>
    <col min="13826" max="13826" width="8.7109375" customWidth="1"/>
    <col min="13827" max="13827" width="58.85546875" customWidth="1"/>
    <col min="13828" max="13828" width="6.85546875" customWidth="1"/>
    <col min="13829" max="13829" width="8.42578125" bestFit="1" customWidth="1"/>
    <col min="13830" max="13830" width="11.28515625" bestFit="1" customWidth="1"/>
    <col min="13831" max="13832" width="13.5703125" bestFit="1" customWidth="1"/>
    <col min="14081" max="14081" width="17.42578125" bestFit="1" customWidth="1"/>
    <col min="14082" max="14082" width="8.7109375" customWidth="1"/>
    <col min="14083" max="14083" width="58.85546875" customWidth="1"/>
    <col min="14084" max="14084" width="6.85546875" customWidth="1"/>
    <col min="14085" max="14085" width="8.42578125" bestFit="1" customWidth="1"/>
    <col min="14086" max="14086" width="11.28515625" bestFit="1" customWidth="1"/>
    <col min="14087" max="14088" width="13.5703125" bestFit="1" customWidth="1"/>
    <col min="14337" max="14337" width="17.42578125" bestFit="1" customWidth="1"/>
    <col min="14338" max="14338" width="8.7109375" customWidth="1"/>
    <col min="14339" max="14339" width="58.85546875" customWidth="1"/>
    <col min="14340" max="14340" width="6.85546875" customWidth="1"/>
    <col min="14341" max="14341" width="8.42578125" bestFit="1" customWidth="1"/>
    <col min="14342" max="14342" width="11.28515625" bestFit="1" customWidth="1"/>
    <col min="14343" max="14344" width="13.5703125" bestFit="1" customWidth="1"/>
    <col min="14593" max="14593" width="17.42578125" bestFit="1" customWidth="1"/>
    <col min="14594" max="14594" width="8.7109375" customWidth="1"/>
    <col min="14595" max="14595" width="58.85546875" customWidth="1"/>
    <col min="14596" max="14596" width="6.85546875" customWidth="1"/>
    <col min="14597" max="14597" width="8.42578125" bestFit="1" customWidth="1"/>
    <col min="14598" max="14598" width="11.28515625" bestFit="1" customWidth="1"/>
    <col min="14599" max="14600" width="13.5703125" bestFit="1" customWidth="1"/>
    <col min="14849" max="14849" width="17.42578125" bestFit="1" customWidth="1"/>
    <col min="14850" max="14850" width="8.7109375" customWidth="1"/>
    <col min="14851" max="14851" width="58.85546875" customWidth="1"/>
    <col min="14852" max="14852" width="6.85546875" customWidth="1"/>
    <col min="14853" max="14853" width="8.42578125" bestFit="1" customWidth="1"/>
    <col min="14854" max="14854" width="11.28515625" bestFit="1" customWidth="1"/>
    <col min="14855" max="14856" width="13.5703125" bestFit="1" customWidth="1"/>
    <col min="15105" max="15105" width="17.42578125" bestFit="1" customWidth="1"/>
    <col min="15106" max="15106" width="8.7109375" customWidth="1"/>
    <col min="15107" max="15107" width="58.85546875" customWidth="1"/>
    <col min="15108" max="15108" width="6.85546875" customWidth="1"/>
    <col min="15109" max="15109" width="8.42578125" bestFit="1" customWidth="1"/>
    <col min="15110" max="15110" width="11.28515625" bestFit="1" customWidth="1"/>
    <col min="15111" max="15112" width="13.5703125" bestFit="1" customWidth="1"/>
    <col min="15361" max="15361" width="17.42578125" bestFit="1" customWidth="1"/>
    <col min="15362" max="15362" width="8.7109375" customWidth="1"/>
    <col min="15363" max="15363" width="58.85546875" customWidth="1"/>
    <col min="15364" max="15364" width="6.85546875" customWidth="1"/>
    <col min="15365" max="15365" width="8.42578125" bestFit="1" customWidth="1"/>
    <col min="15366" max="15366" width="11.28515625" bestFit="1" customWidth="1"/>
    <col min="15367" max="15368" width="13.5703125" bestFit="1" customWidth="1"/>
    <col min="15617" max="15617" width="17.42578125" bestFit="1" customWidth="1"/>
    <col min="15618" max="15618" width="8.7109375" customWidth="1"/>
    <col min="15619" max="15619" width="58.85546875" customWidth="1"/>
    <col min="15620" max="15620" width="6.85546875" customWidth="1"/>
    <col min="15621" max="15621" width="8.42578125" bestFit="1" customWidth="1"/>
    <col min="15622" max="15622" width="11.28515625" bestFit="1" customWidth="1"/>
    <col min="15623" max="15624" width="13.5703125" bestFit="1" customWidth="1"/>
    <col min="15873" max="15873" width="17.42578125" bestFit="1" customWidth="1"/>
    <col min="15874" max="15874" width="8.7109375" customWidth="1"/>
    <col min="15875" max="15875" width="58.85546875" customWidth="1"/>
    <col min="15876" max="15876" width="6.85546875" customWidth="1"/>
    <col min="15877" max="15877" width="8.42578125" bestFit="1" customWidth="1"/>
    <col min="15878" max="15878" width="11.28515625" bestFit="1" customWidth="1"/>
    <col min="15879" max="15880" width="13.5703125" bestFit="1" customWidth="1"/>
    <col min="16129" max="16129" width="17.42578125" bestFit="1" customWidth="1"/>
    <col min="16130" max="16130" width="8.7109375" customWidth="1"/>
    <col min="16131" max="16131" width="58.85546875" customWidth="1"/>
    <col min="16132" max="16132" width="6.85546875" customWidth="1"/>
    <col min="16133" max="16133" width="8.42578125" bestFit="1" customWidth="1"/>
    <col min="16134" max="16134" width="11.28515625" bestFit="1" customWidth="1"/>
    <col min="16135" max="16136" width="13.5703125" bestFit="1" customWidth="1"/>
  </cols>
  <sheetData>
    <row r="1" spans="1:13">
      <c r="A1" s="1154"/>
      <c r="B1" s="1155"/>
      <c r="C1" s="1150" t="s">
        <v>17</v>
      </c>
      <c r="D1" s="1150"/>
      <c r="E1" s="1150"/>
      <c r="F1" s="1150"/>
      <c r="G1" s="1150"/>
      <c r="H1" s="1150"/>
    </row>
    <row r="2" spans="1:13">
      <c r="A2" s="1155"/>
      <c r="B2" s="1155"/>
      <c r="C2" s="1150"/>
      <c r="D2" s="1150"/>
      <c r="E2" s="1150"/>
      <c r="F2" s="1150"/>
      <c r="G2" s="1150"/>
      <c r="H2" s="1150"/>
    </row>
    <row r="3" spans="1:13">
      <c r="A3" s="1155"/>
      <c r="B3" s="1155"/>
      <c r="C3" s="1150"/>
      <c r="D3" s="1150"/>
      <c r="E3" s="1150"/>
      <c r="F3" s="1150"/>
      <c r="G3" s="1150"/>
      <c r="H3" s="1150"/>
    </row>
    <row r="4" spans="1:13">
      <c r="A4" s="1155"/>
      <c r="B4" s="1155"/>
      <c r="C4" s="1150"/>
      <c r="D4" s="1150"/>
      <c r="E4" s="1150"/>
      <c r="F4" s="1150"/>
      <c r="G4" s="1150"/>
      <c r="H4" s="1150"/>
    </row>
    <row r="5" spans="1:13">
      <c r="A5" s="1155"/>
      <c r="B5" s="1155"/>
      <c r="C5" s="1150"/>
      <c r="D5" s="1150"/>
      <c r="E5" s="1150"/>
      <c r="F5" s="1150"/>
      <c r="G5" s="1150"/>
      <c r="H5" s="1150"/>
    </row>
    <row r="6" spans="1:13">
      <c r="A6" s="1150" t="s">
        <v>80</v>
      </c>
      <c r="B6" s="1156"/>
      <c r="C6" s="1150" t="s">
        <v>1055</v>
      </c>
      <c r="D6" s="1150"/>
      <c r="E6" s="1150"/>
      <c r="F6" s="1150"/>
      <c r="G6" s="1150"/>
      <c r="H6" s="1150"/>
    </row>
    <row r="7" spans="1:13">
      <c r="A7" s="1156"/>
      <c r="B7" s="1156"/>
      <c r="C7" s="1150"/>
      <c r="D7" s="1150"/>
      <c r="E7" s="1150"/>
      <c r="F7" s="1150"/>
      <c r="G7" s="1150"/>
      <c r="H7" s="1150"/>
    </row>
    <row r="8" spans="1:13" ht="15.75" customHeight="1">
      <c r="A8" s="1150" t="s">
        <v>1516</v>
      </c>
      <c r="B8" s="1150"/>
      <c r="C8" s="1150" t="s">
        <v>835</v>
      </c>
      <c r="D8" s="1150"/>
      <c r="E8" s="1150"/>
      <c r="F8" s="1150"/>
      <c r="G8" s="1150"/>
      <c r="H8" s="1150"/>
    </row>
    <row r="9" spans="1:13">
      <c r="A9" s="1150"/>
      <c r="B9" s="1150"/>
      <c r="C9" s="1150"/>
      <c r="D9" s="1150"/>
      <c r="E9" s="1150"/>
      <c r="F9" s="1150"/>
      <c r="G9" s="1150"/>
      <c r="H9" s="1150"/>
    </row>
    <row r="10" spans="1:13" ht="27.75" customHeight="1">
      <c r="A10" s="1149" t="s">
        <v>220</v>
      </c>
      <c r="B10" s="1149"/>
      <c r="C10" s="570" t="s">
        <v>221</v>
      </c>
      <c r="D10" s="1150"/>
      <c r="E10" s="1150"/>
      <c r="F10" s="1150"/>
      <c r="G10" s="1150"/>
      <c r="H10" s="1150"/>
    </row>
    <row r="11" spans="1:13">
      <c r="A11" s="1151" t="s">
        <v>1056</v>
      </c>
      <c r="B11" s="1151"/>
      <c r="C11" s="1151"/>
      <c r="D11" s="1151"/>
      <c r="E11" s="1151"/>
      <c r="F11" s="1151"/>
      <c r="G11" s="1152" t="s">
        <v>2</v>
      </c>
      <c r="H11" s="1153">
        <f>[5]BDI!O29</f>
        <v>0.25215503759149449</v>
      </c>
    </row>
    <row r="12" spans="1:13">
      <c r="A12" s="1151" t="s">
        <v>921</v>
      </c>
      <c r="B12" s="1151"/>
      <c r="C12" s="1151"/>
      <c r="D12" s="1151"/>
      <c r="E12" s="1151"/>
      <c r="F12" s="1151"/>
      <c r="G12" s="1152"/>
      <c r="H12" s="1153"/>
    </row>
    <row r="13" spans="1:13">
      <c r="A13" s="1145" t="s">
        <v>18</v>
      </c>
      <c r="B13" s="1145" t="s">
        <v>19</v>
      </c>
      <c r="C13" s="1145" t="s">
        <v>20</v>
      </c>
      <c r="D13" s="1145"/>
      <c r="E13" s="1145"/>
      <c r="F13" s="1145"/>
      <c r="G13" s="1145"/>
      <c r="H13" s="1145"/>
    </row>
    <row r="14" spans="1:13">
      <c r="A14" s="1146"/>
      <c r="B14" s="1145"/>
      <c r="C14" s="1145"/>
      <c r="D14" s="602" t="s">
        <v>21</v>
      </c>
      <c r="E14" s="603" t="s">
        <v>22</v>
      </c>
      <c r="F14" s="604" t="s">
        <v>23</v>
      </c>
      <c r="G14" s="604" t="s">
        <v>24</v>
      </c>
      <c r="H14" s="604" t="s">
        <v>25</v>
      </c>
    </row>
    <row r="15" spans="1:13" ht="26.25" customHeight="1">
      <c r="A15" s="567"/>
      <c r="B15" s="567" t="s">
        <v>26</v>
      </c>
      <c r="C15" s="484" t="s">
        <v>5</v>
      </c>
      <c r="D15" s="567"/>
      <c r="E15" s="485"/>
      <c r="F15" s="486"/>
      <c r="G15" s="486"/>
      <c r="H15" s="486">
        <f>SUM(H16:H17)</f>
        <v>122.83640918772559</v>
      </c>
    </row>
    <row r="16" spans="1:13" s="11" customFormat="1" ht="24">
      <c r="A16" s="483" t="s">
        <v>836</v>
      </c>
      <c r="B16" s="483" t="s">
        <v>6</v>
      </c>
      <c r="C16" s="487" t="s">
        <v>10</v>
      </c>
      <c r="D16" s="483" t="s">
        <v>7</v>
      </c>
      <c r="E16" s="488">
        <f>'[7]MEMORIA MOCINHA'!K194</f>
        <v>20</v>
      </c>
      <c r="F16" s="489">
        <v>2.73</v>
      </c>
      <c r="G16" s="569">
        <f>F16+F16*$H$11</f>
        <v>3.4183832526247802</v>
      </c>
      <c r="H16" s="489">
        <f>G16*E16</f>
        <v>68.367665052495596</v>
      </c>
      <c r="I16" s="1091" t="s">
        <v>445</v>
      </c>
      <c r="J16" s="1092"/>
      <c r="K16" s="1092"/>
      <c r="L16" s="1092"/>
      <c r="M16" s="1092"/>
    </row>
    <row r="17" spans="1:13" s="11" customFormat="1" ht="51" customHeight="1">
      <c r="A17" s="483" t="s">
        <v>837</v>
      </c>
      <c r="B17" s="483" t="s">
        <v>29</v>
      </c>
      <c r="C17" s="487" t="s">
        <v>838</v>
      </c>
      <c r="D17" s="483" t="s">
        <v>7</v>
      </c>
      <c r="E17" s="488">
        <v>15</v>
      </c>
      <c r="F17" s="489">
        <v>2.9</v>
      </c>
      <c r="G17" s="569">
        <f>F17+F17*$H$11</f>
        <v>3.6312496090153337</v>
      </c>
      <c r="H17" s="489">
        <f>G17*E17</f>
        <v>54.468744135230004</v>
      </c>
      <c r="I17" s="565"/>
      <c r="J17" s="566"/>
      <c r="K17" s="566"/>
      <c r="L17" s="566"/>
      <c r="M17" s="566"/>
    </row>
    <row r="18" spans="1:13">
      <c r="A18" s="1147"/>
      <c r="B18" s="1147"/>
      <c r="C18" s="1147"/>
      <c r="D18" s="1147"/>
      <c r="E18" s="1147"/>
      <c r="F18" s="1147"/>
      <c r="G18" s="1147"/>
      <c r="H18" s="1147"/>
      <c r="I18" s="218"/>
      <c r="J18" s="219"/>
      <c r="K18" s="219"/>
      <c r="L18" s="219"/>
      <c r="M18" s="219"/>
    </row>
    <row r="19" spans="1:13">
      <c r="A19" s="605"/>
      <c r="B19" s="605" t="s">
        <v>32</v>
      </c>
      <c r="C19" s="606" t="s">
        <v>34</v>
      </c>
      <c r="D19" s="605"/>
      <c r="E19" s="607"/>
      <c r="F19" s="608"/>
      <c r="G19" s="608"/>
      <c r="H19" s="608">
        <f>SUM(H20:H24)</f>
        <v>30913.868645699273</v>
      </c>
      <c r="I19" s="218"/>
      <c r="J19" s="218"/>
      <c r="K19" s="218"/>
      <c r="L19" s="219"/>
      <c r="M19" s="219"/>
    </row>
    <row r="20" spans="1:13" ht="36">
      <c r="A20" s="483" t="s">
        <v>36</v>
      </c>
      <c r="B20" s="483" t="s">
        <v>12</v>
      </c>
      <c r="C20" s="487" t="s">
        <v>839</v>
      </c>
      <c r="D20" s="490" t="s">
        <v>7</v>
      </c>
      <c r="E20" s="488">
        <f>'[7]MEMORIA MOCINHA'!K612</f>
        <v>278.74400000000003</v>
      </c>
      <c r="F20" s="489">
        <v>13.67</v>
      </c>
      <c r="G20" s="569">
        <f t="shared" ref="G20:G48" si="0">F20+F20*$H$11</f>
        <v>17.116959363875729</v>
      </c>
      <c r="H20" s="489">
        <f>G20*E20</f>
        <v>4771.2497209241765</v>
      </c>
      <c r="I20" s="1070"/>
      <c r="J20" s="1071"/>
      <c r="K20" s="1071"/>
      <c r="L20" s="1071"/>
      <c r="M20" s="1071"/>
    </row>
    <row r="21" spans="1:13" ht="36">
      <c r="A21" s="483" t="s">
        <v>840</v>
      </c>
      <c r="B21" s="483" t="s">
        <v>435</v>
      </c>
      <c r="C21" s="487" t="s">
        <v>841</v>
      </c>
      <c r="D21" s="490" t="s">
        <v>7</v>
      </c>
      <c r="E21" s="488">
        <f>'[7]MEMORIA MOCINHA'!K635</f>
        <v>615.05999999999995</v>
      </c>
      <c r="F21" s="489">
        <v>14.26</v>
      </c>
      <c r="G21" s="569">
        <f t="shared" si="0"/>
        <v>17.855730836054711</v>
      </c>
      <c r="H21" s="489">
        <f>G21*E21</f>
        <v>10982.345808023809</v>
      </c>
      <c r="I21" s="1070"/>
      <c r="J21" s="1071"/>
      <c r="K21" s="1071"/>
      <c r="L21" s="1071"/>
      <c r="M21" s="1071"/>
    </row>
    <row r="22" spans="1:13" ht="72">
      <c r="A22" s="483" t="s">
        <v>617</v>
      </c>
      <c r="B22" s="483" t="s">
        <v>436</v>
      </c>
      <c r="C22" s="487" t="s">
        <v>41</v>
      </c>
      <c r="D22" s="490" t="s">
        <v>7</v>
      </c>
      <c r="E22" s="488">
        <f>'[7]MEMORIA MOCINHA'!K666</f>
        <v>736.57999999999993</v>
      </c>
      <c r="F22" s="489">
        <v>8.44</v>
      </c>
      <c r="G22" s="569">
        <f t="shared" si="0"/>
        <v>10.568188517272212</v>
      </c>
      <c r="H22" s="489">
        <f>G22*E22</f>
        <v>7784.3162980523648</v>
      </c>
      <c r="I22" s="1070"/>
      <c r="J22" s="1071"/>
      <c r="K22" s="1071"/>
      <c r="L22" s="1071"/>
      <c r="M22" s="1071"/>
    </row>
    <row r="23" spans="1:13" ht="47.25" customHeight="1">
      <c r="A23" s="483" t="s">
        <v>1518</v>
      </c>
      <c r="B23" s="483" t="s">
        <v>437</v>
      </c>
      <c r="C23" s="487" t="s">
        <v>1517</v>
      </c>
      <c r="D23" s="490" t="s">
        <v>7</v>
      </c>
      <c r="E23" s="488">
        <f>'[7]MEMORIA MOCINHA'!K676</f>
        <v>28.349999999999998</v>
      </c>
      <c r="F23" s="489">
        <v>15.31</v>
      </c>
      <c r="G23" s="569">
        <f>F23+F23*$H$11</f>
        <v>19.170493625525783</v>
      </c>
      <c r="H23" s="489">
        <f>G23*E23</f>
        <v>543.48349428365589</v>
      </c>
      <c r="I23" s="1070"/>
      <c r="J23" s="1070"/>
      <c r="K23" s="1070"/>
      <c r="L23" s="1070"/>
      <c r="M23" s="1070"/>
    </row>
    <row r="24" spans="1:13" ht="24">
      <c r="A24" s="483" t="str">
        <f>COMPOSIÇÕES!B74</f>
        <v>COMPOSIÇÃO 07</v>
      </c>
      <c r="B24" s="483" t="s">
        <v>438</v>
      </c>
      <c r="C24" s="911" t="str">
        <f>COMPOSIÇÕES!C74</f>
        <v>PREPARO DE SUPERFICIE COM LIXAMENO DE PAREDES E TETOS</v>
      </c>
      <c r="D24" s="490" t="s">
        <v>7</v>
      </c>
      <c r="E24" s="488">
        <f>'MEMORIA MOCINHA'!L674</f>
        <v>1658.7339999999999</v>
      </c>
      <c r="F24" s="489">
        <f>COMPOSIÇÕES!G80</f>
        <v>3.2896000000000005</v>
      </c>
      <c r="G24" s="569">
        <f>F24+F24*$H$11</f>
        <v>4.119089211660981</v>
      </c>
      <c r="H24" s="489">
        <f>G24*E24</f>
        <v>6832.4733244152649</v>
      </c>
      <c r="I24" s="563"/>
      <c r="J24" s="563"/>
      <c r="K24" s="563"/>
      <c r="L24" s="563"/>
      <c r="M24" s="563"/>
    </row>
    <row r="25" spans="1:13">
      <c r="A25" s="1148"/>
      <c r="B25" s="1148"/>
      <c r="C25" s="1148"/>
      <c r="D25" s="1148"/>
      <c r="E25" s="1148"/>
      <c r="F25" s="1148"/>
      <c r="G25" s="1148"/>
      <c r="H25" s="1148"/>
      <c r="I25" s="218"/>
      <c r="J25" s="218"/>
      <c r="K25" s="218"/>
      <c r="L25" s="219"/>
      <c r="M25" s="219"/>
    </row>
    <row r="26" spans="1:13">
      <c r="A26" s="605"/>
      <c r="B26" s="605" t="s">
        <v>33</v>
      </c>
      <c r="C26" s="606" t="s">
        <v>53</v>
      </c>
      <c r="D26" s="605"/>
      <c r="E26" s="607"/>
      <c r="F26" s="608"/>
      <c r="G26" s="608"/>
      <c r="H26" s="608">
        <f>SUM(H27:H29)</f>
        <v>1101.6334805226211</v>
      </c>
      <c r="I26" s="218"/>
      <c r="J26" s="218"/>
      <c r="K26" s="218"/>
      <c r="L26" s="219"/>
      <c r="M26" s="219"/>
    </row>
    <row r="27" spans="1:13" ht="60">
      <c r="A27" s="483" t="str">
        <f>COMPOSIÇÕES!B24</f>
        <v>COMPOSIÇÃO 03</v>
      </c>
      <c r="B27" s="483" t="s">
        <v>14</v>
      </c>
      <c r="C27" s="487" t="str">
        <f>COMPOSIÇÕES!C24</f>
        <v>FORNECIMENTO E ASSENTAMENTO DE FERROLHO / FECHO CHATO, DE SOBREPOR, EM FERRO ZINCADO, REFORCADO, 6", COM PORTA CADEADO, PARA PORTAO, PORTA E JANELA</v>
      </c>
      <c r="D27" s="490" t="s">
        <v>21</v>
      </c>
      <c r="E27" s="488">
        <f>'[7]MEMORIA MOCINHA'!K687</f>
        <v>5</v>
      </c>
      <c r="F27" s="903">
        <f>COMPOSIÇÕES!G30</f>
        <v>18.646000000000001</v>
      </c>
      <c r="G27" s="569">
        <f>F27+F27*$H$11</f>
        <v>23.347682830931006</v>
      </c>
      <c r="H27" s="489">
        <f t="shared" ref="H27:H48" si="1">E27*G27</f>
        <v>116.73841415465503</v>
      </c>
      <c r="I27" s="1070" t="s">
        <v>461</v>
      </c>
      <c r="J27" s="1071"/>
      <c r="K27" s="1071"/>
      <c r="L27" s="1071"/>
      <c r="M27" s="219"/>
    </row>
    <row r="28" spans="1:13" s="11" customFormat="1" ht="66" customHeight="1">
      <c r="A28" s="483" t="s">
        <v>87</v>
      </c>
      <c r="B28" s="483" t="s">
        <v>35</v>
      </c>
      <c r="C28" s="491" t="s">
        <v>88</v>
      </c>
      <c r="D28" s="490" t="s">
        <v>21</v>
      </c>
      <c r="E28" s="488">
        <f>'[7]MEMORIA MOCINHA'!K693</f>
        <v>2</v>
      </c>
      <c r="F28" s="568">
        <v>267.08</v>
      </c>
      <c r="G28" s="569">
        <f t="shared" si="0"/>
        <v>334.42556743993634</v>
      </c>
      <c r="H28" s="489">
        <f t="shared" si="1"/>
        <v>668.85113487987269</v>
      </c>
      <c r="I28" s="1098" t="s">
        <v>449</v>
      </c>
      <c r="J28" s="1099"/>
      <c r="K28" s="1099"/>
      <c r="L28" s="1099"/>
      <c r="M28" s="218"/>
    </row>
    <row r="29" spans="1:13" s="14" customFormat="1" ht="69" customHeight="1">
      <c r="A29" s="568" t="s">
        <v>433</v>
      </c>
      <c r="B29" s="483" t="s">
        <v>37</v>
      </c>
      <c r="C29" s="491" t="s">
        <v>434</v>
      </c>
      <c r="D29" s="483" t="s">
        <v>21</v>
      </c>
      <c r="E29" s="488">
        <f>'[7]MEMORIA MOCINHA'!K699</f>
        <v>2</v>
      </c>
      <c r="F29" s="489">
        <v>126.2</v>
      </c>
      <c r="G29" s="569">
        <f t="shared" si="0"/>
        <v>158.02196574404661</v>
      </c>
      <c r="H29" s="489">
        <f t="shared" si="1"/>
        <v>316.04393148809322</v>
      </c>
      <c r="I29" s="1070" t="s">
        <v>462</v>
      </c>
      <c r="J29" s="1070"/>
      <c r="K29" s="1070"/>
      <c r="L29" s="1070"/>
      <c r="M29" s="219"/>
    </row>
    <row r="30" spans="1:13">
      <c r="A30" s="567"/>
      <c r="B30" s="567"/>
      <c r="C30" s="581"/>
      <c r="D30" s="490"/>
      <c r="E30" s="488"/>
      <c r="F30" s="486"/>
      <c r="G30" s="486"/>
      <c r="H30" s="486"/>
      <c r="I30" s="218"/>
      <c r="J30" s="218"/>
      <c r="K30" s="218"/>
      <c r="L30" s="219"/>
      <c r="M30" s="219"/>
    </row>
    <row r="31" spans="1:13">
      <c r="A31" s="605"/>
      <c r="B31" s="605" t="s">
        <v>42</v>
      </c>
      <c r="C31" s="606" t="s">
        <v>57</v>
      </c>
      <c r="D31" s="605"/>
      <c r="E31" s="607"/>
      <c r="F31" s="608"/>
      <c r="G31" s="608"/>
      <c r="H31" s="608">
        <f>SUM(H32:H34)</f>
        <v>7766.1347564755306</v>
      </c>
      <c r="I31" s="218"/>
      <c r="J31" s="218"/>
      <c r="K31" s="218"/>
      <c r="L31" s="219"/>
      <c r="M31" s="219"/>
    </row>
    <row r="32" spans="1:13" s="11" customFormat="1" ht="36">
      <c r="A32" s="483" t="s">
        <v>58</v>
      </c>
      <c r="B32" s="483" t="s">
        <v>45</v>
      </c>
      <c r="C32" s="487" t="s">
        <v>60</v>
      </c>
      <c r="D32" s="490" t="s">
        <v>7</v>
      </c>
      <c r="E32" s="488">
        <f>'MEMORIA MOCINHA'!L699</f>
        <v>274.7</v>
      </c>
      <c r="F32" s="489">
        <v>16.95</v>
      </c>
      <c r="G32" s="569">
        <f t="shared" si="0"/>
        <v>21.224027887175829</v>
      </c>
      <c r="H32" s="489">
        <f t="shared" si="1"/>
        <v>5830.2404606072005</v>
      </c>
      <c r="I32" s="1070" t="s">
        <v>466</v>
      </c>
      <c r="J32" s="1071"/>
      <c r="K32" s="1071"/>
      <c r="L32" s="1071"/>
      <c r="M32" s="1071"/>
    </row>
    <row r="33" spans="1:13" s="11" customFormat="1" ht="60">
      <c r="A33" s="483" t="s">
        <v>842</v>
      </c>
      <c r="B33" s="483" t="s">
        <v>198</v>
      </c>
      <c r="C33" s="487" t="s">
        <v>843</v>
      </c>
      <c r="D33" s="490" t="s">
        <v>7</v>
      </c>
      <c r="E33" s="488">
        <f>'[7]MEMORIA MOCINHA'!K711</f>
        <v>15</v>
      </c>
      <c r="F33" s="489">
        <v>55.33</v>
      </c>
      <c r="G33" s="569">
        <f t="shared" si="0"/>
        <v>69.281738229937389</v>
      </c>
      <c r="H33" s="489">
        <f t="shared" si="1"/>
        <v>1039.2260734490608</v>
      </c>
      <c r="I33" s="563"/>
      <c r="J33" s="564"/>
      <c r="K33" s="564"/>
      <c r="L33" s="564"/>
      <c r="M33" s="564"/>
    </row>
    <row r="34" spans="1:13" s="11" customFormat="1" ht="48.75" customHeight="1">
      <c r="A34" s="483" t="s">
        <v>844</v>
      </c>
      <c r="B34" s="483" t="s">
        <v>50</v>
      </c>
      <c r="C34" s="487" t="s">
        <v>845</v>
      </c>
      <c r="D34" s="490" t="s">
        <v>7</v>
      </c>
      <c r="E34" s="488">
        <v>15</v>
      </c>
      <c r="F34" s="489">
        <v>47.74</v>
      </c>
      <c r="G34" s="569">
        <f t="shared" si="0"/>
        <v>59.777881494617951</v>
      </c>
      <c r="H34" s="489">
        <f t="shared" si="1"/>
        <v>896.66822241926923</v>
      </c>
      <c r="I34" s="563"/>
      <c r="J34" s="564"/>
      <c r="K34" s="564"/>
      <c r="L34" s="564"/>
      <c r="M34" s="564"/>
    </row>
    <row r="35" spans="1:13">
      <c r="A35" s="567"/>
      <c r="B35" s="567"/>
      <c r="C35" s="581"/>
      <c r="D35" s="490"/>
      <c r="E35" s="488"/>
      <c r="F35" s="486"/>
      <c r="G35" s="486"/>
      <c r="H35" s="486"/>
      <c r="I35" s="218"/>
      <c r="J35" s="218"/>
      <c r="K35" s="218"/>
      <c r="L35" s="219"/>
      <c r="M35" s="219"/>
    </row>
    <row r="36" spans="1:13" ht="23.25" customHeight="1">
      <c r="A36" s="605"/>
      <c r="B36" s="605" t="s">
        <v>52</v>
      </c>
      <c r="C36" s="606" t="s">
        <v>63</v>
      </c>
      <c r="D36" s="605"/>
      <c r="E36" s="607"/>
      <c r="F36" s="608"/>
      <c r="G36" s="608"/>
      <c r="H36" s="608">
        <f>SUM(H37:H43)</f>
        <v>1791.7979219438498</v>
      </c>
      <c r="I36" s="218"/>
      <c r="J36" s="218"/>
      <c r="K36" s="218"/>
      <c r="L36" s="219"/>
      <c r="M36" s="219"/>
    </row>
    <row r="37" spans="1:13" ht="81" customHeight="1">
      <c r="A37" s="568" t="s">
        <v>484</v>
      </c>
      <c r="B37" s="483" t="s">
        <v>54</v>
      </c>
      <c r="C37" s="491" t="s">
        <v>486</v>
      </c>
      <c r="D37" s="490" t="s">
        <v>77</v>
      </c>
      <c r="E37" s="492">
        <f>'[7]MEMORIA MOCINHA'!K728</f>
        <v>4</v>
      </c>
      <c r="F37" s="489">
        <v>61.45</v>
      </c>
      <c r="G37" s="569">
        <f t="shared" si="0"/>
        <v>76.94492705999734</v>
      </c>
      <c r="H37" s="489">
        <f t="shared" ref="H37:H43" si="2">E37*G37</f>
        <v>307.77970823998936</v>
      </c>
      <c r="I37" s="1070" t="s">
        <v>524</v>
      </c>
      <c r="J37" s="1071"/>
      <c r="K37" s="1071"/>
      <c r="L37" s="1071"/>
      <c r="M37" s="219"/>
    </row>
    <row r="38" spans="1:13" s="11" customFormat="1">
      <c r="A38" s="568" t="str">
        <f>COMPOSIÇÕES!B32</f>
        <v>COMPOSIÇÃO 04</v>
      </c>
      <c r="B38" s="483" t="s">
        <v>55</v>
      </c>
      <c r="C38" s="491" t="str">
        <f>COMPOSIÇÕES!C32</f>
        <v>REVISÃO DE PONTO DE ESGOTO</v>
      </c>
      <c r="D38" s="490" t="s">
        <v>21</v>
      </c>
      <c r="E38" s="492">
        <f>'[7]MEMORIA MOCINHA'!K733</f>
        <v>5</v>
      </c>
      <c r="F38" s="489">
        <f>COMPOSIÇÕES!G41</f>
        <v>35.792659999999998</v>
      </c>
      <c r="G38" s="569">
        <f t="shared" si="0"/>
        <v>44.81795952779958</v>
      </c>
      <c r="H38" s="489">
        <f t="shared" si="2"/>
        <v>224.08979763899791</v>
      </c>
      <c r="I38" s="1070" t="s">
        <v>467</v>
      </c>
      <c r="J38" s="1071"/>
      <c r="K38" s="1071"/>
      <c r="L38" s="1071"/>
      <c r="M38" s="218"/>
    </row>
    <row r="39" spans="1:13" s="11" customFormat="1" ht="48">
      <c r="A39" s="483" t="s">
        <v>430</v>
      </c>
      <c r="B39" s="483" t="s">
        <v>85</v>
      </c>
      <c r="C39" s="491" t="s">
        <v>431</v>
      </c>
      <c r="D39" s="490" t="s">
        <v>21</v>
      </c>
      <c r="E39" s="492">
        <f>'[7]MEMORIA MOCINHA'!K738</f>
        <v>5</v>
      </c>
      <c r="F39" s="489">
        <v>53.37</v>
      </c>
      <c r="G39" s="569">
        <f t="shared" si="0"/>
        <v>66.827514356258064</v>
      </c>
      <c r="H39" s="489">
        <f t="shared" si="2"/>
        <v>334.13757178129032</v>
      </c>
      <c r="I39" s="1070" t="s">
        <v>472</v>
      </c>
      <c r="J39" s="1071"/>
      <c r="K39" s="1071"/>
      <c r="L39" s="1071"/>
      <c r="M39" s="218"/>
    </row>
    <row r="40" spans="1:13" s="11" customFormat="1" ht="36">
      <c r="A40" s="483" t="s">
        <v>468</v>
      </c>
      <c r="B40" s="483" t="s">
        <v>200</v>
      </c>
      <c r="C40" s="487" t="s">
        <v>470</v>
      </c>
      <c r="D40" s="490" t="s">
        <v>21</v>
      </c>
      <c r="E40" s="492">
        <f>'[7]MEMORIA MOCINHA'!K743</f>
        <v>5</v>
      </c>
      <c r="F40" s="489">
        <v>12.25</v>
      </c>
      <c r="G40" s="569">
        <f>F40+F40*$H$11</f>
        <v>15.338899210495807</v>
      </c>
      <c r="H40" s="489">
        <f t="shared" si="2"/>
        <v>76.694496052479039</v>
      </c>
      <c r="I40" s="563"/>
      <c r="J40" s="564"/>
      <c r="K40" s="564"/>
      <c r="L40" s="564"/>
      <c r="M40" s="218"/>
    </row>
    <row r="41" spans="1:13" s="11" customFormat="1" ht="36">
      <c r="A41" s="483" t="s">
        <v>1526</v>
      </c>
      <c r="B41" s="483" t="s">
        <v>536</v>
      </c>
      <c r="C41" s="487" t="s">
        <v>1519</v>
      </c>
      <c r="D41" s="490" t="s">
        <v>21</v>
      </c>
      <c r="E41" s="492">
        <v>5</v>
      </c>
      <c r="F41" s="489">
        <v>38.4</v>
      </c>
      <c r="G41" s="797">
        <f>F41+F41*$H$11</f>
        <v>48.082753443513383</v>
      </c>
      <c r="H41" s="489">
        <f t="shared" si="2"/>
        <v>240.41376721756691</v>
      </c>
      <c r="I41" s="795"/>
      <c r="J41" s="796"/>
      <c r="K41" s="796"/>
      <c r="L41" s="796"/>
      <c r="M41" s="218"/>
    </row>
    <row r="42" spans="1:13" s="11" customFormat="1" ht="24">
      <c r="A42" s="483" t="str">
        <f>COMPOSIÇÕES!B210</f>
        <v>COMPOSIÇÃO 20</v>
      </c>
      <c r="B42" s="483" t="s">
        <v>432</v>
      </c>
      <c r="C42" s="487" t="str">
        <f>COMPOSIÇÕES!C210</f>
        <v>CAIXA DE DESCARGA DE SOBREPOR COMPLETA AKROS OU SIMILAR</v>
      </c>
      <c r="D42" s="490" t="s">
        <v>21</v>
      </c>
      <c r="E42" s="492">
        <f>'[7]MEMORIA MOCINHA'!K748</f>
        <v>1</v>
      </c>
      <c r="F42" s="489">
        <f>COMPOSIÇÕES!G219</f>
        <v>61.977999999999994</v>
      </c>
      <c r="G42" s="569">
        <f>F42+F42*$H$11</f>
        <v>77.606064919845636</v>
      </c>
      <c r="H42" s="489">
        <f t="shared" si="2"/>
        <v>77.606064919845636</v>
      </c>
      <c r="I42" s="563"/>
      <c r="J42" s="564"/>
      <c r="K42" s="564"/>
      <c r="L42" s="564"/>
      <c r="M42" s="218"/>
    </row>
    <row r="43" spans="1:13" s="11" customFormat="1" ht="41.25" customHeight="1">
      <c r="A43" s="483" t="s">
        <v>646</v>
      </c>
      <c r="B43" s="483" t="s">
        <v>741</v>
      </c>
      <c r="C43" s="487" t="s">
        <v>1520</v>
      </c>
      <c r="D43" s="490" t="s">
        <v>21</v>
      </c>
      <c r="E43" s="488">
        <v>1</v>
      </c>
      <c r="F43" s="489">
        <v>424.13</v>
      </c>
      <c r="G43" s="569">
        <f>F43+F43*$H$11</f>
        <v>531.07651609368054</v>
      </c>
      <c r="H43" s="489">
        <f t="shared" si="2"/>
        <v>531.07651609368054</v>
      </c>
      <c r="I43" s="218"/>
      <c r="J43" s="218"/>
      <c r="K43" s="218"/>
      <c r="L43" s="218"/>
      <c r="M43" s="218"/>
    </row>
    <row r="44" spans="1:13" s="11" customFormat="1" ht="35.25" customHeight="1">
      <c r="A44" s="605"/>
      <c r="B44" s="605" t="s">
        <v>56</v>
      </c>
      <c r="C44" s="606" t="s">
        <v>66</v>
      </c>
      <c r="D44" s="605"/>
      <c r="E44" s="607"/>
      <c r="F44" s="608"/>
      <c r="G44" s="609"/>
      <c r="H44" s="608">
        <f>SUM(H45:H45)</f>
        <v>92.85981758778523</v>
      </c>
      <c r="I44" s="218"/>
      <c r="J44" s="218"/>
      <c r="K44" s="218"/>
      <c r="L44" s="218"/>
      <c r="M44" s="218"/>
    </row>
    <row r="45" spans="1:13" ht="36">
      <c r="A45" s="568" t="s">
        <v>70</v>
      </c>
      <c r="B45" s="483" t="s">
        <v>59</v>
      </c>
      <c r="C45" s="491" t="s">
        <v>71</v>
      </c>
      <c r="D45" s="490" t="s">
        <v>21</v>
      </c>
      <c r="E45" s="492">
        <v>4</v>
      </c>
      <c r="F45" s="489">
        <v>18.54</v>
      </c>
      <c r="G45" s="569">
        <f t="shared" si="0"/>
        <v>23.214954396946307</v>
      </c>
      <c r="H45" s="489">
        <f t="shared" si="1"/>
        <v>92.85981758778523</v>
      </c>
      <c r="I45" s="1070" t="s">
        <v>465</v>
      </c>
      <c r="J45" s="1071"/>
      <c r="K45" s="1071"/>
      <c r="L45" s="1071"/>
      <c r="M45" s="219"/>
    </row>
    <row r="46" spans="1:13" ht="22.5" customHeight="1">
      <c r="A46" s="610"/>
      <c r="B46" s="605">
        <v>7</v>
      </c>
      <c r="C46" s="606" t="s">
        <v>73</v>
      </c>
      <c r="D46" s="611"/>
      <c r="E46" s="612"/>
      <c r="F46" s="613"/>
      <c r="G46" s="609"/>
      <c r="H46" s="613">
        <f>H47+H48</f>
        <v>2607.8132105903023</v>
      </c>
      <c r="I46" s="563"/>
      <c r="J46" s="564"/>
      <c r="K46" s="564"/>
      <c r="L46" s="564"/>
      <c r="M46" s="219"/>
    </row>
    <row r="47" spans="1:13" ht="53.25" customHeight="1">
      <c r="A47" s="568" t="str">
        <f>COMPOSIÇÕES!B197</f>
        <v>COMPOSIÇÃO 19</v>
      </c>
      <c r="B47" s="483" t="s">
        <v>64</v>
      </c>
      <c r="C47" s="491" t="str">
        <f>COMPOSIÇÕES!C197</f>
        <v xml:space="preserve">	BÓIA ELÉTRICA PARA RESERVATÓRIO SUPERIOR, MARCA AQUAMATIC OU SIMILAR, CAPACIDADE 30 A - FORNECIMENTO E INSTALAÇÃO</v>
      </c>
      <c r="D47" s="490" t="s">
        <v>21</v>
      </c>
      <c r="E47" s="492">
        <v>1</v>
      </c>
      <c r="F47" s="489">
        <f>COMPOSIÇÕES!G208</f>
        <v>465.97</v>
      </c>
      <c r="G47" s="569">
        <f t="shared" si="0"/>
        <v>583.46668286650868</v>
      </c>
      <c r="H47" s="489">
        <f t="shared" si="1"/>
        <v>583.46668286650868</v>
      </c>
      <c r="I47" s="563"/>
      <c r="J47" s="564"/>
      <c r="K47" s="564"/>
      <c r="L47" s="564"/>
      <c r="M47" s="219"/>
    </row>
    <row r="48" spans="1:13">
      <c r="A48" s="568" t="str">
        <f>COMPOSIÇÕES!B144</f>
        <v>COMPOSIÇÃO 13</v>
      </c>
      <c r="B48" s="483" t="s">
        <v>101</v>
      </c>
      <c r="C48" s="491" t="str">
        <f>COMPOSIÇÕES!C144</f>
        <v>LIMPEZA GERAL</v>
      </c>
      <c r="D48" s="490" t="s">
        <v>7</v>
      </c>
      <c r="E48" s="492">
        <f>'MEMORIA MOCINHA'!L767</f>
        <v>601</v>
      </c>
      <c r="F48" s="489">
        <f>COMPOSIÇÕES!G151</f>
        <v>2.6900000000000004</v>
      </c>
      <c r="G48" s="569">
        <f t="shared" si="0"/>
        <v>3.3682970511211208</v>
      </c>
      <c r="H48" s="489">
        <f t="shared" si="1"/>
        <v>2024.3465277237935</v>
      </c>
      <c r="I48" s="563"/>
      <c r="J48" s="564"/>
      <c r="K48" s="564"/>
      <c r="L48" s="564"/>
      <c r="M48" s="219"/>
    </row>
    <row r="49" spans="1:13">
      <c r="A49" s="1142"/>
      <c r="B49" s="1143"/>
      <c r="C49" s="1143"/>
      <c r="D49" s="1143"/>
      <c r="E49" s="1143"/>
      <c r="F49" s="1143"/>
      <c r="G49" s="1143"/>
      <c r="H49" s="1144"/>
      <c r="I49" s="218"/>
      <c r="J49" s="218"/>
      <c r="K49" s="218"/>
      <c r="L49" s="219"/>
      <c r="M49" s="219"/>
    </row>
    <row r="50" spans="1:13">
      <c r="A50" s="1139" t="s">
        <v>78</v>
      </c>
      <c r="B50" s="1140"/>
      <c r="C50" s="1140"/>
      <c r="D50" s="1140"/>
      <c r="E50" s="1140"/>
      <c r="F50" s="1140"/>
      <c r="G50" s="1141"/>
      <c r="H50" s="608">
        <f>SUM(H15+H19+H26+H31+H36+H44+H46)</f>
        <v>44396.944242007085</v>
      </c>
      <c r="I50" s="218"/>
      <c r="J50" s="218"/>
      <c r="K50" s="219"/>
      <c r="L50" s="219"/>
      <c r="M50" s="219"/>
    </row>
    <row r="51" spans="1:13">
      <c r="A51" s="12"/>
      <c r="B51" s="12"/>
      <c r="C51" s="12"/>
      <c r="D51" s="12"/>
      <c r="E51" s="12"/>
      <c r="F51" s="12"/>
      <c r="G51" s="12"/>
      <c r="H51" s="12"/>
      <c r="I51" s="12"/>
      <c r="J51" s="12"/>
    </row>
    <row r="52" spans="1:13">
      <c r="A52" s="20"/>
      <c r="B52" s="20"/>
      <c r="C52" s="20"/>
      <c r="D52" s="20"/>
      <c r="E52" s="20"/>
      <c r="F52" s="21"/>
      <c r="G52" s="21"/>
      <c r="H52" s="21"/>
    </row>
    <row r="53" spans="1:13">
      <c r="A53" s="22"/>
      <c r="B53" s="23"/>
      <c r="C53" s="23"/>
      <c r="D53" s="23"/>
      <c r="E53" s="24"/>
      <c r="F53" s="25"/>
      <c r="G53" s="25"/>
      <c r="H53" s="25"/>
    </row>
  </sheetData>
  <mergeCells count="33">
    <mergeCell ref="A1:B5"/>
    <mergeCell ref="C1:H5"/>
    <mergeCell ref="A6:B7"/>
    <mergeCell ref="C6:H7"/>
    <mergeCell ref="A8:B9"/>
    <mergeCell ref="C8:H9"/>
    <mergeCell ref="A10:B10"/>
    <mergeCell ref="D10:H10"/>
    <mergeCell ref="A11:F11"/>
    <mergeCell ref="G11:G12"/>
    <mergeCell ref="H11:H12"/>
    <mergeCell ref="A12:F12"/>
    <mergeCell ref="I27:L27"/>
    <mergeCell ref="A13:A14"/>
    <mergeCell ref="B13:B14"/>
    <mergeCell ref="C13:C14"/>
    <mergeCell ref="D13:H13"/>
    <mergeCell ref="I16:M16"/>
    <mergeCell ref="A18:H18"/>
    <mergeCell ref="I20:M20"/>
    <mergeCell ref="I21:M21"/>
    <mergeCell ref="I22:M22"/>
    <mergeCell ref="I23:M23"/>
    <mergeCell ref="A25:H25"/>
    <mergeCell ref="I39:L39"/>
    <mergeCell ref="I45:L45"/>
    <mergeCell ref="A50:G50"/>
    <mergeCell ref="A49:H49"/>
    <mergeCell ref="I28:L28"/>
    <mergeCell ref="I29:L29"/>
    <mergeCell ref="I32:M32"/>
    <mergeCell ref="I37:L37"/>
    <mergeCell ref="I38:L38"/>
  </mergeCells>
  <printOptions horizontalCentered="1"/>
  <pageMargins left="0.78740157480314965" right="0.78740157480314965" top="0.78740157480314965" bottom="0.78740157480314965" header="0.31496062992125984" footer="0.31496062992125984"/>
  <pageSetup paperSize="9" scale="60" orientation="portrait" r:id="rId1"/>
  <headerFooter>
    <oddFooter>Página &amp;P de &amp;N</oddFooter>
  </headerFooter>
  <rowBreaks count="1" manualBreakCount="1">
    <brk id="25" max="7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L812"/>
  <sheetViews>
    <sheetView showGridLines="0" view="pageBreakPreview" zoomScale="85" zoomScaleNormal="100" zoomScaleSheetLayoutView="85" workbookViewId="0">
      <selection activeCell="K678" sqref="K678"/>
    </sheetView>
  </sheetViews>
  <sheetFormatPr defaultRowHeight="15"/>
  <cols>
    <col min="2" max="8" width="10.7109375" customWidth="1"/>
    <col min="9" max="9" width="12" customWidth="1"/>
    <col min="10" max="10" width="12.85546875" customWidth="1"/>
    <col min="11" max="12" width="10.7109375" customWidth="1"/>
  </cols>
  <sheetData>
    <row r="1" spans="2:12" ht="15.75" thickBot="1">
      <c r="B1" s="493"/>
      <c r="C1" s="493"/>
      <c r="D1" s="493"/>
      <c r="E1" s="493"/>
      <c r="F1" s="493"/>
      <c r="G1" s="493"/>
      <c r="H1" s="493"/>
      <c r="I1" s="493"/>
      <c r="J1" s="493"/>
      <c r="K1" s="493"/>
      <c r="L1" s="493"/>
    </row>
    <row r="2" spans="2:12">
      <c r="B2" s="1194" t="s">
        <v>103</v>
      </c>
      <c r="C2" s="1195"/>
      <c r="D2" s="1200" t="str">
        <f>'[6]PLANILHA ORÇAMENTÁRIA'!E2</f>
        <v>PREFEITURA MUNICIPAL DE ITAMBÉ</v>
      </c>
      <c r="E2" s="1201"/>
      <c r="F2" s="1201"/>
      <c r="G2" s="1201"/>
      <c r="H2" s="1201"/>
      <c r="I2" s="1202"/>
      <c r="J2" s="1203"/>
      <c r="K2" s="1204"/>
      <c r="L2" s="1205"/>
    </row>
    <row r="3" spans="2:12">
      <c r="B3" s="1196"/>
      <c r="C3" s="1197"/>
      <c r="D3" s="1212" t="s">
        <v>1041</v>
      </c>
      <c r="E3" s="1213"/>
      <c r="F3" s="1213"/>
      <c r="G3" s="1213"/>
      <c r="H3" s="1213"/>
      <c r="I3" s="1214"/>
      <c r="J3" s="1206"/>
      <c r="K3" s="1207"/>
      <c r="L3" s="1208"/>
    </row>
    <row r="4" spans="2:12" ht="66.75" customHeight="1">
      <c r="B4" s="1196"/>
      <c r="C4" s="1197"/>
      <c r="D4" s="1215" t="s">
        <v>1057</v>
      </c>
      <c r="E4" s="1216"/>
      <c r="F4" s="1216"/>
      <c r="G4" s="1216"/>
      <c r="H4" s="1216"/>
      <c r="I4" s="1217"/>
      <c r="J4" s="1206"/>
      <c r="K4" s="1207"/>
      <c r="L4" s="1208"/>
    </row>
    <row r="5" spans="2:12" ht="9.75" customHeight="1" thickBot="1">
      <c r="B5" s="1198"/>
      <c r="C5" s="1199"/>
      <c r="D5" s="1218"/>
      <c r="E5" s="1219"/>
      <c r="F5" s="1219"/>
      <c r="G5" s="1219"/>
      <c r="H5" s="1219"/>
      <c r="I5" s="1220"/>
      <c r="J5" s="1209"/>
      <c r="K5" s="1210"/>
      <c r="L5" s="1211"/>
    </row>
    <row r="6" spans="2:12" hidden="1">
      <c r="B6" s="494"/>
      <c r="C6" s="494"/>
      <c r="D6" s="494"/>
      <c r="E6" s="494"/>
      <c r="F6" s="494"/>
      <c r="G6" s="494"/>
      <c r="H6" s="494"/>
      <c r="I6" s="494"/>
      <c r="J6" s="495"/>
      <c r="K6" s="494"/>
      <c r="L6" s="494"/>
    </row>
    <row r="7" spans="2:12" hidden="1">
      <c r="B7" s="1221" t="s">
        <v>104</v>
      </c>
      <c r="C7" s="1221"/>
      <c r="D7" s="496" t="e">
        <f>'[6]PLANILHA ORÇAMENTÁRIA'!J6</f>
        <v>#REF!</v>
      </c>
      <c r="E7" s="497"/>
      <c r="F7" s="580" t="s">
        <v>105</v>
      </c>
      <c r="G7" s="496" t="e">
        <f>'[6]PLANILHA ORÇAMENTÁRIA'!J7</f>
        <v>#REF!</v>
      </c>
      <c r="H7" s="579" t="s">
        <v>1</v>
      </c>
      <c r="I7" s="498"/>
      <c r="J7" s="498" t="str">
        <f>'[6]PLANILHA ORÇAMENTÁRIA'!B8</f>
        <v>SINAPI - FEV/2019 DESONERADO</v>
      </c>
      <c r="K7" s="497"/>
      <c r="L7" s="497"/>
    </row>
    <row r="8" spans="2:12" hidden="1">
      <c r="B8" s="580" t="s">
        <v>106</v>
      </c>
      <c r="C8" s="1222" t="e">
        <f>'[6]PLANILHA ORÇAMENTÁRIA'!J8</f>
        <v>#REF!</v>
      </c>
      <c r="D8" s="1222"/>
      <c r="E8" s="497"/>
      <c r="F8" s="580" t="s">
        <v>0</v>
      </c>
      <c r="G8" s="499">
        <f>'[6]PLANILHA ORÇAMENTÁRIA'!J5</f>
        <v>43641</v>
      </c>
      <c r="H8" s="498"/>
      <c r="I8" s="500"/>
      <c r="J8" s="498"/>
      <c r="K8" s="497"/>
      <c r="L8" s="497"/>
    </row>
    <row r="9" spans="2:12" hidden="1">
      <c r="B9" s="501"/>
      <c r="C9" s="502"/>
      <c r="D9" s="498"/>
      <c r="E9" s="498"/>
      <c r="F9" s="498"/>
      <c r="G9" s="498"/>
      <c r="H9" s="498"/>
      <c r="I9" s="498"/>
      <c r="J9" s="498"/>
      <c r="K9" s="497"/>
      <c r="L9" s="503"/>
    </row>
    <row r="10" spans="2:12" hidden="1">
      <c r="B10" s="504" t="s">
        <v>107</v>
      </c>
      <c r="C10" s="505" t="s">
        <v>108</v>
      </c>
      <c r="D10" s="506"/>
      <c r="E10" s="507"/>
      <c r="F10" s="508"/>
      <c r="G10" s="506"/>
      <c r="H10" s="509" t="s">
        <v>109</v>
      </c>
      <c r="I10" s="505" t="s">
        <v>110</v>
      </c>
      <c r="J10" s="498"/>
      <c r="K10" s="497"/>
      <c r="L10" s="503"/>
    </row>
    <row r="11" spans="2:12" hidden="1">
      <c r="B11" s="501"/>
      <c r="C11" s="502"/>
      <c r="D11" s="498"/>
      <c r="E11" s="498"/>
      <c r="F11" s="498"/>
      <c r="G11" s="498"/>
      <c r="H11" s="498"/>
      <c r="I11" s="498"/>
      <c r="J11" s="498"/>
      <c r="K11" s="497"/>
      <c r="L11" s="503"/>
    </row>
    <row r="12" spans="2:12" hidden="1">
      <c r="B12" s="501" t="str">
        <f>'[6]PLANILHA ORÇAMENTÁRIA'!D11</f>
        <v>1.0</v>
      </c>
      <c r="C12" s="1193" t="str">
        <f>'[6]PLANILHA ORÇAMENTÁRIA'!E11</f>
        <v>SERVIÇOS PRELIMINARES</v>
      </c>
      <c r="D12" s="1193"/>
      <c r="E12" s="1193"/>
      <c r="F12" s="1193"/>
      <c r="G12" s="1193"/>
      <c r="H12" s="1193"/>
      <c r="I12" s="1193"/>
      <c r="J12" s="1193"/>
      <c r="K12" s="497"/>
      <c r="L12" s="497"/>
    </row>
    <row r="13" spans="2:12" hidden="1">
      <c r="B13" s="497" t="str">
        <f>'[6]PLANILHA ORÇAMENTÁRIA'!D12</f>
        <v>1.1</v>
      </c>
      <c r="C13" s="1186" t="str">
        <f>'[6]PLANILHA ORÇAMENTÁRIA'!E12</f>
        <v>PLACA DE OBRA EM CHAPA DE ACO GALVANIZADO</v>
      </c>
      <c r="D13" s="1186"/>
      <c r="E13" s="1186"/>
      <c r="F13" s="1186"/>
      <c r="G13" s="1186"/>
      <c r="H13" s="1186"/>
      <c r="I13" s="1186"/>
      <c r="J13" s="1186"/>
      <c r="K13" s="510" t="str">
        <f>'[6]PLANILHA ORÇAMENTÁRIA'!F12</f>
        <v>M2</v>
      </c>
      <c r="L13" s="511">
        <f>K16</f>
        <v>6</v>
      </c>
    </row>
    <row r="14" spans="2:12" hidden="1">
      <c r="B14" s="501"/>
      <c r="C14" s="1190" t="s">
        <v>20</v>
      </c>
      <c r="D14" s="1190"/>
      <c r="E14" s="1190"/>
      <c r="F14" s="512" t="s">
        <v>3</v>
      </c>
      <c r="G14" s="577" t="s">
        <v>111</v>
      </c>
      <c r="H14" s="512" t="s">
        <v>112</v>
      </c>
      <c r="I14" s="577" t="s">
        <v>113</v>
      </c>
      <c r="J14" s="577" t="s">
        <v>114</v>
      </c>
      <c r="K14" s="513" t="s">
        <v>25</v>
      </c>
      <c r="L14" s="503"/>
    </row>
    <row r="15" spans="2:12" hidden="1">
      <c r="B15" s="501"/>
      <c r="C15" s="1191" t="s">
        <v>115</v>
      </c>
      <c r="D15" s="1191"/>
      <c r="E15" s="1191"/>
      <c r="F15" s="514"/>
      <c r="G15" s="514">
        <v>2</v>
      </c>
      <c r="H15" s="514"/>
      <c r="I15" s="514">
        <v>3</v>
      </c>
      <c r="J15" s="514"/>
      <c r="K15" s="515">
        <f>TRUNC(G15*I15,2)</f>
        <v>6</v>
      </c>
      <c r="L15" s="503"/>
    </row>
    <row r="16" spans="2:12" hidden="1">
      <c r="B16" s="501"/>
      <c r="C16" s="1192" t="s">
        <v>116</v>
      </c>
      <c r="D16" s="1192"/>
      <c r="E16" s="1192"/>
      <c r="F16" s="1192"/>
      <c r="G16" s="1192"/>
      <c r="H16" s="1192"/>
      <c r="I16" s="1192"/>
      <c r="J16" s="1192"/>
      <c r="K16" s="516">
        <f>SUM(K15:K15)</f>
        <v>6</v>
      </c>
      <c r="L16" s="503"/>
    </row>
    <row r="17" spans="2:12" hidden="1">
      <c r="B17" s="493"/>
      <c r="C17" s="493"/>
      <c r="D17" s="493"/>
      <c r="E17" s="493"/>
      <c r="F17" s="493"/>
      <c r="G17" s="493"/>
      <c r="H17" s="493"/>
      <c r="I17" s="493"/>
      <c r="J17" s="493"/>
      <c r="K17" s="493"/>
      <c r="L17" s="493"/>
    </row>
    <row r="18" spans="2:12" ht="25.5" hidden="1" customHeight="1">
      <c r="B18" s="497" t="str">
        <f>'[6]PLANILHA ORÇAMENTÁRIA'!D13</f>
        <v>1.2</v>
      </c>
      <c r="C18" s="1186" t="str">
        <f>'[6]PLANILHA ORÇAMENTÁRIA'!E13</f>
        <v>LIMPEZA MECANIZADA DE TERRENO COM REMOCAO DE CAMADA VEGETAL, UTILIZANDO MOTONIVELADORA</v>
      </c>
      <c r="D18" s="1186"/>
      <c r="E18" s="1186"/>
      <c r="F18" s="1186"/>
      <c r="G18" s="1186"/>
      <c r="H18" s="1186"/>
      <c r="I18" s="1186"/>
      <c r="J18" s="1186"/>
      <c r="K18" s="510" t="str">
        <f>'[6]PLANILHA ORÇAMENTÁRIA'!F13</f>
        <v>M2</v>
      </c>
      <c r="L18" s="511">
        <f>K21</f>
        <v>780.75</v>
      </c>
    </row>
    <row r="19" spans="2:12" hidden="1">
      <c r="B19" s="501"/>
      <c r="C19" s="1190" t="s">
        <v>20</v>
      </c>
      <c r="D19" s="1190"/>
      <c r="E19" s="1190"/>
      <c r="F19" s="512" t="s">
        <v>117</v>
      </c>
      <c r="G19" s="577" t="s">
        <v>111</v>
      </c>
      <c r="H19" s="512" t="s">
        <v>112</v>
      </c>
      <c r="I19" s="577" t="s">
        <v>113</v>
      </c>
      <c r="J19" s="577" t="s">
        <v>114</v>
      </c>
      <c r="K19" s="513" t="s">
        <v>25</v>
      </c>
      <c r="L19" s="503"/>
    </row>
    <row r="20" spans="2:12" ht="27.75" hidden="1" customHeight="1">
      <c r="B20" s="501"/>
      <c r="C20" s="1191" t="s">
        <v>118</v>
      </c>
      <c r="D20" s="1191"/>
      <c r="E20" s="1191"/>
      <c r="F20" s="514">
        <v>780.75</v>
      </c>
      <c r="G20" s="514"/>
      <c r="H20" s="514"/>
      <c r="I20" s="514"/>
      <c r="J20" s="514"/>
      <c r="K20" s="515">
        <f>F20</f>
        <v>780.75</v>
      </c>
      <c r="L20" s="503"/>
    </row>
    <row r="21" spans="2:12" hidden="1">
      <c r="B21" s="501"/>
      <c r="C21" s="1192" t="s">
        <v>116</v>
      </c>
      <c r="D21" s="1192"/>
      <c r="E21" s="1192"/>
      <c r="F21" s="1192"/>
      <c r="G21" s="1192"/>
      <c r="H21" s="1192"/>
      <c r="I21" s="1192"/>
      <c r="J21" s="1192"/>
      <c r="K21" s="516">
        <f>SUM(K20:K20)</f>
        <v>780.75</v>
      </c>
      <c r="L21" s="503"/>
    </row>
    <row r="22" spans="2:12" hidden="1">
      <c r="B22" s="501"/>
      <c r="C22" s="517"/>
      <c r="D22" s="517"/>
      <c r="E22" s="517"/>
      <c r="F22" s="517"/>
      <c r="G22" s="517"/>
      <c r="H22" s="517"/>
      <c r="I22" s="517"/>
      <c r="J22" s="517"/>
      <c r="K22" s="518"/>
      <c r="L22" s="503"/>
    </row>
    <row r="23" spans="2:12" ht="15" hidden="1" customHeight="1">
      <c r="B23" s="497" t="str">
        <f>'[6]PLANILHA ORÇAMENTÁRIA'!D14</f>
        <v>1.3</v>
      </c>
      <c r="C23" s="1186" t="str">
        <f>'[6]PLANILHA ORÇAMENTÁRIA'!E14</f>
        <v>LOCAÇÃO DA OBRA - EXECUÇÃO DE GABARITO</v>
      </c>
      <c r="D23" s="1186"/>
      <c r="E23" s="1186"/>
      <c r="F23" s="1186"/>
      <c r="G23" s="1186"/>
      <c r="H23" s="1186"/>
      <c r="I23" s="1186"/>
      <c r="J23" s="1186"/>
      <c r="K23" s="510" t="str">
        <f>'[6]PLANILHA ORÇAMENTÁRIA'!F14</f>
        <v>M2</v>
      </c>
      <c r="L23" s="511">
        <f>K27</f>
        <v>157.78</v>
      </c>
    </row>
    <row r="24" spans="2:12" hidden="1">
      <c r="B24" s="501"/>
      <c r="C24" s="1190" t="s">
        <v>20</v>
      </c>
      <c r="D24" s="1190"/>
      <c r="E24" s="1190"/>
      <c r="F24" s="512" t="s">
        <v>22</v>
      </c>
      <c r="G24" s="577" t="s">
        <v>111</v>
      </c>
      <c r="H24" s="512" t="s">
        <v>112</v>
      </c>
      <c r="I24" s="577" t="s">
        <v>113</v>
      </c>
      <c r="J24" s="577" t="s">
        <v>114</v>
      </c>
      <c r="K24" s="513" t="s">
        <v>25</v>
      </c>
      <c r="L24" s="503"/>
    </row>
    <row r="25" spans="2:12" hidden="1">
      <c r="B25" s="501"/>
      <c r="C25" s="1191" t="s">
        <v>119</v>
      </c>
      <c r="D25" s="1191"/>
      <c r="E25" s="1191"/>
      <c r="F25" s="514">
        <v>1</v>
      </c>
      <c r="G25" s="514"/>
      <c r="H25" s="514">
        <v>6.7</v>
      </c>
      <c r="I25" s="514">
        <v>12</v>
      </c>
      <c r="J25" s="514"/>
      <c r="K25" s="515">
        <f>PRODUCT(F25:I25)</f>
        <v>80.400000000000006</v>
      </c>
      <c r="L25" s="503"/>
    </row>
    <row r="26" spans="2:12" hidden="1">
      <c r="B26" s="501"/>
      <c r="C26" s="1191" t="s">
        <v>120</v>
      </c>
      <c r="D26" s="1191"/>
      <c r="E26" s="1191"/>
      <c r="F26" s="514">
        <v>4</v>
      </c>
      <c r="G26" s="514"/>
      <c r="H26" s="514">
        <v>3.65</v>
      </c>
      <c r="I26" s="514">
        <v>5.3</v>
      </c>
      <c r="J26" s="514"/>
      <c r="K26" s="515">
        <f>PRODUCT(F26:I26)</f>
        <v>77.38</v>
      </c>
      <c r="L26" s="503"/>
    </row>
    <row r="27" spans="2:12" hidden="1">
      <c r="B27" s="501"/>
      <c r="C27" s="1192" t="s">
        <v>116</v>
      </c>
      <c r="D27" s="1192"/>
      <c r="E27" s="1192"/>
      <c r="F27" s="1192"/>
      <c r="G27" s="1192"/>
      <c r="H27" s="1192"/>
      <c r="I27" s="1192"/>
      <c r="J27" s="1192"/>
      <c r="K27" s="516">
        <f>SUM(K25:K26)</f>
        <v>157.78</v>
      </c>
      <c r="L27" s="503"/>
    </row>
    <row r="28" spans="2:12" hidden="1">
      <c r="B28" s="501"/>
      <c r="C28" s="517"/>
      <c r="D28" s="517"/>
      <c r="E28" s="517"/>
      <c r="F28" s="517"/>
      <c r="G28" s="517"/>
      <c r="H28" s="517"/>
      <c r="I28" s="517"/>
      <c r="J28" s="517"/>
      <c r="K28" s="518"/>
      <c r="L28" s="503"/>
    </row>
    <row r="29" spans="2:12" hidden="1">
      <c r="B29" s="501" t="str">
        <f>'[6]PLANILHA ORÇAMENTÁRIA'!D15</f>
        <v>2.0</v>
      </c>
      <c r="C29" s="1193" t="str">
        <f>'[6]PLANILHA ORÇAMENTÁRIA'!E15</f>
        <v>DEMOLIÇÕES</v>
      </c>
      <c r="D29" s="1193"/>
      <c r="E29" s="1193"/>
      <c r="F29" s="1193"/>
      <c r="G29" s="1193"/>
      <c r="H29" s="1193"/>
      <c r="I29" s="1193"/>
      <c r="J29" s="1193"/>
      <c r="K29" s="497"/>
      <c r="L29" s="497"/>
    </row>
    <row r="30" spans="2:12" ht="23.25" hidden="1" customHeight="1">
      <c r="B30" s="497" t="str">
        <f>'[6]PLANILHA ORÇAMENTÁRIA'!D16</f>
        <v>2.1</v>
      </c>
      <c r="C30" s="1186" t="str">
        <f>'[6]PLANILHA ORÇAMENTÁRIA'!E16</f>
        <v>DEMOLIÇÃO DE ALVENARIA DE BLOCO FURADO, SEM REAPROVEITAMENTO, INCLUSIVE REVESTIMENTO.</v>
      </c>
      <c r="D30" s="1186"/>
      <c r="E30" s="1186"/>
      <c r="F30" s="1186"/>
      <c r="G30" s="1186"/>
      <c r="H30" s="1186"/>
      <c r="I30" s="1186"/>
      <c r="J30" s="1186"/>
      <c r="K30" s="510" t="str">
        <f>'[6]PLANILHA ORÇAMENTÁRIA'!F16</f>
        <v>M3</v>
      </c>
      <c r="L30" s="511">
        <f>K33</f>
        <v>17.39</v>
      </c>
    </row>
    <row r="31" spans="2:12" hidden="1">
      <c r="B31" s="501"/>
      <c r="C31" s="1190" t="s">
        <v>20</v>
      </c>
      <c r="D31" s="1190"/>
      <c r="E31" s="1190"/>
      <c r="F31" s="512" t="s">
        <v>117</v>
      </c>
      <c r="G31" s="577" t="s">
        <v>111</v>
      </c>
      <c r="H31" s="512" t="s">
        <v>112</v>
      </c>
      <c r="I31" s="577" t="s">
        <v>113</v>
      </c>
      <c r="J31" s="577" t="s">
        <v>114</v>
      </c>
      <c r="K31" s="513" t="s">
        <v>25</v>
      </c>
      <c r="L31" s="503"/>
    </row>
    <row r="32" spans="2:12" hidden="1">
      <c r="B32" s="501"/>
      <c r="C32" s="1191" t="s">
        <v>121</v>
      </c>
      <c r="D32" s="1191"/>
      <c r="E32" s="1191"/>
      <c r="F32" s="514"/>
      <c r="G32" s="514">
        <v>2.2000000000000002</v>
      </c>
      <c r="H32" s="514">
        <v>0.15</v>
      </c>
      <c r="I32" s="514">
        <v>52.71</v>
      </c>
      <c r="J32" s="514"/>
      <c r="K32" s="515">
        <f>TRUNC(I32*G32*H32,2)</f>
        <v>17.39</v>
      </c>
      <c r="L32" s="503"/>
    </row>
    <row r="33" spans="2:12" hidden="1">
      <c r="B33" s="501"/>
      <c r="C33" s="1192" t="s">
        <v>116</v>
      </c>
      <c r="D33" s="1192"/>
      <c r="E33" s="1192"/>
      <c r="F33" s="1192"/>
      <c r="G33" s="1192"/>
      <c r="H33" s="1192"/>
      <c r="I33" s="1192"/>
      <c r="J33" s="1192"/>
      <c r="K33" s="516">
        <f>SUM(K32:K32)</f>
        <v>17.39</v>
      </c>
      <c r="L33" s="503"/>
    </row>
    <row r="34" spans="2:12" hidden="1">
      <c r="B34" s="501"/>
      <c r="C34" s="517"/>
      <c r="D34" s="517"/>
      <c r="E34" s="517"/>
      <c r="F34" s="517"/>
      <c r="G34" s="517"/>
      <c r="H34" s="517"/>
      <c r="I34" s="517"/>
      <c r="J34" s="517"/>
      <c r="K34" s="518"/>
      <c r="L34" s="503"/>
    </row>
    <row r="35" spans="2:12" hidden="1">
      <c r="B35" s="501" t="str">
        <f>'[6]PLANILHA ORÇAMENTÁRIA'!D17</f>
        <v>3.0</v>
      </c>
      <c r="C35" s="1193" t="str">
        <f>'[6]PLANILHA ORÇAMENTÁRIA'!E17</f>
        <v>TRABALHOS EM TERRA</v>
      </c>
      <c r="D35" s="1193"/>
      <c r="E35" s="1193"/>
      <c r="F35" s="1193"/>
      <c r="G35" s="1193"/>
      <c r="H35" s="1193"/>
      <c r="I35" s="1193"/>
      <c r="J35" s="1193"/>
      <c r="K35" s="497"/>
      <c r="L35" s="497"/>
    </row>
    <row r="36" spans="2:12" ht="15" hidden="1" customHeight="1">
      <c r="B36" s="497" t="str">
        <f>'[6]PLANILHA ORÇAMENTÁRIA'!D18</f>
        <v>3.1</v>
      </c>
      <c r="C36" s="1186" t="str">
        <f>'[6]PLANILHA ORÇAMENTÁRIA'!E18</f>
        <v>CORTE E ATERRO COMPENSADO</v>
      </c>
      <c r="D36" s="1186"/>
      <c r="E36" s="1186"/>
      <c r="F36" s="1186"/>
      <c r="G36" s="1186"/>
      <c r="H36" s="1186"/>
      <c r="I36" s="1186"/>
      <c r="J36" s="1186"/>
      <c r="K36" s="510" t="str">
        <f>'[6]PLANILHA ORÇAMENTÁRIA'!F18</f>
        <v>M3</v>
      </c>
      <c r="L36" s="511">
        <f>K39</f>
        <v>156.15</v>
      </c>
    </row>
    <row r="37" spans="2:12" hidden="1">
      <c r="B37" s="501"/>
      <c r="C37" s="1190" t="s">
        <v>20</v>
      </c>
      <c r="D37" s="1190"/>
      <c r="E37" s="1190"/>
      <c r="F37" s="512" t="s">
        <v>117</v>
      </c>
      <c r="G37" s="577" t="s">
        <v>111</v>
      </c>
      <c r="H37" s="512" t="s">
        <v>112</v>
      </c>
      <c r="I37" s="577" t="s">
        <v>113</v>
      </c>
      <c r="J37" s="577" t="s">
        <v>114</v>
      </c>
      <c r="K37" s="513" t="s">
        <v>25</v>
      </c>
      <c r="L37" s="503"/>
    </row>
    <row r="38" spans="2:12" hidden="1">
      <c r="B38" s="501"/>
      <c r="C38" s="1191" t="s">
        <v>122</v>
      </c>
      <c r="D38" s="1191"/>
      <c r="E38" s="1191"/>
      <c r="F38" s="514">
        <f>F20</f>
        <v>780.75</v>
      </c>
      <c r="G38" s="514">
        <v>0.2</v>
      </c>
      <c r="H38" s="514"/>
      <c r="I38" s="514"/>
      <c r="J38" s="514"/>
      <c r="K38" s="515">
        <f>TRUNC(F38*G38,2)</f>
        <v>156.15</v>
      </c>
      <c r="L38" s="503"/>
    </row>
    <row r="39" spans="2:12" hidden="1">
      <c r="B39" s="501"/>
      <c r="C39" s="1192" t="s">
        <v>116</v>
      </c>
      <c r="D39" s="1192"/>
      <c r="E39" s="1192"/>
      <c r="F39" s="1192"/>
      <c r="G39" s="1192"/>
      <c r="H39" s="1192"/>
      <c r="I39" s="1192"/>
      <c r="J39" s="1192"/>
      <c r="K39" s="516">
        <f>SUM(K38:K38)</f>
        <v>156.15</v>
      </c>
      <c r="L39" s="503"/>
    </row>
    <row r="40" spans="2:12" hidden="1">
      <c r="B40" s="493"/>
      <c r="C40" s="493"/>
      <c r="D40" s="493"/>
      <c r="E40" s="493"/>
      <c r="F40" s="493"/>
      <c r="G40" s="493"/>
      <c r="H40" s="493"/>
      <c r="I40" s="493"/>
      <c r="J40" s="493"/>
      <c r="K40" s="493"/>
      <c r="L40" s="493"/>
    </row>
    <row r="41" spans="2:12" ht="15" hidden="1" customHeight="1">
      <c r="B41" s="497" t="str">
        <f>'[6]PLANILHA ORÇAMENTÁRIA'!D19</f>
        <v>3.2</v>
      </c>
      <c r="C41" s="1186" t="str">
        <f>'[6]PLANILHA ORÇAMENTÁRIA'!E19</f>
        <v>ESCAVAÇÃO MANUAL DE VALA COM PROFUNDIDADE MENOR OU IGUAL A 1,30 M. AF_ 03/2016</v>
      </c>
      <c r="D41" s="1186"/>
      <c r="E41" s="1186"/>
      <c r="F41" s="1186"/>
      <c r="G41" s="1186"/>
      <c r="H41" s="1186"/>
      <c r="I41" s="1186"/>
      <c r="J41" s="1186"/>
      <c r="K41" s="510" t="str">
        <f>'[6]PLANILHA ORÇAMENTÁRIA'!F19</f>
        <v>M3</v>
      </c>
      <c r="L41" s="511">
        <f>K49</f>
        <v>12.827999999999999</v>
      </c>
    </row>
    <row r="42" spans="2:12" hidden="1">
      <c r="B42" s="501"/>
      <c r="C42" s="1190" t="s">
        <v>20</v>
      </c>
      <c r="D42" s="1190"/>
      <c r="E42" s="1190"/>
      <c r="F42" s="512" t="s">
        <v>22</v>
      </c>
      <c r="G42" s="577" t="s">
        <v>111</v>
      </c>
      <c r="H42" s="512" t="s">
        <v>112</v>
      </c>
      <c r="I42" s="577" t="s">
        <v>113</v>
      </c>
      <c r="J42" s="577" t="s">
        <v>114</v>
      </c>
      <c r="K42" s="513" t="s">
        <v>25</v>
      </c>
      <c r="L42" s="503"/>
    </row>
    <row r="43" spans="2:12" hidden="1">
      <c r="B43" s="501"/>
      <c r="C43" s="1191" t="s">
        <v>123</v>
      </c>
      <c r="D43" s="1191"/>
      <c r="E43" s="1191"/>
      <c r="F43" s="514">
        <v>2</v>
      </c>
      <c r="G43" s="514">
        <v>0.6</v>
      </c>
      <c r="H43" s="514">
        <v>0.4</v>
      </c>
      <c r="I43" s="514">
        <v>5.4</v>
      </c>
      <c r="J43" s="514"/>
      <c r="K43" s="515">
        <f t="shared" ref="K43:K48" si="0">PRODUCT(F43:I43)</f>
        <v>2.5920000000000001</v>
      </c>
      <c r="L43" s="503"/>
    </row>
    <row r="44" spans="2:12" hidden="1">
      <c r="B44" s="501"/>
      <c r="C44" s="1191" t="s">
        <v>124</v>
      </c>
      <c r="D44" s="1191"/>
      <c r="E44" s="1191"/>
      <c r="F44" s="514">
        <v>2</v>
      </c>
      <c r="G44" s="514">
        <v>0.6</v>
      </c>
      <c r="H44" s="514">
        <v>0.4</v>
      </c>
      <c r="I44" s="514">
        <v>3.6</v>
      </c>
      <c r="J44" s="514"/>
      <c r="K44" s="515">
        <f t="shared" si="0"/>
        <v>1.728</v>
      </c>
      <c r="L44" s="503"/>
    </row>
    <row r="45" spans="2:12" hidden="1">
      <c r="B45" s="501"/>
      <c r="C45" s="1191" t="s">
        <v>125</v>
      </c>
      <c r="D45" s="1191"/>
      <c r="E45" s="1191"/>
      <c r="F45" s="514">
        <v>1</v>
      </c>
      <c r="G45" s="514">
        <v>0.6</v>
      </c>
      <c r="H45" s="514">
        <v>0.4</v>
      </c>
      <c r="I45" s="514">
        <v>4.2</v>
      </c>
      <c r="J45" s="514"/>
      <c r="K45" s="515">
        <f t="shared" si="0"/>
        <v>1.008</v>
      </c>
      <c r="L45" s="503"/>
    </row>
    <row r="46" spans="2:12" hidden="1">
      <c r="B46" s="501"/>
      <c r="C46" s="1191" t="s">
        <v>126</v>
      </c>
      <c r="D46" s="1191"/>
      <c r="E46" s="1191"/>
      <c r="F46" s="514">
        <v>1</v>
      </c>
      <c r="G46" s="514">
        <v>0.6</v>
      </c>
      <c r="H46" s="514">
        <v>0.4</v>
      </c>
      <c r="I46" s="514">
        <v>3.15</v>
      </c>
      <c r="J46" s="514"/>
      <c r="K46" s="515">
        <f t="shared" si="0"/>
        <v>0.75600000000000001</v>
      </c>
      <c r="L46" s="503"/>
    </row>
    <row r="47" spans="2:12" hidden="1">
      <c r="B47" s="501"/>
      <c r="C47" s="1191" t="s">
        <v>127</v>
      </c>
      <c r="D47" s="1191"/>
      <c r="E47" s="1191"/>
      <c r="F47" s="514">
        <v>1</v>
      </c>
      <c r="G47" s="514">
        <v>0.6</v>
      </c>
      <c r="H47" s="514">
        <v>0.4</v>
      </c>
      <c r="I47" s="514">
        <f>5.7+5.7+4.7</f>
        <v>16.100000000000001</v>
      </c>
      <c r="J47" s="514"/>
      <c r="K47" s="515">
        <f t="shared" si="0"/>
        <v>3.8640000000000003</v>
      </c>
      <c r="L47" s="503"/>
    </row>
    <row r="48" spans="2:12" hidden="1">
      <c r="B48" s="501"/>
      <c r="C48" s="1191" t="s">
        <v>128</v>
      </c>
      <c r="D48" s="1191"/>
      <c r="E48" s="1191"/>
      <c r="F48" s="514">
        <v>8</v>
      </c>
      <c r="G48" s="514">
        <v>1</v>
      </c>
      <c r="H48" s="514">
        <v>0.6</v>
      </c>
      <c r="I48" s="514">
        <v>0.6</v>
      </c>
      <c r="J48" s="514"/>
      <c r="K48" s="515">
        <f t="shared" si="0"/>
        <v>2.88</v>
      </c>
      <c r="L48" s="503"/>
    </row>
    <row r="49" spans="2:12" hidden="1">
      <c r="B49" s="501"/>
      <c r="C49" s="1192" t="s">
        <v>116</v>
      </c>
      <c r="D49" s="1192"/>
      <c r="E49" s="1192"/>
      <c r="F49" s="1192"/>
      <c r="G49" s="1192"/>
      <c r="H49" s="1192"/>
      <c r="I49" s="1192"/>
      <c r="J49" s="1192"/>
      <c r="K49" s="516">
        <f>SUM(K43:K48)</f>
        <v>12.827999999999999</v>
      </c>
      <c r="L49" s="503"/>
    </row>
    <row r="50" spans="2:12" hidden="1">
      <c r="B50" s="493"/>
      <c r="C50" s="493"/>
      <c r="D50" s="493"/>
      <c r="E50" s="493"/>
      <c r="F50" s="493"/>
      <c r="G50" s="493"/>
      <c r="H50" s="493"/>
      <c r="I50" s="493"/>
      <c r="J50" s="493"/>
      <c r="K50" s="493"/>
      <c r="L50" s="493"/>
    </row>
    <row r="51" spans="2:12" ht="15" hidden="1" customHeight="1">
      <c r="B51" s="497" t="str">
        <f>'[6]PLANILHA ORÇAMENTÁRIA'!D20</f>
        <v>3.3</v>
      </c>
      <c r="C51" s="1186" t="str">
        <f>'[6]PLANILHA ORÇAMENTÁRIA'!E20</f>
        <v>REATERRO MANUAL APILOADO COM SOQUETE</v>
      </c>
      <c r="D51" s="1186"/>
      <c r="E51" s="1186"/>
      <c r="F51" s="1186"/>
      <c r="G51" s="1186"/>
      <c r="H51" s="1186"/>
      <c r="I51" s="1186"/>
      <c r="J51" s="1186"/>
      <c r="K51" s="510" t="str">
        <f>'[6]PLANILHA ORÇAMENTÁRIA'!F20</f>
        <v>M3</v>
      </c>
      <c r="L51" s="511">
        <f>K54</f>
        <v>4.0992499999999996</v>
      </c>
    </row>
    <row r="52" spans="2:12" hidden="1">
      <c r="B52" s="501"/>
      <c r="C52" s="1190" t="s">
        <v>20</v>
      </c>
      <c r="D52" s="1190"/>
      <c r="E52" s="1190"/>
      <c r="F52" s="512" t="s">
        <v>129</v>
      </c>
      <c r="G52" s="577" t="s">
        <v>130</v>
      </c>
      <c r="H52" s="512" t="s">
        <v>131</v>
      </c>
      <c r="I52" s="577" t="s">
        <v>132</v>
      </c>
      <c r="J52" s="577"/>
      <c r="K52" s="513" t="s">
        <v>25</v>
      </c>
      <c r="L52" s="503"/>
    </row>
    <row r="53" spans="2:12" hidden="1">
      <c r="B53" s="501"/>
      <c r="C53" s="1191"/>
      <c r="D53" s="1191"/>
      <c r="E53" s="1191"/>
      <c r="F53" s="514">
        <f>L41</f>
        <v>12.827999999999999</v>
      </c>
      <c r="G53" s="514">
        <f>L67</f>
        <v>3.4812500000000002</v>
      </c>
      <c r="H53" s="514">
        <f>L76</f>
        <v>4.1775000000000002</v>
      </c>
      <c r="I53" s="514">
        <v>1.07</v>
      </c>
      <c r="J53" s="514"/>
      <c r="K53" s="515">
        <f>F53-G53-H53-I53</f>
        <v>4.0992499999999996</v>
      </c>
      <c r="L53" s="503"/>
    </row>
    <row r="54" spans="2:12" hidden="1">
      <c r="B54" s="501"/>
      <c r="C54" s="1192" t="s">
        <v>116</v>
      </c>
      <c r="D54" s="1192"/>
      <c r="E54" s="1192"/>
      <c r="F54" s="1192"/>
      <c r="G54" s="1192"/>
      <c r="H54" s="1192"/>
      <c r="I54" s="1192"/>
      <c r="J54" s="1192"/>
      <c r="K54" s="516">
        <f>SUM(K53:K53)</f>
        <v>4.0992499999999996</v>
      </c>
      <c r="L54" s="503"/>
    </row>
    <row r="55" spans="2:12" hidden="1">
      <c r="B55" s="493"/>
      <c r="C55" s="493"/>
      <c r="D55" s="493"/>
      <c r="E55" s="493"/>
      <c r="F55" s="493"/>
      <c r="G55" s="493"/>
      <c r="H55" s="493"/>
      <c r="I55" s="493"/>
      <c r="J55" s="493"/>
      <c r="K55" s="493"/>
      <c r="L55" s="493"/>
    </row>
    <row r="56" spans="2:12" hidden="1">
      <c r="B56" s="501" t="str">
        <f>'[6]PLANILHA ORÇAMENTÁRIA'!D21</f>
        <v>4.0</v>
      </c>
      <c r="C56" s="1193" t="str">
        <f>'[6]PLANILHA ORÇAMENTÁRIA'!E21</f>
        <v>FUNDAÇÃO</v>
      </c>
      <c r="D56" s="1193"/>
      <c r="E56" s="1193"/>
      <c r="F56" s="1193"/>
      <c r="G56" s="1193"/>
      <c r="H56" s="1193"/>
      <c r="I56" s="1193"/>
      <c r="J56" s="1193"/>
      <c r="K56" s="497"/>
      <c r="L56" s="497"/>
    </row>
    <row r="57" spans="2:12" ht="24.75" hidden="1" customHeight="1">
      <c r="B57" s="497" t="str">
        <f>'[6]PLANILHA ORÇAMENTÁRIA'!D22</f>
        <v>4.1</v>
      </c>
      <c r="C57" s="1186" t="str">
        <f>'[6]PLANILHA ORÇAMENTÁRIA'!E22</f>
        <v>LASTRO DE CONCRETO MAGRO, APLICADO EM BLOCOS DE COROAMENTO OU SAPATAS, ESPESSURA DE 5 CM. AF_08/2017</v>
      </c>
      <c r="D57" s="1186"/>
      <c r="E57" s="1186"/>
      <c r="F57" s="1186"/>
      <c r="G57" s="1186"/>
      <c r="H57" s="1186"/>
      <c r="I57" s="1186"/>
      <c r="J57" s="1186"/>
      <c r="K57" s="510" t="str">
        <f>'[6]PLANILHA ORÇAMENTÁRIA'!F22</f>
        <v>M2</v>
      </c>
      <c r="L57" s="511">
        <f>K65</f>
        <v>21.532500000000002</v>
      </c>
    </row>
    <row r="58" spans="2:12" hidden="1">
      <c r="B58" s="501"/>
      <c r="C58" s="1190" t="s">
        <v>20</v>
      </c>
      <c r="D58" s="1190"/>
      <c r="E58" s="1190"/>
      <c r="F58" s="512" t="s">
        <v>22</v>
      </c>
      <c r="G58" s="577" t="s">
        <v>111</v>
      </c>
      <c r="H58" s="512" t="s">
        <v>112</v>
      </c>
      <c r="I58" s="577" t="s">
        <v>113</v>
      </c>
      <c r="J58" s="577" t="s">
        <v>114</v>
      </c>
      <c r="K58" s="513" t="s">
        <v>25</v>
      </c>
      <c r="L58" s="503"/>
    </row>
    <row r="59" spans="2:12" hidden="1">
      <c r="B59" s="501"/>
      <c r="C59" s="1191" t="s">
        <v>123</v>
      </c>
      <c r="D59" s="1191"/>
      <c r="E59" s="1191"/>
      <c r="F59" s="514">
        <v>2</v>
      </c>
      <c r="G59" s="514"/>
      <c r="H59" s="514">
        <v>0.45</v>
      </c>
      <c r="I59" s="514">
        <v>5.4</v>
      </c>
      <c r="J59" s="514"/>
      <c r="K59" s="515">
        <f t="shared" ref="K59:K64" si="1">PRODUCT(F59:I59)</f>
        <v>4.8600000000000003</v>
      </c>
      <c r="L59" s="503"/>
    </row>
    <row r="60" spans="2:12" hidden="1">
      <c r="B60" s="501"/>
      <c r="C60" s="1191" t="s">
        <v>124</v>
      </c>
      <c r="D60" s="1191"/>
      <c r="E60" s="1191"/>
      <c r="F60" s="514">
        <v>2</v>
      </c>
      <c r="G60" s="514"/>
      <c r="H60" s="514">
        <v>0.45</v>
      </c>
      <c r="I60" s="514">
        <v>3.6</v>
      </c>
      <c r="J60" s="514"/>
      <c r="K60" s="515">
        <f t="shared" si="1"/>
        <v>3.24</v>
      </c>
      <c r="L60" s="503"/>
    </row>
    <row r="61" spans="2:12" hidden="1">
      <c r="B61" s="501"/>
      <c r="C61" s="1191" t="s">
        <v>125</v>
      </c>
      <c r="D61" s="1191"/>
      <c r="E61" s="1191"/>
      <c r="F61" s="514">
        <v>1</v>
      </c>
      <c r="G61" s="514"/>
      <c r="H61" s="514">
        <v>0.45</v>
      </c>
      <c r="I61" s="514">
        <v>4.2</v>
      </c>
      <c r="J61" s="514"/>
      <c r="K61" s="515">
        <f t="shared" si="1"/>
        <v>1.8900000000000001</v>
      </c>
      <c r="L61" s="503"/>
    </row>
    <row r="62" spans="2:12" hidden="1">
      <c r="B62" s="501"/>
      <c r="C62" s="1191" t="s">
        <v>126</v>
      </c>
      <c r="D62" s="1191"/>
      <c r="E62" s="1191"/>
      <c r="F62" s="514">
        <v>1</v>
      </c>
      <c r="G62" s="514"/>
      <c r="H62" s="514">
        <v>0.45</v>
      </c>
      <c r="I62" s="514">
        <v>3.15</v>
      </c>
      <c r="J62" s="514"/>
      <c r="K62" s="515">
        <f t="shared" si="1"/>
        <v>1.4175</v>
      </c>
      <c r="L62" s="503"/>
    </row>
    <row r="63" spans="2:12" hidden="1">
      <c r="B63" s="501"/>
      <c r="C63" s="1191" t="s">
        <v>127</v>
      </c>
      <c r="D63" s="1191"/>
      <c r="E63" s="1191"/>
      <c r="F63" s="514">
        <v>1</v>
      </c>
      <c r="G63" s="514"/>
      <c r="H63" s="514">
        <v>0.45</v>
      </c>
      <c r="I63" s="514">
        <f>5.7+5.7+4.7</f>
        <v>16.100000000000001</v>
      </c>
      <c r="J63" s="514"/>
      <c r="K63" s="515">
        <f t="shared" si="1"/>
        <v>7.245000000000001</v>
      </c>
      <c r="L63" s="503"/>
    </row>
    <row r="64" spans="2:12" hidden="1">
      <c r="B64" s="501"/>
      <c r="C64" s="1191" t="s">
        <v>128</v>
      </c>
      <c r="D64" s="1191"/>
      <c r="E64" s="1191"/>
      <c r="F64" s="514">
        <v>8</v>
      </c>
      <c r="G64" s="514"/>
      <c r="H64" s="514">
        <v>0.6</v>
      </c>
      <c r="I64" s="514">
        <v>0.6</v>
      </c>
      <c r="J64" s="514"/>
      <c r="K64" s="515">
        <f t="shared" si="1"/>
        <v>2.88</v>
      </c>
      <c r="L64" s="503"/>
    </row>
    <row r="65" spans="2:12" hidden="1">
      <c r="B65" s="501"/>
      <c r="C65" s="1192" t="s">
        <v>116</v>
      </c>
      <c r="D65" s="1192"/>
      <c r="E65" s="1192"/>
      <c r="F65" s="1192"/>
      <c r="G65" s="1192"/>
      <c r="H65" s="1192"/>
      <c r="I65" s="1192"/>
      <c r="J65" s="1192"/>
      <c r="K65" s="516">
        <f>SUM(K59:K64)</f>
        <v>21.532500000000002</v>
      </c>
      <c r="L65" s="503"/>
    </row>
    <row r="66" spans="2:12" hidden="1">
      <c r="B66" s="501"/>
      <c r="C66" s="517"/>
      <c r="D66" s="517"/>
      <c r="E66" s="517"/>
      <c r="F66" s="517"/>
      <c r="G66" s="517"/>
      <c r="H66" s="517"/>
      <c r="I66" s="517"/>
      <c r="J66" s="517"/>
      <c r="K66" s="518"/>
      <c r="L66" s="503"/>
    </row>
    <row r="67" spans="2:12" ht="15" hidden="1" customHeight="1">
      <c r="B67" s="497" t="str">
        <f>'[6]PLANILHA ORÇAMENTÁRIA'!D23</f>
        <v>4.2</v>
      </c>
      <c r="C67" s="1186" t="str">
        <f>'[6]PLANILHA ORÇAMENTÁRIA'!E23</f>
        <v>EMBASAMENTO C/PEDRA ARGAMASSADA UTILIZANDO ARG.CIM/AREIA 1:4</v>
      </c>
      <c r="D67" s="1186"/>
      <c r="E67" s="1186"/>
      <c r="F67" s="1186"/>
      <c r="G67" s="1186"/>
      <c r="H67" s="1186"/>
      <c r="I67" s="1186"/>
      <c r="J67" s="1186"/>
      <c r="K67" s="510" t="str">
        <f>'[6]PLANILHA ORÇAMENTÁRIA'!F23</f>
        <v>M3</v>
      </c>
      <c r="L67" s="511">
        <f>K74</f>
        <v>3.4812500000000002</v>
      </c>
    </row>
    <row r="68" spans="2:12" hidden="1">
      <c r="B68" s="501"/>
      <c r="C68" s="1190" t="s">
        <v>20</v>
      </c>
      <c r="D68" s="1190"/>
      <c r="E68" s="1190"/>
      <c r="F68" s="512" t="s">
        <v>22</v>
      </c>
      <c r="G68" s="577" t="s">
        <v>111</v>
      </c>
      <c r="H68" s="512" t="s">
        <v>112</v>
      </c>
      <c r="I68" s="577" t="s">
        <v>113</v>
      </c>
      <c r="J68" s="577" t="s">
        <v>114</v>
      </c>
      <c r="K68" s="513" t="s">
        <v>25</v>
      </c>
      <c r="L68" s="503"/>
    </row>
    <row r="69" spans="2:12" hidden="1">
      <c r="B69" s="501"/>
      <c r="C69" s="1191" t="s">
        <v>123</v>
      </c>
      <c r="D69" s="1191"/>
      <c r="E69" s="1191"/>
      <c r="F69" s="514">
        <v>2</v>
      </c>
      <c r="G69" s="514">
        <v>0.25</v>
      </c>
      <c r="H69" s="514">
        <v>0.4</v>
      </c>
      <c r="I69" s="514">
        <v>5.4</v>
      </c>
      <c r="J69" s="514"/>
      <c r="K69" s="515">
        <f>PRODUCT(F69:J69)</f>
        <v>1.08</v>
      </c>
      <c r="L69" s="503"/>
    </row>
    <row r="70" spans="2:12" hidden="1">
      <c r="B70" s="501"/>
      <c r="C70" s="1191" t="s">
        <v>124</v>
      </c>
      <c r="D70" s="1191"/>
      <c r="E70" s="1191"/>
      <c r="F70" s="514">
        <v>2</v>
      </c>
      <c r="G70" s="514">
        <v>0.25</v>
      </c>
      <c r="H70" s="514">
        <v>0.4</v>
      </c>
      <c r="I70" s="514">
        <v>3.6</v>
      </c>
      <c r="J70" s="514"/>
      <c r="K70" s="515">
        <f>PRODUCT(F70:J70)</f>
        <v>0.72000000000000008</v>
      </c>
      <c r="L70" s="503"/>
    </row>
    <row r="71" spans="2:12" hidden="1">
      <c r="B71" s="501"/>
      <c r="C71" s="1191" t="s">
        <v>125</v>
      </c>
      <c r="D71" s="1191"/>
      <c r="E71" s="1191"/>
      <c r="F71" s="514">
        <v>1</v>
      </c>
      <c r="G71" s="514">
        <v>0.25</v>
      </c>
      <c r="H71" s="514">
        <v>0.4</v>
      </c>
      <c r="I71" s="514">
        <v>3.6</v>
      </c>
      <c r="J71" s="514"/>
      <c r="K71" s="515">
        <f>PRODUCT(F71:J71)</f>
        <v>0.36000000000000004</v>
      </c>
      <c r="L71" s="503"/>
    </row>
    <row r="72" spans="2:12" hidden="1">
      <c r="B72" s="501"/>
      <c r="C72" s="1191" t="s">
        <v>127</v>
      </c>
      <c r="D72" s="1191"/>
      <c r="E72" s="1191"/>
      <c r="F72" s="514">
        <v>1</v>
      </c>
      <c r="G72" s="514">
        <v>0.25</v>
      </c>
      <c r="H72" s="514">
        <v>0.25</v>
      </c>
      <c r="I72" s="514">
        <f>5.7+5.7+4.7</f>
        <v>16.100000000000001</v>
      </c>
      <c r="J72" s="514"/>
      <c r="K72" s="515">
        <f>PRODUCT(F72:I72)</f>
        <v>1.0062500000000001</v>
      </c>
      <c r="L72" s="503"/>
    </row>
    <row r="73" spans="2:12" hidden="1">
      <c r="B73" s="501"/>
      <c r="C73" s="1191" t="s">
        <v>126</v>
      </c>
      <c r="D73" s="1191"/>
      <c r="E73" s="1191"/>
      <c r="F73" s="514">
        <v>1</v>
      </c>
      <c r="G73" s="514">
        <v>0.25</v>
      </c>
      <c r="H73" s="514">
        <v>0.4</v>
      </c>
      <c r="I73" s="514">
        <v>3.15</v>
      </c>
      <c r="J73" s="514"/>
      <c r="K73" s="515">
        <f>PRODUCT(F73:J73)</f>
        <v>0.315</v>
      </c>
      <c r="L73" s="503"/>
    </row>
    <row r="74" spans="2:12" hidden="1">
      <c r="B74" s="501"/>
      <c r="C74" s="1192" t="s">
        <v>116</v>
      </c>
      <c r="D74" s="1192"/>
      <c r="E74" s="1192"/>
      <c r="F74" s="1192"/>
      <c r="G74" s="1192"/>
      <c r="H74" s="1192"/>
      <c r="I74" s="1192"/>
      <c r="J74" s="1192"/>
      <c r="K74" s="516">
        <f>SUM(K69:K73)</f>
        <v>3.4812500000000002</v>
      </c>
      <c r="L74" s="503"/>
    </row>
    <row r="75" spans="2:12" hidden="1">
      <c r="B75" s="501"/>
      <c r="C75" s="517"/>
      <c r="D75" s="517"/>
      <c r="E75" s="517"/>
      <c r="F75" s="517"/>
      <c r="G75" s="517"/>
      <c r="H75" s="517"/>
      <c r="I75" s="517"/>
      <c r="J75" s="517"/>
      <c r="K75" s="518"/>
      <c r="L75" s="503"/>
    </row>
    <row r="76" spans="2:12" ht="27" hidden="1" customHeight="1">
      <c r="B76" s="497" t="str">
        <f>'[6]PLANILHA ORÇAMENTÁRIA'!D24</f>
        <v>4.3</v>
      </c>
      <c r="C76" s="1186" t="str">
        <f>'[6]PLANILHA ORÇAMENTÁRIA'!E24</f>
        <v>ALVENARIA DE EMBASAMENTO EM BLOCO CERAMICO, 8 FUROS, DE 9 X 19 X 19 CM, ASSENTADO COM ARGAMASSA TRACO 1:2:8 (CIMENTO, CAL E AREIA)</v>
      </c>
      <c r="D76" s="1186"/>
      <c r="E76" s="1186"/>
      <c r="F76" s="1186"/>
      <c r="G76" s="1186"/>
      <c r="H76" s="1186"/>
      <c r="I76" s="1186"/>
      <c r="J76" s="1186"/>
      <c r="K76" s="510" t="str">
        <f>'[6]PLANILHA ORÇAMENTÁRIA'!F24</f>
        <v>M3</v>
      </c>
      <c r="L76" s="511">
        <f>K83</f>
        <v>4.1775000000000002</v>
      </c>
    </row>
    <row r="77" spans="2:12" hidden="1">
      <c r="B77" s="501"/>
      <c r="C77" s="1190" t="s">
        <v>20</v>
      </c>
      <c r="D77" s="1190"/>
      <c r="E77" s="1190"/>
      <c r="F77" s="512" t="s">
        <v>22</v>
      </c>
      <c r="G77" s="577" t="s">
        <v>111</v>
      </c>
      <c r="H77" s="512" t="s">
        <v>112</v>
      </c>
      <c r="I77" s="577" t="s">
        <v>113</v>
      </c>
      <c r="J77" s="577" t="s">
        <v>114</v>
      </c>
      <c r="K77" s="513" t="s">
        <v>25</v>
      </c>
      <c r="L77" s="503"/>
    </row>
    <row r="78" spans="2:12" hidden="1">
      <c r="B78" s="501"/>
      <c r="C78" s="1191" t="s">
        <v>123</v>
      </c>
      <c r="D78" s="1191"/>
      <c r="E78" s="1191"/>
      <c r="F78" s="514">
        <v>2</v>
      </c>
      <c r="G78" s="514">
        <v>0.3</v>
      </c>
      <c r="H78" s="514">
        <v>0.4</v>
      </c>
      <c r="I78" s="514">
        <v>5.4</v>
      </c>
      <c r="J78" s="514"/>
      <c r="K78" s="515">
        <f>PRODUCT(F78:J78)</f>
        <v>1.296</v>
      </c>
      <c r="L78" s="503"/>
    </row>
    <row r="79" spans="2:12" hidden="1">
      <c r="B79" s="501"/>
      <c r="C79" s="1191" t="s">
        <v>124</v>
      </c>
      <c r="D79" s="1191"/>
      <c r="E79" s="1191"/>
      <c r="F79" s="514">
        <v>2</v>
      </c>
      <c r="G79" s="514">
        <v>0.3</v>
      </c>
      <c r="H79" s="514">
        <v>0.4</v>
      </c>
      <c r="I79" s="514">
        <v>3.6</v>
      </c>
      <c r="J79" s="514"/>
      <c r="K79" s="515">
        <f>PRODUCT(F79:J79)</f>
        <v>0.86399999999999999</v>
      </c>
      <c r="L79" s="503"/>
    </row>
    <row r="80" spans="2:12" hidden="1">
      <c r="B80" s="501"/>
      <c r="C80" s="1191" t="s">
        <v>125</v>
      </c>
      <c r="D80" s="1191"/>
      <c r="E80" s="1191"/>
      <c r="F80" s="514">
        <v>1</v>
      </c>
      <c r="G80" s="514">
        <v>0.3</v>
      </c>
      <c r="H80" s="514">
        <v>0.4</v>
      </c>
      <c r="I80" s="514">
        <v>3.6</v>
      </c>
      <c r="J80" s="514"/>
      <c r="K80" s="515">
        <f>PRODUCT(F80:J80)</f>
        <v>0.432</v>
      </c>
      <c r="L80" s="503"/>
    </row>
    <row r="81" spans="2:12" hidden="1">
      <c r="B81" s="501"/>
      <c r="C81" s="1191" t="s">
        <v>127</v>
      </c>
      <c r="D81" s="1191"/>
      <c r="E81" s="1191"/>
      <c r="F81" s="514">
        <v>1</v>
      </c>
      <c r="G81" s="514">
        <v>0.3</v>
      </c>
      <c r="H81" s="514">
        <v>0.25</v>
      </c>
      <c r="I81" s="514">
        <f>5.7+5.7+4.7</f>
        <v>16.100000000000001</v>
      </c>
      <c r="J81" s="514"/>
      <c r="K81" s="515">
        <f>PRODUCT(F81:I81)</f>
        <v>1.2075</v>
      </c>
      <c r="L81" s="503"/>
    </row>
    <row r="82" spans="2:12" hidden="1">
      <c r="B82" s="501"/>
      <c r="C82" s="1191" t="s">
        <v>126</v>
      </c>
      <c r="D82" s="1191"/>
      <c r="E82" s="1191"/>
      <c r="F82" s="514">
        <v>1</v>
      </c>
      <c r="G82" s="514">
        <v>0.3</v>
      </c>
      <c r="H82" s="514">
        <v>0.4</v>
      </c>
      <c r="I82" s="514">
        <v>3.15</v>
      </c>
      <c r="J82" s="514"/>
      <c r="K82" s="515">
        <f>PRODUCT(F82:J82)</f>
        <v>0.378</v>
      </c>
      <c r="L82" s="503"/>
    </row>
    <row r="83" spans="2:12" hidden="1">
      <c r="B83" s="501"/>
      <c r="C83" s="1192" t="s">
        <v>116</v>
      </c>
      <c r="D83" s="1192"/>
      <c r="E83" s="1192"/>
      <c r="F83" s="1192"/>
      <c r="G83" s="1192"/>
      <c r="H83" s="1192"/>
      <c r="I83" s="1192"/>
      <c r="J83" s="1192"/>
      <c r="K83" s="516">
        <f>SUM(K78:K82)</f>
        <v>4.1775000000000002</v>
      </c>
      <c r="L83" s="503"/>
    </row>
    <row r="84" spans="2:12" hidden="1">
      <c r="B84" s="501"/>
      <c r="C84" s="517"/>
      <c r="D84" s="517"/>
      <c r="E84" s="517"/>
      <c r="F84" s="517"/>
      <c r="G84" s="517"/>
      <c r="H84" s="517"/>
      <c r="I84" s="517"/>
      <c r="J84" s="517"/>
      <c r="K84" s="518"/>
      <c r="L84" s="503"/>
    </row>
    <row r="85" spans="2:12" ht="29.25" hidden="1" customHeight="1">
      <c r="B85" s="497" t="str">
        <f>'[6]PLANILHA ORÇAMENTÁRIA'!D25</f>
        <v>4.4</v>
      </c>
      <c r="C85" s="1186" t="str">
        <f>'[6]PLANILHA ORÇAMENTÁRIA'!E25</f>
        <v>ARMAÇÃO DE BLOCO, VIGA BALDRAME OU SAPATA UTILIZANDO AÇO CA-50 DE 10 MM - MONTAGEM. AF_06/2017</v>
      </c>
      <c r="D85" s="1186"/>
      <c r="E85" s="1186"/>
      <c r="F85" s="1186"/>
      <c r="G85" s="1186"/>
      <c r="H85" s="1186"/>
      <c r="I85" s="1186"/>
      <c r="J85" s="1186"/>
      <c r="K85" s="510" t="str">
        <f>'[6]PLANILHA ORÇAMENTÁRIA'!F25</f>
        <v>KG</v>
      </c>
      <c r="L85" s="511">
        <f>K88</f>
        <v>41.32</v>
      </c>
    </row>
    <row r="86" spans="2:12" hidden="1">
      <c r="B86" s="501"/>
      <c r="C86" s="1190" t="s">
        <v>20</v>
      </c>
      <c r="D86" s="1190"/>
      <c r="E86" s="1190"/>
      <c r="F86" s="512" t="s">
        <v>22</v>
      </c>
      <c r="G86" s="577" t="s">
        <v>113</v>
      </c>
      <c r="H86" s="512" t="s">
        <v>133</v>
      </c>
      <c r="I86" s="577" t="s">
        <v>112</v>
      </c>
      <c r="J86" s="577" t="s">
        <v>114</v>
      </c>
      <c r="K86" s="513" t="s">
        <v>25</v>
      </c>
      <c r="L86" s="503"/>
    </row>
    <row r="87" spans="2:12" ht="22.5" hidden="1" customHeight="1">
      <c r="B87" s="501"/>
      <c r="C87" s="1191" t="s">
        <v>134</v>
      </c>
      <c r="D87" s="1191"/>
      <c r="E87" s="1191"/>
      <c r="F87" s="514">
        <v>8</v>
      </c>
      <c r="G87" s="514">
        <v>8.1999999999999993</v>
      </c>
      <c r="H87" s="514">
        <v>0.63</v>
      </c>
      <c r="I87" s="514"/>
      <c r="J87" s="514"/>
      <c r="K87" s="578">
        <f>TRUNC((G87*H87)*F87,2)</f>
        <v>41.32</v>
      </c>
      <c r="L87" s="503"/>
    </row>
    <row r="88" spans="2:12" hidden="1">
      <c r="B88" s="501"/>
      <c r="C88" s="1192" t="s">
        <v>116</v>
      </c>
      <c r="D88" s="1192"/>
      <c r="E88" s="1192"/>
      <c r="F88" s="1192"/>
      <c r="G88" s="1192"/>
      <c r="H88" s="1192"/>
      <c r="I88" s="1192"/>
      <c r="J88" s="1192"/>
      <c r="K88" s="513">
        <f>SUM(K87:K87)</f>
        <v>41.32</v>
      </c>
      <c r="L88" s="503"/>
    </row>
    <row r="89" spans="2:12" hidden="1">
      <c r="B89" s="493"/>
      <c r="C89" s="493"/>
      <c r="D89" s="493"/>
      <c r="E89" s="493"/>
      <c r="F89" s="493"/>
      <c r="G89" s="493"/>
      <c r="H89" s="493"/>
      <c r="I89" s="493"/>
      <c r="J89" s="493"/>
      <c r="K89" s="493"/>
      <c r="L89" s="493"/>
    </row>
    <row r="90" spans="2:12" ht="27.75" hidden="1" customHeight="1">
      <c r="B90" s="497" t="str">
        <f>'[6]PLANILHA ORÇAMENTÁRIA'!D26</f>
        <v>4.5</v>
      </c>
      <c r="C90" s="1186" t="str">
        <f>'[6]PLANILHA ORÇAMENTÁRIA'!E26</f>
        <v>CONCRETAGEM DE BLOCOS DE COROAMENTO E VIGAS BALDRAMES, FCK 30 MPA, COM USO DE BOMBA LANÇAMENTO, ADENSAMENTO E ACABAMENTO. AF_06/2017</v>
      </c>
      <c r="D90" s="1186"/>
      <c r="E90" s="1186"/>
      <c r="F90" s="1186"/>
      <c r="G90" s="1186"/>
      <c r="H90" s="1186"/>
      <c r="I90" s="1186"/>
      <c r="J90" s="1186"/>
      <c r="K90" s="510" t="str">
        <f>'[6]PLANILHA ORÇAMENTÁRIA'!F26</f>
        <v>M3</v>
      </c>
      <c r="L90" s="511">
        <f>K93</f>
        <v>1.72</v>
      </c>
    </row>
    <row r="91" spans="2:12" hidden="1">
      <c r="B91" s="501"/>
      <c r="C91" s="1190" t="s">
        <v>20</v>
      </c>
      <c r="D91" s="1190"/>
      <c r="E91" s="1190"/>
      <c r="F91" s="512" t="s">
        <v>22</v>
      </c>
      <c r="G91" s="577" t="s">
        <v>111</v>
      </c>
      <c r="H91" s="512" t="s">
        <v>112</v>
      </c>
      <c r="I91" s="577" t="s">
        <v>113</v>
      </c>
      <c r="J91" s="577" t="s">
        <v>114</v>
      </c>
      <c r="K91" s="513" t="s">
        <v>25</v>
      </c>
      <c r="L91" s="503"/>
    </row>
    <row r="92" spans="2:12" hidden="1">
      <c r="B92" s="501"/>
      <c r="C92" s="1191" t="s">
        <v>135</v>
      </c>
      <c r="D92" s="1191"/>
      <c r="E92" s="1191"/>
      <c r="F92" s="514">
        <v>8</v>
      </c>
      <c r="G92" s="514">
        <v>0.6</v>
      </c>
      <c r="H92" s="514">
        <v>0.6</v>
      </c>
      <c r="I92" s="514">
        <v>0.6</v>
      </c>
      <c r="J92" s="514"/>
      <c r="K92" s="578">
        <f>TRUNC(G92*H92*F92*I92,2)</f>
        <v>1.72</v>
      </c>
      <c r="L92" s="503"/>
    </row>
    <row r="93" spans="2:12" hidden="1">
      <c r="B93" s="501"/>
      <c r="C93" s="1192" t="s">
        <v>116</v>
      </c>
      <c r="D93" s="1192"/>
      <c r="E93" s="1192"/>
      <c r="F93" s="1192"/>
      <c r="G93" s="1192"/>
      <c r="H93" s="1192"/>
      <c r="I93" s="1192"/>
      <c r="J93" s="1192"/>
      <c r="K93" s="513">
        <f>SUM(K92:K92)</f>
        <v>1.72</v>
      </c>
      <c r="L93" s="503"/>
    </row>
    <row r="94" spans="2:12" hidden="1">
      <c r="B94" s="493"/>
      <c r="C94" s="493"/>
      <c r="D94" s="493"/>
      <c r="E94" s="493"/>
      <c r="F94" s="493"/>
      <c r="G94" s="493"/>
      <c r="H94" s="493"/>
      <c r="I94" s="493"/>
      <c r="J94" s="493"/>
      <c r="K94" s="493"/>
      <c r="L94" s="493"/>
    </row>
    <row r="95" spans="2:12" ht="15" hidden="1" customHeight="1">
      <c r="B95" s="497" t="str">
        <f>'[6]PLANILHA ORÇAMENTÁRIA'!D27</f>
        <v>4.6</v>
      </c>
      <c r="C95" s="1186" t="str">
        <f>'[6]PLANILHA ORÇAMENTÁRIA'!E27</f>
        <v>IMPERMEABILIZAÇÃO DE ESTRUTURAS ENTERRADAS, COM TINTA ASFALTICA, DUAS DEMAOS.</v>
      </c>
      <c r="D95" s="1186"/>
      <c r="E95" s="1186"/>
      <c r="F95" s="1186"/>
      <c r="G95" s="1186"/>
      <c r="H95" s="1186"/>
      <c r="I95" s="1186"/>
      <c r="J95" s="1186"/>
      <c r="K95" s="510" t="str">
        <f>'[6]PLANILHA ORÇAMENTÁRIA'!F27</f>
        <v>M2</v>
      </c>
      <c r="L95" s="511">
        <f>K98</f>
        <v>23.88</v>
      </c>
    </row>
    <row r="96" spans="2:12" hidden="1">
      <c r="B96" s="501"/>
      <c r="C96" s="1190" t="s">
        <v>20</v>
      </c>
      <c r="D96" s="1190"/>
      <c r="E96" s="1190"/>
      <c r="F96" s="512" t="s">
        <v>22</v>
      </c>
      <c r="G96" s="577" t="s">
        <v>111</v>
      </c>
      <c r="H96" s="512" t="s">
        <v>112</v>
      </c>
      <c r="I96" s="577" t="s">
        <v>113</v>
      </c>
      <c r="J96" s="577" t="s">
        <v>136</v>
      </c>
      <c r="K96" s="513" t="s">
        <v>25</v>
      </c>
      <c r="L96" s="503"/>
    </row>
    <row r="97" spans="2:12" hidden="1">
      <c r="B97" s="501"/>
      <c r="C97" s="1191"/>
      <c r="D97" s="1191"/>
      <c r="E97" s="1191"/>
      <c r="F97" s="514"/>
      <c r="G97" s="514">
        <v>0.3</v>
      </c>
      <c r="H97" s="514">
        <v>0.15</v>
      </c>
      <c r="I97" s="514">
        <v>31.85</v>
      </c>
      <c r="J97" s="514">
        <v>2</v>
      </c>
      <c r="K97" s="578">
        <f>TRUNC((G97*I97*J97)+(H97*I97),2)</f>
        <v>23.88</v>
      </c>
      <c r="L97" s="503"/>
    </row>
    <row r="98" spans="2:12" hidden="1">
      <c r="B98" s="501"/>
      <c r="C98" s="1192" t="s">
        <v>116</v>
      </c>
      <c r="D98" s="1192"/>
      <c r="E98" s="1192"/>
      <c r="F98" s="1192"/>
      <c r="G98" s="1192"/>
      <c r="H98" s="1192"/>
      <c r="I98" s="1192"/>
      <c r="J98" s="1192"/>
      <c r="K98" s="513">
        <f>SUM(K97:K97)</f>
        <v>23.88</v>
      </c>
      <c r="L98" s="503"/>
    </row>
    <row r="99" spans="2:12" hidden="1">
      <c r="B99" s="493"/>
      <c r="C99" s="493"/>
      <c r="D99" s="493"/>
      <c r="E99" s="493"/>
      <c r="F99" s="493"/>
      <c r="G99" s="493"/>
      <c r="H99" s="493"/>
      <c r="I99" s="493"/>
      <c r="J99" s="493"/>
      <c r="K99" s="493"/>
      <c r="L99" s="493"/>
    </row>
    <row r="100" spans="2:12" hidden="1">
      <c r="B100" s="501" t="str">
        <f>'[6]PLANILHA ORÇAMENTÁRIA'!D28</f>
        <v>5.0</v>
      </c>
      <c r="C100" s="1193" t="str">
        <f>'[6]PLANILHA ORÇAMENTÁRIA'!E28</f>
        <v>ESTRUTURA EM CONCRETO ARMADO</v>
      </c>
      <c r="D100" s="1193"/>
      <c r="E100" s="1193"/>
      <c r="F100" s="1193"/>
      <c r="G100" s="1193"/>
      <c r="H100" s="1193"/>
      <c r="I100" s="1193"/>
      <c r="J100" s="1193"/>
      <c r="K100" s="497"/>
      <c r="L100" s="497"/>
    </row>
    <row r="101" spans="2:12" ht="15" hidden="1" customHeight="1">
      <c r="B101" s="497" t="e">
        <f>'[6]PLANILHA ORÇAMENTÁRIA'!#REF!</f>
        <v>#REF!</v>
      </c>
      <c r="C101" s="1186" t="e">
        <f>'[6]PLANILHA ORÇAMENTÁRIA'!#REF!</f>
        <v>#REF!</v>
      </c>
      <c r="D101" s="1186"/>
      <c r="E101" s="1186"/>
      <c r="F101" s="1186"/>
      <c r="G101" s="1186"/>
      <c r="H101" s="1186"/>
      <c r="I101" s="1186"/>
      <c r="J101" s="1186"/>
      <c r="K101" s="510" t="e">
        <f>'[6]PLANILHA ORÇAMENTÁRIA'!#REF!</f>
        <v>#REF!</v>
      </c>
      <c r="L101" s="511">
        <f>K104</f>
        <v>31.85</v>
      </c>
    </row>
    <row r="102" spans="2:12" hidden="1">
      <c r="B102" s="501"/>
      <c r="C102" s="1190" t="s">
        <v>20</v>
      </c>
      <c r="D102" s="1190"/>
      <c r="E102" s="1190"/>
      <c r="F102" s="512" t="s">
        <v>22</v>
      </c>
      <c r="G102" s="577" t="s">
        <v>111</v>
      </c>
      <c r="H102" s="512" t="s">
        <v>112</v>
      </c>
      <c r="I102" s="577" t="s">
        <v>113</v>
      </c>
      <c r="J102" s="577" t="s">
        <v>114</v>
      </c>
      <c r="K102" s="513" t="s">
        <v>25</v>
      </c>
      <c r="L102" s="503"/>
    </row>
    <row r="103" spans="2:12" hidden="1">
      <c r="B103" s="501"/>
      <c r="C103" s="1191" t="s">
        <v>137</v>
      </c>
      <c r="D103" s="1191"/>
      <c r="E103" s="1191"/>
      <c r="F103" s="514">
        <v>1</v>
      </c>
      <c r="G103" s="514"/>
      <c r="H103" s="514"/>
      <c r="I103" s="514">
        <v>31.85</v>
      </c>
      <c r="J103" s="514"/>
      <c r="K103" s="578">
        <f>I103*F103</f>
        <v>31.85</v>
      </c>
      <c r="L103" s="503"/>
    </row>
    <row r="104" spans="2:12" hidden="1">
      <c r="B104" s="501"/>
      <c r="C104" s="1192" t="s">
        <v>116</v>
      </c>
      <c r="D104" s="1192"/>
      <c r="E104" s="1192"/>
      <c r="F104" s="1192"/>
      <c r="G104" s="1192"/>
      <c r="H104" s="1192"/>
      <c r="I104" s="1192"/>
      <c r="J104" s="1192"/>
      <c r="K104" s="513">
        <f>SUM(K103:K103)</f>
        <v>31.85</v>
      </c>
      <c r="L104" s="503"/>
    </row>
    <row r="105" spans="2:12" hidden="1">
      <c r="B105" s="493"/>
      <c r="C105" s="493"/>
      <c r="D105" s="493"/>
      <c r="E105" s="493"/>
      <c r="F105" s="493"/>
      <c r="G105" s="493"/>
      <c r="H105" s="493"/>
      <c r="I105" s="493"/>
      <c r="J105" s="493"/>
      <c r="K105" s="493"/>
      <c r="L105" s="493"/>
    </row>
    <row r="106" spans="2:12" ht="15" hidden="1" customHeight="1">
      <c r="B106" s="497" t="str">
        <f>'[6]PLANILHA ORÇAMENTÁRIA'!D29</f>
        <v>5.1</v>
      </c>
      <c r="C106" s="1186" t="str">
        <f>'[6]PLANILHA ORÇAMENTÁRIA'!E29</f>
        <v>FORMA PLANA PARA PILARES, EM COMPENSADO RESINADO DE 14MM, 12 USOS, INCLUSIVE ESCORAMENTO</v>
      </c>
      <c r="D106" s="1186"/>
      <c r="E106" s="1186"/>
      <c r="F106" s="1186"/>
      <c r="G106" s="1186"/>
      <c r="H106" s="1186"/>
      <c r="I106" s="1186"/>
      <c r="J106" s="1186"/>
      <c r="K106" s="510" t="str">
        <f>'[6]PLANILHA ORÇAMENTÁRIA'!F29</f>
        <v>M2</v>
      </c>
      <c r="L106" s="511">
        <f>K111</f>
        <v>26.689999999999998</v>
      </c>
    </row>
    <row r="107" spans="2:12" hidden="1">
      <c r="B107" s="501"/>
      <c r="C107" s="1190" t="s">
        <v>20</v>
      </c>
      <c r="D107" s="1190"/>
      <c r="E107" s="1190"/>
      <c r="F107" s="512" t="s">
        <v>22</v>
      </c>
      <c r="G107" s="577" t="s">
        <v>111</v>
      </c>
      <c r="H107" s="512" t="s">
        <v>112</v>
      </c>
      <c r="I107" s="577" t="s">
        <v>113</v>
      </c>
      <c r="J107" s="577" t="s">
        <v>136</v>
      </c>
      <c r="K107" s="513" t="s">
        <v>25</v>
      </c>
      <c r="L107" s="503"/>
    </row>
    <row r="108" spans="2:12" hidden="1">
      <c r="B108" s="501"/>
      <c r="C108" s="1191" t="s">
        <v>138</v>
      </c>
      <c r="D108" s="1191"/>
      <c r="E108" s="1191"/>
      <c r="F108" s="514">
        <v>4</v>
      </c>
      <c r="G108" s="514">
        <v>5.05</v>
      </c>
      <c r="H108" s="514">
        <v>0.19</v>
      </c>
      <c r="I108" s="514">
        <v>0.19</v>
      </c>
      <c r="J108" s="514">
        <v>2</v>
      </c>
      <c r="K108" s="578">
        <f>TRUNC((H108*G108*J108*F108)+(I108*G108*J108*F108),2)</f>
        <v>15.35</v>
      </c>
      <c r="L108" s="503"/>
    </row>
    <row r="109" spans="2:12" hidden="1">
      <c r="B109" s="501"/>
      <c r="C109" s="1191" t="s">
        <v>138</v>
      </c>
      <c r="D109" s="1191"/>
      <c r="E109" s="1191"/>
      <c r="F109" s="514">
        <v>2</v>
      </c>
      <c r="G109" s="514">
        <v>3.7</v>
      </c>
      <c r="H109" s="514">
        <v>0.19</v>
      </c>
      <c r="I109" s="514">
        <v>0.19</v>
      </c>
      <c r="J109" s="514">
        <v>2</v>
      </c>
      <c r="K109" s="578">
        <f>TRUNC((H109*G109*J109*F109)+(I109*G109*J109*F109),2)</f>
        <v>5.62</v>
      </c>
      <c r="L109" s="503"/>
    </row>
    <row r="110" spans="2:12" hidden="1">
      <c r="B110" s="501"/>
      <c r="C110" s="1191" t="s">
        <v>139</v>
      </c>
      <c r="D110" s="1191"/>
      <c r="E110" s="1191"/>
      <c r="F110" s="514">
        <v>2</v>
      </c>
      <c r="G110" s="514">
        <v>2.6</v>
      </c>
      <c r="H110" s="514">
        <v>0.15</v>
      </c>
      <c r="I110" s="514">
        <v>0.4</v>
      </c>
      <c r="J110" s="514">
        <v>2</v>
      </c>
      <c r="K110" s="578">
        <f>TRUNC((H110*G110*J110*F110)+(I110*G110*J110*F110),2)</f>
        <v>5.72</v>
      </c>
      <c r="L110" s="503"/>
    </row>
    <row r="111" spans="2:12" hidden="1">
      <c r="B111" s="501"/>
      <c r="C111" s="1192" t="s">
        <v>116</v>
      </c>
      <c r="D111" s="1192"/>
      <c r="E111" s="1192"/>
      <c r="F111" s="1192"/>
      <c r="G111" s="1192"/>
      <c r="H111" s="1192"/>
      <c r="I111" s="1192"/>
      <c r="J111" s="1192"/>
      <c r="K111" s="513">
        <f>SUM(K108:K110)</f>
        <v>26.689999999999998</v>
      </c>
      <c r="L111" s="503"/>
    </row>
    <row r="112" spans="2:12" hidden="1">
      <c r="B112" s="493"/>
      <c r="C112" s="493"/>
      <c r="D112" s="493"/>
      <c r="E112" s="493"/>
      <c r="F112" s="493"/>
      <c r="G112" s="493"/>
      <c r="H112" s="493"/>
      <c r="I112" s="493"/>
      <c r="J112" s="493"/>
      <c r="K112" s="493"/>
      <c r="L112" s="493"/>
    </row>
    <row r="113" spans="2:12" ht="23.25" hidden="1" customHeight="1">
      <c r="B113" s="497" t="str">
        <f>'[6]PLANILHA ORÇAMENTÁRIA'!D30</f>
        <v>5.2</v>
      </c>
      <c r="C113" s="1186" t="str">
        <f>'[6]PLANILHA ORÇAMENTÁRIA'!E30</f>
        <v>ARMAÇÃO DE PILAR OU VIGA DE UMA ESTRUTURA CONVENCIONAL DE CONCRETO ARMADO EM UMA EDIFICAÇÃO TÉRREA OU SOBRADO UTILIZANDO AÇO CA-50 DE 10,0 MM - MONTAGEM. AF_12/2015</v>
      </c>
      <c r="D113" s="1186"/>
      <c r="E113" s="1186"/>
      <c r="F113" s="1186"/>
      <c r="G113" s="1186"/>
      <c r="H113" s="1186"/>
      <c r="I113" s="1186"/>
      <c r="J113" s="1186"/>
      <c r="K113" s="510" t="str">
        <f>'[6]PLANILHA ORÇAMENTÁRIA'!F30</f>
        <v>KG</v>
      </c>
      <c r="L113" s="511">
        <f>K120</f>
        <v>262.81</v>
      </c>
    </row>
    <row r="114" spans="2:12" hidden="1">
      <c r="B114" s="501"/>
      <c r="C114" s="1190" t="s">
        <v>20</v>
      </c>
      <c r="D114" s="1190"/>
      <c r="E114" s="1190"/>
      <c r="F114" s="512" t="s">
        <v>22</v>
      </c>
      <c r="G114" s="577" t="s">
        <v>113</v>
      </c>
      <c r="H114" s="512" t="s">
        <v>133</v>
      </c>
      <c r="I114" s="577" t="s">
        <v>112</v>
      </c>
      <c r="J114" s="577" t="s">
        <v>114</v>
      </c>
      <c r="K114" s="513" t="s">
        <v>25</v>
      </c>
      <c r="L114" s="503"/>
    </row>
    <row r="115" spans="2:12" hidden="1">
      <c r="B115" s="501"/>
      <c r="C115" s="1191" t="s">
        <v>140</v>
      </c>
      <c r="D115" s="1191"/>
      <c r="E115" s="1191"/>
      <c r="F115" s="514">
        <v>4</v>
      </c>
      <c r="G115" s="514">
        <f>5.05*4</f>
        <v>20.2</v>
      </c>
      <c r="H115" s="514">
        <v>0.63</v>
      </c>
      <c r="I115" s="514"/>
      <c r="J115" s="514"/>
      <c r="K115" s="578">
        <f>TRUNC((G115*F115)*H115,2)</f>
        <v>50.9</v>
      </c>
      <c r="L115" s="503"/>
    </row>
    <row r="116" spans="2:12" hidden="1">
      <c r="B116" s="501"/>
      <c r="C116" s="1191" t="s">
        <v>140</v>
      </c>
      <c r="D116" s="1191"/>
      <c r="E116" s="1191"/>
      <c r="F116" s="514">
        <v>2</v>
      </c>
      <c r="G116" s="514">
        <f>3.7*4</f>
        <v>14.8</v>
      </c>
      <c r="H116" s="514">
        <v>0.63</v>
      </c>
      <c r="I116" s="514"/>
      <c r="J116" s="514"/>
      <c r="K116" s="578">
        <f>TRUNC((G116*F116)*H116,2)</f>
        <v>18.64</v>
      </c>
      <c r="L116" s="503"/>
    </row>
    <row r="117" spans="2:12" hidden="1">
      <c r="B117" s="501"/>
      <c r="C117" s="1191" t="s">
        <v>141</v>
      </c>
      <c r="D117" s="1191"/>
      <c r="E117" s="1191"/>
      <c r="F117" s="514">
        <v>2</v>
      </c>
      <c r="G117" s="514">
        <f>2.6*6</f>
        <v>15.600000000000001</v>
      </c>
      <c r="H117" s="514">
        <v>0.63</v>
      </c>
      <c r="I117" s="514"/>
      <c r="J117" s="514"/>
      <c r="K117" s="578">
        <f>TRUNC((G117*F117)*H117,2)</f>
        <v>19.649999999999999</v>
      </c>
      <c r="L117" s="503"/>
    </row>
    <row r="118" spans="2:12" hidden="1">
      <c r="B118" s="501"/>
      <c r="C118" s="1191" t="s">
        <v>142</v>
      </c>
      <c r="D118" s="1191"/>
      <c r="E118" s="1191"/>
      <c r="F118" s="514">
        <v>2</v>
      </c>
      <c r="G118" s="514">
        <f>25.8*4</f>
        <v>103.2</v>
      </c>
      <c r="H118" s="514">
        <v>0.63</v>
      </c>
      <c r="I118" s="514"/>
      <c r="J118" s="514"/>
      <c r="K118" s="578">
        <f>TRUNC((G118*F118)*H118,2)</f>
        <v>130.03</v>
      </c>
      <c r="L118" s="503"/>
    </row>
    <row r="119" spans="2:12" hidden="1">
      <c r="B119" s="501"/>
      <c r="C119" s="1191" t="s">
        <v>142</v>
      </c>
      <c r="D119" s="1191"/>
      <c r="E119" s="1191"/>
      <c r="F119" s="514">
        <v>1</v>
      </c>
      <c r="G119" s="514">
        <f>17.3*4</f>
        <v>69.2</v>
      </c>
      <c r="H119" s="514">
        <v>0.63</v>
      </c>
      <c r="I119" s="514"/>
      <c r="J119" s="514"/>
      <c r="K119" s="578">
        <f>TRUNC((G119*F119)*H119,2)</f>
        <v>43.59</v>
      </c>
      <c r="L119" s="503"/>
    </row>
    <row r="120" spans="2:12" hidden="1">
      <c r="B120" s="501"/>
      <c r="C120" s="1192" t="s">
        <v>116</v>
      </c>
      <c r="D120" s="1192"/>
      <c r="E120" s="1192"/>
      <c r="F120" s="1192"/>
      <c r="G120" s="1192"/>
      <c r="H120" s="1192"/>
      <c r="I120" s="1192"/>
      <c r="J120" s="1192"/>
      <c r="K120" s="513">
        <f>SUM(K115:K119)</f>
        <v>262.81</v>
      </c>
      <c r="L120" s="503"/>
    </row>
    <row r="121" spans="2:12" hidden="1">
      <c r="B121" s="493"/>
      <c r="C121" s="493"/>
      <c r="D121" s="493"/>
      <c r="E121" s="493"/>
      <c r="F121" s="493"/>
      <c r="G121" s="493"/>
      <c r="H121" s="493"/>
      <c r="I121" s="493"/>
      <c r="J121" s="493"/>
      <c r="K121" s="493"/>
      <c r="L121" s="493"/>
    </row>
    <row r="122" spans="2:12" ht="27" hidden="1" customHeight="1">
      <c r="B122" s="497" t="str">
        <f>'[6]PLANILHA ORÇAMENTÁRIA'!D31</f>
        <v>5.3</v>
      </c>
      <c r="C122" s="1186" t="str">
        <f>'[6]PLANILHA ORÇAMENTÁRIA'!E31</f>
        <v>ARMAÇÃO DE PILAR OU VIGA DE UMA ESTRUTURA CONVENCIONAL DE CONCRETO ARMADO EM UMA EDIFICAÇÃO TÉRREA OU SOBRADO UTILIZANDO AÇO CA-60 DE 5,0 MM - MONTAGEM. AF_12/2015</v>
      </c>
      <c r="D122" s="1186"/>
      <c r="E122" s="1186"/>
      <c r="F122" s="1186"/>
      <c r="G122" s="1186"/>
      <c r="H122" s="1186"/>
      <c r="I122" s="1186"/>
      <c r="J122" s="1186"/>
      <c r="K122" s="510" t="str">
        <f>'[6]PLANILHA ORÇAMENTÁRIA'!F31</f>
        <v>KG</v>
      </c>
      <c r="L122" s="511">
        <f>K129</f>
        <v>67.75</v>
      </c>
    </row>
    <row r="123" spans="2:12" hidden="1">
      <c r="B123" s="501"/>
      <c r="C123" s="1190" t="s">
        <v>20</v>
      </c>
      <c r="D123" s="1190"/>
      <c r="E123" s="1190"/>
      <c r="F123" s="512" t="s">
        <v>22</v>
      </c>
      <c r="G123" s="577" t="s">
        <v>113</v>
      </c>
      <c r="H123" s="512" t="s">
        <v>143</v>
      </c>
      <c r="I123" s="512" t="s">
        <v>144</v>
      </c>
      <c r="J123" s="512" t="s">
        <v>133</v>
      </c>
      <c r="K123" s="513" t="s">
        <v>25</v>
      </c>
      <c r="L123" s="503"/>
    </row>
    <row r="124" spans="2:12" hidden="1">
      <c r="B124" s="501"/>
      <c r="C124" s="1191" t="s">
        <v>145</v>
      </c>
      <c r="D124" s="1191"/>
      <c r="E124" s="1191"/>
      <c r="F124" s="514">
        <v>4</v>
      </c>
      <c r="G124" s="514">
        <f>0.13+0.13+0.13+0.13+0.16</f>
        <v>0.68</v>
      </c>
      <c r="H124" s="514">
        <f>TRUNC(G108/0.2,2)</f>
        <v>25.25</v>
      </c>
      <c r="I124" s="514">
        <f>TRUNC(G124*H124,2)</f>
        <v>17.170000000000002</v>
      </c>
      <c r="J124" s="514">
        <v>0.16</v>
      </c>
      <c r="K124" s="578">
        <f>TRUNC((I124*G124*J124)*F124,2)</f>
        <v>7.47</v>
      </c>
      <c r="L124" s="503"/>
    </row>
    <row r="125" spans="2:12" hidden="1">
      <c r="B125" s="501"/>
      <c r="C125" s="1191" t="s">
        <v>145</v>
      </c>
      <c r="D125" s="1191"/>
      <c r="E125" s="1191"/>
      <c r="F125" s="514">
        <v>2</v>
      </c>
      <c r="G125" s="514">
        <f>0.13+0.13+0.13+0.13+0.16</f>
        <v>0.68</v>
      </c>
      <c r="H125" s="514">
        <f>TRUNC(G109/0.2,2)</f>
        <v>18.5</v>
      </c>
      <c r="I125" s="514">
        <f>TRUNC(G125*H125,2)</f>
        <v>12.58</v>
      </c>
      <c r="J125" s="514">
        <v>0.16</v>
      </c>
      <c r="K125" s="578">
        <f>TRUNC((I125*G125*J125)*F125,2)</f>
        <v>2.73</v>
      </c>
      <c r="L125" s="503"/>
    </row>
    <row r="126" spans="2:12" hidden="1">
      <c r="B126" s="501"/>
      <c r="C126" s="1191" t="s">
        <v>146</v>
      </c>
      <c r="D126" s="1191"/>
      <c r="E126" s="1191"/>
      <c r="F126" s="514">
        <v>2</v>
      </c>
      <c r="G126" s="514">
        <f>0.9+0.9+0.34+0.34+0.16</f>
        <v>2.64</v>
      </c>
      <c r="H126" s="514">
        <f>TRUNC(G110/0.2,2)</f>
        <v>13</v>
      </c>
      <c r="I126" s="514">
        <f>TRUNC(G126*H126,2)</f>
        <v>34.32</v>
      </c>
      <c r="J126" s="514">
        <v>0.16</v>
      </c>
      <c r="K126" s="578">
        <f>TRUNC((I126*G126*J126)*F126,2)</f>
        <v>28.99</v>
      </c>
      <c r="L126" s="503"/>
    </row>
    <row r="127" spans="2:12" hidden="1">
      <c r="B127" s="501"/>
      <c r="C127" s="1191" t="s">
        <v>147</v>
      </c>
      <c r="D127" s="1191"/>
      <c r="E127" s="1191"/>
      <c r="F127" s="514">
        <v>2</v>
      </c>
      <c r="G127" s="514">
        <f>0.09+0.09+0.19+0.19+0.16</f>
        <v>0.72000000000000008</v>
      </c>
      <c r="H127" s="514">
        <f>TRUNC(I140/0.2,2)</f>
        <v>129</v>
      </c>
      <c r="I127" s="514">
        <f>TRUNC(G127*H127,2)</f>
        <v>92.88</v>
      </c>
      <c r="J127" s="514">
        <v>0.16</v>
      </c>
      <c r="K127" s="578">
        <f>TRUNC((I127*G127*J127)*F127,2)</f>
        <v>21.39</v>
      </c>
      <c r="L127" s="503"/>
    </row>
    <row r="128" spans="2:12" hidden="1">
      <c r="B128" s="501"/>
      <c r="C128" s="1191" t="s">
        <v>147</v>
      </c>
      <c r="D128" s="1191"/>
      <c r="E128" s="1191"/>
      <c r="F128" s="514">
        <v>1</v>
      </c>
      <c r="G128" s="514">
        <f>0.09+0.09+0.19+0.19+0.16</f>
        <v>0.72000000000000008</v>
      </c>
      <c r="H128" s="514">
        <f>TRUNC(I141/0.2,2)</f>
        <v>86.5</v>
      </c>
      <c r="I128" s="514">
        <f>TRUNC(G128*H128,2)</f>
        <v>62.28</v>
      </c>
      <c r="J128" s="514">
        <v>0.16</v>
      </c>
      <c r="K128" s="578">
        <f>TRUNC((I128*G128*J128)*F128,2)</f>
        <v>7.17</v>
      </c>
      <c r="L128" s="503"/>
    </row>
    <row r="129" spans="2:12" hidden="1">
      <c r="B129" s="501"/>
      <c r="C129" s="1192" t="s">
        <v>116</v>
      </c>
      <c r="D129" s="1192"/>
      <c r="E129" s="1192"/>
      <c r="F129" s="1192"/>
      <c r="G129" s="1192"/>
      <c r="H129" s="1192"/>
      <c r="I129" s="1192"/>
      <c r="J129" s="1192"/>
      <c r="K129" s="513">
        <f>SUM(K124:K128)</f>
        <v>67.75</v>
      </c>
      <c r="L129" s="503"/>
    </row>
    <row r="130" spans="2:12" hidden="1">
      <c r="B130" s="501"/>
      <c r="C130" s="517"/>
      <c r="D130" s="517"/>
      <c r="E130" s="517"/>
      <c r="F130" s="517"/>
      <c r="G130" s="517"/>
      <c r="H130" s="517"/>
      <c r="I130" s="517"/>
      <c r="J130" s="517"/>
      <c r="K130" s="519"/>
      <c r="L130" s="503"/>
    </row>
    <row r="131" spans="2:12" ht="24.75" hidden="1" customHeight="1">
      <c r="B131" s="497" t="str">
        <f>'[6]PLANILHA ORÇAMENTÁRIA'!D32</f>
        <v>5.4</v>
      </c>
      <c r="C131" s="1186" t="str">
        <f>'[6]PLANILHA ORÇAMENTÁRIA'!E32</f>
        <v>CONCRETAGEM DE PILARES, FCK = 25 MPA, COM USO DE GRUA EM EDIFICAÇÃO COM SEÇÃO MÉDIA DE PILARES MAIOR QUE 0,25 M² - LANÇAMENTO, ADENSAMENTO E ACABAMENTO. AF_12/2015</v>
      </c>
      <c r="D131" s="1186"/>
      <c r="E131" s="1186"/>
      <c r="F131" s="1186"/>
      <c r="G131" s="1186"/>
      <c r="H131" s="1186"/>
      <c r="I131" s="1186"/>
      <c r="J131" s="1186"/>
      <c r="K131" s="510" t="str">
        <f>'[6]PLANILHA ORÇAMENTÁRIA'!F32</f>
        <v>M3</v>
      </c>
      <c r="L131" s="511">
        <f>K136</f>
        <v>1.29</v>
      </c>
    </row>
    <row r="132" spans="2:12" hidden="1">
      <c r="B132" s="501"/>
      <c r="C132" s="1190" t="s">
        <v>20</v>
      </c>
      <c r="D132" s="1190"/>
      <c r="E132" s="1190"/>
      <c r="F132" s="512" t="s">
        <v>22</v>
      </c>
      <c r="G132" s="577" t="s">
        <v>111</v>
      </c>
      <c r="H132" s="512" t="s">
        <v>112</v>
      </c>
      <c r="I132" s="577" t="s">
        <v>113</v>
      </c>
      <c r="J132" s="577" t="s">
        <v>114</v>
      </c>
      <c r="K132" s="513" t="s">
        <v>25</v>
      </c>
      <c r="L132" s="503"/>
    </row>
    <row r="133" spans="2:12" hidden="1">
      <c r="B133" s="501"/>
      <c r="C133" s="1191" t="s">
        <v>138</v>
      </c>
      <c r="D133" s="1191"/>
      <c r="E133" s="1191"/>
      <c r="F133" s="514">
        <v>4</v>
      </c>
      <c r="G133" s="514">
        <v>5.05</v>
      </c>
      <c r="H133" s="514">
        <v>0.19</v>
      </c>
      <c r="I133" s="514">
        <v>0.19</v>
      </c>
      <c r="J133" s="514"/>
      <c r="K133" s="578">
        <f>TRUNC(H133*I133*G133*F133,2)</f>
        <v>0.72</v>
      </c>
      <c r="L133" s="503"/>
    </row>
    <row r="134" spans="2:12" hidden="1">
      <c r="B134" s="501"/>
      <c r="C134" s="1191" t="s">
        <v>138</v>
      </c>
      <c r="D134" s="1191"/>
      <c r="E134" s="1191"/>
      <c r="F134" s="514">
        <v>2</v>
      </c>
      <c r="G134" s="514">
        <v>3.7</v>
      </c>
      <c r="H134" s="514">
        <v>0.19</v>
      </c>
      <c r="I134" s="514">
        <v>0.19</v>
      </c>
      <c r="J134" s="514"/>
      <c r="K134" s="578">
        <f>TRUNC(H134*I134*G134*F134,2)</f>
        <v>0.26</v>
      </c>
      <c r="L134" s="503"/>
    </row>
    <row r="135" spans="2:12" hidden="1">
      <c r="B135" s="501"/>
      <c r="C135" s="1191" t="s">
        <v>139</v>
      </c>
      <c r="D135" s="1191"/>
      <c r="E135" s="1191"/>
      <c r="F135" s="514">
        <v>2</v>
      </c>
      <c r="G135" s="514">
        <v>2.6</v>
      </c>
      <c r="H135" s="514">
        <v>0.15</v>
      </c>
      <c r="I135" s="514">
        <v>0.4</v>
      </c>
      <c r="J135" s="514"/>
      <c r="K135" s="578">
        <f>TRUNC(H135*I135*G135*F135,2)</f>
        <v>0.31</v>
      </c>
      <c r="L135" s="503"/>
    </row>
    <row r="136" spans="2:12" hidden="1">
      <c r="B136" s="501"/>
      <c r="C136" s="1192" t="s">
        <v>116</v>
      </c>
      <c r="D136" s="1192"/>
      <c r="E136" s="1192"/>
      <c r="F136" s="1192"/>
      <c r="G136" s="1192"/>
      <c r="H136" s="1192"/>
      <c r="I136" s="1192"/>
      <c r="J136" s="1192"/>
      <c r="K136" s="513">
        <f>SUM(K133:K135)</f>
        <v>1.29</v>
      </c>
      <c r="L136" s="503"/>
    </row>
    <row r="137" spans="2:12" hidden="1">
      <c r="B137" s="493"/>
      <c r="C137" s="493"/>
      <c r="D137" s="493"/>
      <c r="E137" s="493"/>
      <c r="F137" s="493"/>
      <c r="G137" s="493"/>
      <c r="H137" s="493"/>
      <c r="I137" s="493"/>
      <c r="J137" s="493"/>
      <c r="K137" s="493"/>
      <c r="L137" s="493"/>
    </row>
    <row r="138" spans="2:12" ht="15" hidden="1" customHeight="1">
      <c r="B138" s="497" t="str">
        <f>'[6]PLANILHA ORÇAMENTÁRIA'!D33</f>
        <v>5.5</v>
      </c>
      <c r="C138" s="1186" t="str">
        <f>'[6]PLANILHA ORÇAMENTÁRIA'!E33</f>
        <v>FORMA PLANA PARA VIGAS, EM COMPENSADO RESINADO DE 14MM, 12 USOS, INCLUSIVE ESCORAMENTO</v>
      </c>
      <c r="D138" s="1186"/>
      <c r="E138" s="1186"/>
      <c r="F138" s="1186"/>
      <c r="G138" s="1186"/>
      <c r="H138" s="1186"/>
      <c r="I138" s="1186"/>
      <c r="J138" s="1186"/>
      <c r="K138" s="510" t="str">
        <f>'[6]PLANILHA ORÇAMENTÁRIA'!F33</f>
        <v>M2</v>
      </c>
      <c r="L138" s="511">
        <f>K142</f>
        <v>16.77</v>
      </c>
    </row>
    <row r="139" spans="2:12" hidden="1">
      <c r="B139" s="501"/>
      <c r="C139" s="1190" t="s">
        <v>20</v>
      </c>
      <c r="D139" s="1190"/>
      <c r="E139" s="1190"/>
      <c r="F139" s="512" t="s">
        <v>22</v>
      </c>
      <c r="G139" s="577" t="s">
        <v>111</v>
      </c>
      <c r="H139" s="512" t="s">
        <v>112</v>
      </c>
      <c r="I139" s="577" t="s">
        <v>113</v>
      </c>
      <c r="J139" s="577" t="s">
        <v>148</v>
      </c>
      <c r="K139" s="513" t="s">
        <v>25</v>
      </c>
      <c r="L139" s="503"/>
    </row>
    <row r="140" spans="2:12" hidden="1">
      <c r="B140" s="501"/>
      <c r="C140" s="1191" t="s">
        <v>149</v>
      </c>
      <c r="D140" s="1191"/>
      <c r="E140" s="1191"/>
      <c r="F140" s="514">
        <v>2</v>
      </c>
      <c r="G140" s="514">
        <v>0.25</v>
      </c>
      <c r="H140" s="514">
        <v>0.15</v>
      </c>
      <c r="I140" s="514">
        <v>25.8</v>
      </c>
      <c r="J140" s="514">
        <v>2</v>
      </c>
      <c r="K140" s="578">
        <f>TRUNC((G140*I140*J140)+(H140*I140),2)</f>
        <v>16.77</v>
      </c>
      <c r="L140" s="503"/>
    </row>
    <row r="141" spans="2:12" hidden="1">
      <c r="B141" s="501"/>
      <c r="C141" s="1191" t="s">
        <v>149</v>
      </c>
      <c r="D141" s="1191"/>
      <c r="E141" s="1191"/>
      <c r="F141" s="514">
        <v>1</v>
      </c>
      <c r="G141" s="514">
        <v>0.25</v>
      </c>
      <c r="H141" s="514">
        <v>0.15</v>
      </c>
      <c r="I141" s="514">
        <v>17.3</v>
      </c>
      <c r="J141" s="514">
        <v>2</v>
      </c>
      <c r="K141" s="578">
        <f>TRUNC((G141*I141*J141)+(H141*I141),2)</f>
        <v>11.24</v>
      </c>
      <c r="L141" s="503"/>
    </row>
    <row r="142" spans="2:12" hidden="1">
      <c r="B142" s="501"/>
      <c r="C142" s="1192" t="s">
        <v>116</v>
      </c>
      <c r="D142" s="1192"/>
      <c r="E142" s="1192"/>
      <c r="F142" s="1192"/>
      <c r="G142" s="1192"/>
      <c r="H142" s="1192"/>
      <c r="I142" s="1192"/>
      <c r="J142" s="1192"/>
      <c r="K142" s="513">
        <f>SUM(K140:K140)</f>
        <v>16.77</v>
      </c>
      <c r="L142" s="503"/>
    </row>
    <row r="143" spans="2:12" hidden="1">
      <c r="B143" s="493"/>
      <c r="C143" s="493"/>
      <c r="D143" s="493"/>
      <c r="E143" s="493"/>
      <c r="F143" s="493"/>
      <c r="G143" s="493"/>
      <c r="H143" s="493"/>
      <c r="I143" s="493"/>
      <c r="J143" s="493"/>
      <c r="K143" s="493"/>
      <c r="L143" s="493"/>
    </row>
    <row r="144" spans="2:12" ht="25.5" hidden="1" customHeight="1">
      <c r="B144" s="497" t="str">
        <f>'[6]PLANILHA ORÇAMENTÁRIA'!D34</f>
        <v>5.6</v>
      </c>
      <c r="C144" s="1186" t="str">
        <f>'[6]PLANILHA ORÇAMENTÁRIA'!E34</f>
        <v>CONCRETAGEM DE VIGAS E LAJES, FCK=20 MPA, PARA LAJES MACIÇAS OU NERVURADAS COM GRUA DE CAÇAMBA DE 500 L EM EDIFICAÇÃO DE MULTIPAVIMENTOS ATÉ 16 ANDARES, COM ÁREA MÉDIA DE LAJES MAIOR QUE 20 M² - LANÇAMENTO, ADENSAMENTO E ACABAMENTO. AF_12/2015</v>
      </c>
      <c r="D144" s="1186"/>
      <c r="E144" s="1186"/>
      <c r="F144" s="1186"/>
      <c r="G144" s="1186"/>
      <c r="H144" s="1186"/>
      <c r="I144" s="1186"/>
      <c r="J144" s="1186"/>
      <c r="K144" s="510" t="str">
        <f>'[6]PLANILHA ORÇAMENTÁRIA'!F34</f>
        <v>M3</v>
      </c>
      <c r="L144" s="511">
        <f>K148</f>
        <v>2.57</v>
      </c>
    </row>
    <row r="145" spans="2:12" hidden="1">
      <c r="B145" s="501"/>
      <c r="C145" s="1190" t="s">
        <v>20</v>
      </c>
      <c r="D145" s="1190"/>
      <c r="E145" s="1190"/>
      <c r="F145" s="512" t="s">
        <v>22</v>
      </c>
      <c r="G145" s="577" t="s">
        <v>111</v>
      </c>
      <c r="H145" s="512" t="s">
        <v>112</v>
      </c>
      <c r="I145" s="577" t="s">
        <v>113</v>
      </c>
      <c r="J145" s="577" t="s">
        <v>114</v>
      </c>
      <c r="K145" s="513" t="s">
        <v>25</v>
      </c>
      <c r="L145" s="503"/>
    </row>
    <row r="146" spans="2:12" hidden="1">
      <c r="B146" s="501"/>
      <c r="C146" s="1191" t="s">
        <v>149</v>
      </c>
      <c r="D146" s="1191"/>
      <c r="E146" s="1191"/>
      <c r="F146" s="514">
        <v>2</v>
      </c>
      <c r="G146" s="514">
        <v>0.25</v>
      </c>
      <c r="H146" s="514">
        <v>0.15</v>
      </c>
      <c r="I146" s="514">
        <v>25.8</v>
      </c>
      <c r="J146" s="514"/>
      <c r="K146" s="578">
        <f>TRUNC(G146*H146*I146*F146,2)</f>
        <v>1.93</v>
      </c>
      <c r="L146" s="503"/>
    </row>
    <row r="147" spans="2:12" hidden="1">
      <c r="B147" s="501"/>
      <c r="C147" s="1191" t="s">
        <v>149</v>
      </c>
      <c r="D147" s="1191"/>
      <c r="E147" s="1191"/>
      <c r="F147" s="514">
        <v>1</v>
      </c>
      <c r="G147" s="514">
        <v>0.25</v>
      </c>
      <c r="H147" s="514">
        <v>0.15</v>
      </c>
      <c r="I147" s="514">
        <v>17.3</v>
      </c>
      <c r="J147" s="514"/>
      <c r="K147" s="578">
        <f>TRUNC(G147*H147*I147*F147,2)</f>
        <v>0.64</v>
      </c>
      <c r="L147" s="503"/>
    </row>
    <row r="148" spans="2:12" hidden="1">
      <c r="B148" s="501"/>
      <c r="C148" s="1192" t="s">
        <v>116</v>
      </c>
      <c r="D148" s="1192"/>
      <c r="E148" s="1192"/>
      <c r="F148" s="1192"/>
      <c r="G148" s="1192"/>
      <c r="H148" s="1192"/>
      <c r="I148" s="1192"/>
      <c r="J148" s="1192"/>
      <c r="K148" s="513">
        <f>SUM(K146:K147)</f>
        <v>2.57</v>
      </c>
      <c r="L148" s="503"/>
    </row>
    <row r="149" spans="2:12" hidden="1">
      <c r="B149" s="493"/>
      <c r="C149" s="493"/>
      <c r="D149" s="493"/>
      <c r="E149" s="493"/>
      <c r="F149" s="493"/>
      <c r="G149" s="493"/>
      <c r="H149" s="493"/>
      <c r="I149" s="493"/>
      <c r="J149" s="493"/>
      <c r="K149" s="493"/>
      <c r="L149" s="493"/>
    </row>
    <row r="150" spans="2:12" ht="29.25" hidden="1" customHeight="1">
      <c r="B150" s="497" t="str">
        <f>'[6]PLANILHA ORÇAMENTÁRIA'!D35</f>
        <v>5.7</v>
      </c>
      <c r="C150" s="1186" t="str">
        <f>'[6]PLANILHA ORÇAMENTÁRIA'!E35</f>
        <v>LAJE PRE-MOLDADA P/FORRO, SOBRECARGA 100KG/M2, VAOS ATE 3,50M/E=8CM, C/LAJOTAS E CAP.C/CONC FCK=20MPA, 3CM, INTER-EIXO 38CM, C/ESCORAMENTO (REAPR.3X) E FERRAGEM NEGATIVA</v>
      </c>
      <c r="D150" s="1186"/>
      <c r="E150" s="1186"/>
      <c r="F150" s="1186"/>
      <c r="G150" s="1186"/>
      <c r="H150" s="1186"/>
      <c r="I150" s="1186"/>
      <c r="J150" s="1186"/>
      <c r="K150" s="510" t="str">
        <f>'[6]PLANILHA ORÇAMENTÁRIA'!F35</f>
        <v>M2</v>
      </c>
      <c r="L150" s="511">
        <f>K154</f>
        <v>74.02</v>
      </c>
    </row>
    <row r="151" spans="2:12" hidden="1">
      <c r="B151" s="501"/>
      <c r="C151" s="1190" t="s">
        <v>20</v>
      </c>
      <c r="D151" s="1190"/>
      <c r="E151" s="1190"/>
      <c r="F151" s="512" t="s">
        <v>22</v>
      </c>
      <c r="G151" s="577" t="s">
        <v>111</v>
      </c>
      <c r="H151" s="512" t="s">
        <v>112</v>
      </c>
      <c r="I151" s="577" t="s">
        <v>113</v>
      </c>
      <c r="J151" s="577" t="s">
        <v>114</v>
      </c>
      <c r="K151" s="513" t="s">
        <v>25</v>
      </c>
      <c r="L151" s="503"/>
    </row>
    <row r="152" spans="2:12" hidden="1">
      <c r="B152" s="501"/>
      <c r="C152" s="1191" t="s">
        <v>150</v>
      </c>
      <c r="D152" s="1191"/>
      <c r="E152" s="1191"/>
      <c r="F152" s="514">
        <v>2</v>
      </c>
      <c r="G152" s="514"/>
      <c r="H152" s="514">
        <v>4.5</v>
      </c>
      <c r="I152" s="514">
        <v>6</v>
      </c>
      <c r="J152" s="514"/>
      <c r="K152" s="578">
        <f>TRUNC(H152*I152*F152,2)</f>
        <v>54</v>
      </c>
      <c r="L152" s="503"/>
    </row>
    <row r="153" spans="2:12" hidden="1">
      <c r="B153" s="501"/>
      <c r="C153" s="1191" t="s">
        <v>151</v>
      </c>
      <c r="D153" s="1191"/>
      <c r="E153" s="1191"/>
      <c r="F153" s="514">
        <v>1</v>
      </c>
      <c r="G153" s="514"/>
      <c r="H153" s="514">
        <v>4.45</v>
      </c>
      <c r="I153" s="514">
        <v>4.5</v>
      </c>
      <c r="J153" s="514"/>
      <c r="K153" s="578">
        <f>TRUNC(H153*I153*F153,2)</f>
        <v>20.02</v>
      </c>
      <c r="L153" s="503"/>
    </row>
    <row r="154" spans="2:12" hidden="1">
      <c r="B154" s="501"/>
      <c r="C154" s="1192" t="s">
        <v>116</v>
      </c>
      <c r="D154" s="1192"/>
      <c r="E154" s="1192"/>
      <c r="F154" s="1192"/>
      <c r="G154" s="1192"/>
      <c r="H154" s="1192"/>
      <c r="I154" s="1192"/>
      <c r="J154" s="1192"/>
      <c r="K154" s="513">
        <f>SUM(K152:K153)</f>
        <v>74.02</v>
      </c>
      <c r="L154" s="503"/>
    </row>
    <row r="155" spans="2:12" hidden="1">
      <c r="B155" s="493"/>
      <c r="C155" s="493"/>
      <c r="D155" s="493"/>
      <c r="E155" s="493"/>
      <c r="F155" s="493"/>
      <c r="G155" s="493"/>
      <c r="H155" s="493"/>
      <c r="I155" s="493"/>
      <c r="J155" s="493"/>
      <c r="K155" s="493"/>
      <c r="L155" s="493"/>
    </row>
    <row r="156" spans="2:12" ht="22.5" hidden="1" customHeight="1">
      <c r="B156" s="497" t="str">
        <f>'[6]PLANILHA ORÇAMENTÁRIA'!D36</f>
        <v>5.8</v>
      </c>
      <c r="C156" s="1186" t="str">
        <f>'[6]PLANILHA ORÇAMENTÁRIA'!E36</f>
        <v>IMPERMEABILIZAÇÃO DE PISO COM ARGAMASSA DE CIMENTO E AREIA, COM ADITIVO IMPERMEABILIZANTE, E = 2CM. AF_06/2018</v>
      </c>
      <c r="D156" s="1186"/>
      <c r="E156" s="1186"/>
      <c r="F156" s="1186"/>
      <c r="G156" s="1186"/>
      <c r="H156" s="1186"/>
      <c r="I156" s="1186"/>
      <c r="J156" s="1186"/>
      <c r="K156" s="510" t="str">
        <f>'[6]PLANILHA ORÇAMENTÁRIA'!F36</f>
        <v>M2</v>
      </c>
      <c r="L156" s="511">
        <f>K159</f>
        <v>27</v>
      </c>
    </row>
    <row r="157" spans="2:12" hidden="1">
      <c r="B157" s="501"/>
      <c r="C157" s="1190" t="s">
        <v>20</v>
      </c>
      <c r="D157" s="1190"/>
      <c r="E157" s="1190"/>
      <c r="F157" s="512" t="s">
        <v>22</v>
      </c>
      <c r="G157" s="577" t="s">
        <v>111</v>
      </c>
      <c r="H157" s="512" t="s">
        <v>112</v>
      </c>
      <c r="I157" s="577" t="s">
        <v>113</v>
      </c>
      <c r="J157" s="577" t="s">
        <v>114</v>
      </c>
      <c r="K157" s="513" t="s">
        <v>25</v>
      </c>
      <c r="L157" s="503"/>
    </row>
    <row r="158" spans="2:12" hidden="1">
      <c r="B158" s="501"/>
      <c r="C158" s="1191" t="s">
        <v>152</v>
      </c>
      <c r="D158" s="1191"/>
      <c r="E158" s="1191"/>
      <c r="F158" s="514">
        <v>1</v>
      </c>
      <c r="G158" s="514"/>
      <c r="H158" s="514">
        <v>4.5</v>
      </c>
      <c r="I158" s="514">
        <v>6</v>
      </c>
      <c r="J158" s="514"/>
      <c r="K158" s="578">
        <f>TRUNC(H158*I158*F158,2)</f>
        <v>27</v>
      </c>
      <c r="L158" s="503"/>
    </row>
    <row r="159" spans="2:12" hidden="1">
      <c r="B159" s="501"/>
      <c r="C159" s="1192" t="s">
        <v>116</v>
      </c>
      <c r="D159" s="1192"/>
      <c r="E159" s="1192"/>
      <c r="F159" s="1192"/>
      <c r="G159" s="1192"/>
      <c r="H159" s="1192"/>
      <c r="I159" s="1192"/>
      <c r="J159" s="1192"/>
      <c r="K159" s="513">
        <f>SUM(K158:K158)</f>
        <v>27</v>
      </c>
      <c r="L159" s="503"/>
    </row>
    <row r="160" spans="2:12" hidden="1">
      <c r="B160" s="493"/>
      <c r="C160" s="493"/>
      <c r="D160" s="493"/>
      <c r="E160" s="493"/>
      <c r="F160" s="493"/>
      <c r="G160" s="493"/>
      <c r="H160" s="493"/>
      <c r="I160" s="493"/>
      <c r="J160" s="493"/>
      <c r="K160" s="493"/>
      <c r="L160" s="493"/>
    </row>
    <row r="161" spans="2:12" ht="20.25" hidden="1" customHeight="1">
      <c r="B161" s="497" t="str">
        <f>'[6]PLANILHA ORÇAMENTÁRIA'!D37</f>
        <v>5.9</v>
      </c>
      <c r="C161" s="1186" t="str">
        <f>'[6]PLANILHA ORÇAMENTÁRIA'!E37</f>
        <v>TAMPA DE CONCRETO ARMADO 60X60X5CM PARA CAIXA</v>
      </c>
      <c r="D161" s="1186"/>
      <c r="E161" s="1186"/>
      <c r="F161" s="1186"/>
      <c r="G161" s="1186"/>
      <c r="H161" s="1186"/>
      <c r="I161" s="1186"/>
      <c r="J161" s="1186"/>
      <c r="K161" s="510" t="str">
        <f>'[6]PLANILHA ORÇAMENTÁRIA'!F37</f>
        <v>UND</v>
      </c>
      <c r="L161" s="511">
        <f>K164</f>
        <v>1</v>
      </c>
    </row>
    <row r="162" spans="2:12" hidden="1">
      <c r="B162" s="501"/>
      <c r="C162" s="1190" t="s">
        <v>20</v>
      </c>
      <c r="D162" s="1190"/>
      <c r="E162" s="1190"/>
      <c r="F162" s="512" t="s">
        <v>22</v>
      </c>
      <c r="G162" s="577" t="s">
        <v>111</v>
      </c>
      <c r="H162" s="512" t="s">
        <v>112</v>
      </c>
      <c r="I162" s="577" t="s">
        <v>113</v>
      </c>
      <c r="J162" s="577" t="s">
        <v>114</v>
      </c>
      <c r="K162" s="513" t="s">
        <v>25</v>
      </c>
      <c r="L162" s="503"/>
    </row>
    <row r="163" spans="2:12" hidden="1">
      <c r="B163" s="501"/>
      <c r="C163" s="1191" t="s">
        <v>153</v>
      </c>
      <c r="D163" s="1191"/>
      <c r="E163" s="1191"/>
      <c r="F163" s="514">
        <v>1</v>
      </c>
      <c r="G163" s="514"/>
      <c r="H163" s="514"/>
      <c r="I163" s="514"/>
      <c r="J163" s="514"/>
      <c r="K163" s="578">
        <f>F163</f>
        <v>1</v>
      </c>
      <c r="L163" s="503"/>
    </row>
    <row r="164" spans="2:12" hidden="1">
      <c r="B164" s="501"/>
      <c r="C164" s="1192" t="s">
        <v>116</v>
      </c>
      <c r="D164" s="1192"/>
      <c r="E164" s="1192"/>
      <c r="F164" s="1192"/>
      <c r="G164" s="1192"/>
      <c r="H164" s="1192"/>
      <c r="I164" s="1192"/>
      <c r="J164" s="1192"/>
      <c r="K164" s="513">
        <f>SUM(K163:K163)</f>
        <v>1</v>
      </c>
      <c r="L164" s="503"/>
    </row>
    <row r="165" spans="2:12" hidden="1">
      <c r="B165" s="501"/>
      <c r="C165" s="517"/>
      <c r="D165" s="517"/>
      <c r="E165" s="517"/>
      <c r="F165" s="517"/>
      <c r="G165" s="517"/>
      <c r="H165" s="517"/>
      <c r="I165" s="517"/>
      <c r="J165" s="517"/>
      <c r="K165" s="519"/>
      <c r="L165" s="503"/>
    </row>
    <row r="166" spans="2:12" hidden="1">
      <c r="B166" s="497" t="str">
        <f>'[6]PLANILHA ORÇAMENTÁRIA'!D38</f>
        <v>5.10</v>
      </c>
      <c r="C166" s="1186" t="str">
        <f>'[6]PLANILHA ORÇAMENTÁRIA'!E38</f>
        <v>VERGA PRÉ-MOLDADA PARA JANELAS COM ATÉ 1,5 M DE VÃO. AF_03/2016</v>
      </c>
      <c r="D166" s="1186"/>
      <c r="E166" s="1186"/>
      <c r="F166" s="1186"/>
      <c r="G166" s="1186"/>
      <c r="H166" s="1186"/>
      <c r="I166" s="1186"/>
      <c r="J166" s="1186"/>
      <c r="K166" s="510" t="str">
        <f>'[6]PLANILHA ORÇAMENTÁRIA'!F38</f>
        <v>M</v>
      </c>
      <c r="L166" s="511">
        <f>K169</f>
        <v>3.3000000000000003</v>
      </c>
    </row>
    <row r="167" spans="2:12" hidden="1">
      <c r="B167" s="501"/>
      <c r="C167" s="1190" t="s">
        <v>20</v>
      </c>
      <c r="D167" s="1190"/>
      <c r="E167" s="1190"/>
      <c r="F167" s="512" t="s">
        <v>22</v>
      </c>
      <c r="G167" s="577" t="s">
        <v>111</v>
      </c>
      <c r="H167" s="512" t="s">
        <v>112</v>
      </c>
      <c r="I167" s="577" t="s">
        <v>113</v>
      </c>
      <c r="J167" s="577" t="s">
        <v>114</v>
      </c>
      <c r="K167" s="513" t="s">
        <v>25</v>
      </c>
      <c r="L167" s="503"/>
    </row>
    <row r="168" spans="2:12" hidden="1">
      <c r="B168" s="501"/>
      <c r="C168" s="1191"/>
      <c r="D168" s="1191"/>
      <c r="E168" s="1191"/>
      <c r="F168" s="514">
        <v>3</v>
      </c>
      <c r="G168" s="514"/>
      <c r="H168" s="514"/>
      <c r="I168" s="514">
        <v>1.1000000000000001</v>
      </c>
      <c r="J168" s="514"/>
      <c r="K168" s="578">
        <f>F168*I168</f>
        <v>3.3000000000000003</v>
      </c>
      <c r="L168" s="503"/>
    </row>
    <row r="169" spans="2:12" hidden="1">
      <c r="B169" s="501"/>
      <c r="C169" s="1192" t="s">
        <v>116</v>
      </c>
      <c r="D169" s="1192"/>
      <c r="E169" s="1192"/>
      <c r="F169" s="1192"/>
      <c r="G169" s="1192"/>
      <c r="H169" s="1192"/>
      <c r="I169" s="1192"/>
      <c r="J169" s="1192"/>
      <c r="K169" s="513">
        <f>SUM(K168:K168)</f>
        <v>3.3000000000000003</v>
      </c>
      <c r="L169" s="503"/>
    </row>
    <row r="170" spans="2:12" hidden="1">
      <c r="B170" s="501"/>
      <c r="C170" s="517"/>
      <c r="D170" s="517"/>
      <c r="E170" s="517"/>
      <c r="F170" s="517"/>
      <c r="G170" s="517"/>
      <c r="H170" s="517"/>
      <c r="I170" s="517"/>
      <c r="J170" s="517"/>
      <c r="K170" s="519"/>
      <c r="L170" s="503"/>
    </row>
    <row r="171" spans="2:12" hidden="1">
      <c r="B171" s="497" t="str">
        <f>'[6]PLANILHA ORÇAMENTÁRIA'!D39</f>
        <v>5.11</v>
      </c>
      <c r="C171" s="1186" t="str">
        <f>'[6]PLANILHA ORÇAMENTÁRIA'!E39</f>
        <v>VERGA PRÉ-MOLDADA PARA PORTAS COM ATÉ 1,5 M DE VÃO. AF_03/2016</v>
      </c>
      <c r="D171" s="1186"/>
      <c r="E171" s="1186"/>
      <c r="F171" s="1186"/>
      <c r="G171" s="1186"/>
      <c r="H171" s="1186"/>
      <c r="I171" s="1186"/>
      <c r="J171" s="1186"/>
      <c r="K171" s="510" t="str">
        <f>'[6]PLANILHA ORÇAMENTÁRIA'!F39</f>
        <v>M</v>
      </c>
      <c r="L171" s="511">
        <f>K174</f>
        <v>3.3000000000000003</v>
      </c>
    </row>
    <row r="172" spans="2:12" hidden="1">
      <c r="B172" s="501"/>
      <c r="C172" s="1190" t="s">
        <v>20</v>
      </c>
      <c r="D172" s="1190"/>
      <c r="E172" s="1190"/>
      <c r="F172" s="512" t="s">
        <v>22</v>
      </c>
      <c r="G172" s="577" t="s">
        <v>111</v>
      </c>
      <c r="H172" s="512" t="s">
        <v>112</v>
      </c>
      <c r="I172" s="577" t="s">
        <v>113</v>
      </c>
      <c r="J172" s="577" t="s">
        <v>114</v>
      </c>
      <c r="K172" s="513" t="s">
        <v>25</v>
      </c>
      <c r="L172" s="503"/>
    </row>
    <row r="173" spans="2:12" ht="15" hidden="1" customHeight="1">
      <c r="B173" s="501"/>
      <c r="C173" s="1191"/>
      <c r="D173" s="1191"/>
      <c r="E173" s="1191"/>
      <c r="F173" s="514">
        <v>3</v>
      </c>
      <c r="G173" s="514"/>
      <c r="H173" s="514"/>
      <c r="I173" s="514">
        <v>1.1000000000000001</v>
      </c>
      <c r="J173" s="514"/>
      <c r="K173" s="578">
        <f>F173*I173</f>
        <v>3.3000000000000003</v>
      </c>
      <c r="L173" s="503"/>
    </row>
    <row r="174" spans="2:12" hidden="1">
      <c r="B174" s="501"/>
      <c r="C174" s="1192" t="s">
        <v>116</v>
      </c>
      <c r="D174" s="1192"/>
      <c r="E174" s="1192"/>
      <c r="F174" s="1192"/>
      <c r="G174" s="1192"/>
      <c r="H174" s="1192"/>
      <c r="I174" s="1192"/>
      <c r="J174" s="1192"/>
      <c r="K174" s="513">
        <f>SUM(K173:K173)</f>
        <v>3.3000000000000003</v>
      </c>
      <c r="L174" s="503"/>
    </row>
    <row r="175" spans="2:12" hidden="1">
      <c r="B175" s="501"/>
      <c r="C175" s="517"/>
      <c r="D175" s="517"/>
      <c r="E175" s="517"/>
      <c r="F175" s="517"/>
      <c r="G175" s="517"/>
      <c r="H175" s="517"/>
      <c r="I175" s="517"/>
      <c r="J175" s="517"/>
      <c r="K175" s="519"/>
      <c r="L175" s="503"/>
    </row>
    <row r="176" spans="2:12" hidden="1">
      <c r="B176" s="497" t="str">
        <f>'[6]PLANILHA ORÇAMENTÁRIA'!D40</f>
        <v>5.12</v>
      </c>
      <c r="C176" s="1186" t="str">
        <f>'[6]PLANILHA ORÇAMENTÁRIA'!E40</f>
        <v>CONTRAVERGA PRÉ-MOLDADA PARA VÃOS DE ATÉ 1,5 M DE COMPRIMENTO. AF_03/2016</v>
      </c>
      <c r="D176" s="1186"/>
      <c r="E176" s="1186"/>
      <c r="F176" s="1186"/>
      <c r="G176" s="1186"/>
      <c r="H176" s="1186"/>
      <c r="I176" s="1186"/>
      <c r="J176" s="1186"/>
      <c r="K176" s="510" t="str">
        <f>'[6]PLANILHA ORÇAMENTÁRIA'!F40</f>
        <v>M</v>
      </c>
      <c r="L176" s="511">
        <f>K179</f>
        <v>3.3000000000000003</v>
      </c>
    </row>
    <row r="177" spans="2:12" hidden="1">
      <c r="B177" s="501"/>
      <c r="C177" s="1190" t="s">
        <v>20</v>
      </c>
      <c r="D177" s="1190"/>
      <c r="E177" s="1190"/>
      <c r="F177" s="512" t="s">
        <v>22</v>
      </c>
      <c r="G177" s="577" t="s">
        <v>111</v>
      </c>
      <c r="H177" s="512" t="s">
        <v>112</v>
      </c>
      <c r="I177" s="577" t="s">
        <v>113</v>
      </c>
      <c r="J177" s="577" t="s">
        <v>114</v>
      </c>
      <c r="K177" s="513" t="s">
        <v>25</v>
      </c>
      <c r="L177" s="503"/>
    </row>
    <row r="178" spans="2:12" ht="15" hidden="1" customHeight="1">
      <c r="B178" s="501"/>
      <c r="C178" s="1191"/>
      <c r="D178" s="1191"/>
      <c r="E178" s="1191"/>
      <c r="F178" s="514">
        <v>3</v>
      </c>
      <c r="G178" s="514"/>
      <c r="H178" s="514"/>
      <c r="I178" s="514">
        <v>1.1000000000000001</v>
      </c>
      <c r="J178" s="514"/>
      <c r="K178" s="578">
        <f>F178*I178</f>
        <v>3.3000000000000003</v>
      </c>
      <c r="L178" s="503"/>
    </row>
    <row r="179" spans="2:12" hidden="1">
      <c r="B179" s="501"/>
      <c r="C179" s="1192" t="s">
        <v>116</v>
      </c>
      <c r="D179" s="1192"/>
      <c r="E179" s="1192"/>
      <c r="F179" s="1192"/>
      <c r="G179" s="1192"/>
      <c r="H179" s="1192"/>
      <c r="I179" s="1192"/>
      <c r="J179" s="1192"/>
      <c r="K179" s="513">
        <f>SUM(K178:K178)</f>
        <v>3.3000000000000003</v>
      </c>
      <c r="L179" s="503"/>
    </row>
    <row r="180" spans="2:12" hidden="1">
      <c r="B180" s="501"/>
      <c r="C180" s="517"/>
      <c r="D180" s="517"/>
      <c r="E180" s="517"/>
      <c r="F180" s="517"/>
      <c r="G180" s="517"/>
      <c r="H180" s="517"/>
      <c r="I180" s="517"/>
      <c r="J180" s="517"/>
      <c r="K180" s="519"/>
      <c r="L180" s="503"/>
    </row>
    <row r="181" spans="2:12" hidden="1">
      <c r="B181" s="501" t="str">
        <f>'[6]PLANILHA ORÇAMENTÁRIA'!D41</f>
        <v>6.0</v>
      </c>
      <c r="C181" s="1193" t="str">
        <f>'[6]PLANILHA ORÇAMENTÁRIA'!E41</f>
        <v>ALVENARIA DE VEDAÇÃO</v>
      </c>
      <c r="D181" s="1193"/>
      <c r="E181" s="1193"/>
      <c r="F181" s="1193"/>
      <c r="G181" s="1193"/>
      <c r="H181" s="1193"/>
      <c r="I181" s="1193"/>
      <c r="J181" s="1193"/>
      <c r="K181" s="497"/>
      <c r="L181" s="497"/>
    </row>
    <row r="182" spans="2:12" ht="23.25" hidden="1" customHeight="1">
      <c r="B182" s="497" t="str">
        <f>'[6]PLANILHA ORÇAMENTÁRIA'!D42</f>
        <v>6.1</v>
      </c>
      <c r="C182" s="1186" t="str">
        <f>'[6]PLANILHA ORÇAMENTÁRIA'!E42</f>
        <v>ALVENARIA DE BLOCO CERÂMICO FURADO (9x19x19)cm C/ARGAMASSA MISTA DE CAL HIDRATADA, ESP=9 cm</v>
      </c>
      <c r="D182" s="1186"/>
      <c r="E182" s="1186"/>
      <c r="F182" s="1186"/>
      <c r="G182" s="1186"/>
      <c r="H182" s="1186"/>
      <c r="I182" s="1186"/>
      <c r="J182" s="1186"/>
      <c r="K182" s="510" t="str">
        <f>'[6]PLANILHA ORÇAMENTÁRIA'!F42</f>
        <v>M2</v>
      </c>
      <c r="L182" s="511">
        <f>K187</f>
        <v>133.51999999999998</v>
      </c>
    </row>
    <row r="183" spans="2:12" hidden="1">
      <c r="B183" s="501"/>
      <c r="C183" s="1190" t="s">
        <v>20</v>
      </c>
      <c r="D183" s="1190"/>
      <c r="E183" s="1190"/>
      <c r="F183" s="512" t="s">
        <v>22</v>
      </c>
      <c r="G183" s="577" t="s">
        <v>111</v>
      </c>
      <c r="H183" s="512" t="s">
        <v>112</v>
      </c>
      <c r="I183" s="577" t="s">
        <v>154</v>
      </c>
      <c r="J183" s="577" t="s">
        <v>114</v>
      </c>
      <c r="K183" s="513" t="s">
        <v>25</v>
      </c>
      <c r="L183" s="503"/>
    </row>
    <row r="184" spans="2:12" hidden="1">
      <c r="B184" s="501"/>
      <c r="C184" s="1191" t="s">
        <v>155</v>
      </c>
      <c r="D184" s="1191"/>
      <c r="E184" s="1191"/>
      <c r="F184" s="514"/>
      <c r="G184" s="514">
        <v>2.6</v>
      </c>
      <c r="H184" s="514"/>
      <c r="I184" s="514">
        <f>(6.6*2)+(4.2*3)+3.15+2.16+(1.05*2)</f>
        <v>33.21</v>
      </c>
      <c r="J184" s="514">
        <v>3.88</v>
      </c>
      <c r="K184" s="578">
        <f>TRUNC((G184*I184)-J184,2)</f>
        <v>82.46</v>
      </c>
      <c r="L184" s="503"/>
    </row>
    <row r="185" spans="2:12" hidden="1">
      <c r="B185" s="501"/>
      <c r="C185" s="1191" t="s">
        <v>156</v>
      </c>
      <c r="D185" s="1191"/>
      <c r="E185" s="1191"/>
      <c r="F185" s="514"/>
      <c r="G185" s="514">
        <v>2.15</v>
      </c>
      <c r="H185" s="514"/>
      <c r="I185" s="514">
        <f>(6.6*2)+(4.2*2)</f>
        <v>21.6</v>
      </c>
      <c r="J185" s="514"/>
      <c r="K185" s="578">
        <f>TRUNC((G185*I185),2)</f>
        <v>46.44</v>
      </c>
      <c r="L185" s="503"/>
    </row>
    <row r="186" spans="2:12" hidden="1">
      <c r="B186" s="501"/>
      <c r="C186" s="1191" t="s">
        <v>157</v>
      </c>
      <c r="D186" s="1191"/>
      <c r="E186" s="1191"/>
      <c r="F186" s="514"/>
      <c r="G186" s="514">
        <v>2.1</v>
      </c>
      <c r="H186" s="514"/>
      <c r="I186" s="514">
        <v>2.2000000000000002</v>
      </c>
      <c r="J186" s="514"/>
      <c r="K186" s="578">
        <f>TRUNC((G186*I186),2)</f>
        <v>4.62</v>
      </c>
      <c r="L186" s="503"/>
    </row>
    <row r="187" spans="2:12" hidden="1">
      <c r="B187" s="501"/>
      <c r="C187" s="1192" t="s">
        <v>116</v>
      </c>
      <c r="D187" s="1192"/>
      <c r="E187" s="1192"/>
      <c r="F187" s="1192"/>
      <c r="G187" s="1192"/>
      <c r="H187" s="1192"/>
      <c r="I187" s="1192"/>
      <c r="J187" s="1192"/>
      <c r="K187" s="513">
        <f>SUM(K184:K186)</f>
        <v>133.51999999999998</v>
      </c>
      <c r="L187" s="503"/>
    </row>
    <row r="188" spans="2:12">
      <c r="B188" s="501"/>
      <c r="C188" s="517"/>
      <c r="D188" s="517"/>
      <c r="E188" s="517"/>
      <c r="F188" s="517"/>
      <c r="G188" s="517"/>
      <c r="H188" s="517"/>
      <c r="I188" s="517"/>
      <c r="J188" s="517"/>
      <c r="K188" s="519"/>
      <c r="L188" s="503"/>
    </row>
    <row r="189" spans="2:12">
      <c r="B189" s="614" t="s">
        <v>4</v>
      </c>
      <c r="C189" s="1168" t="s">
        <v>5</v>
      </c>
      <c r="D189" s="1168"/>
      <c r="E189" s="1168"/>
      <c r="F189" s="1168"/>
      <c r="G189" s="1168"/>
      <c r="H189" s="1168"/>
      <c r="I189" s="1168"/>
      <c r="J189" s="1168"/>
      <c r="K189" s="615"/>
      <c r="L189" s="615"/>
    </row>
    <row r="190" spans="2:12">
      <c r="B190" s="576"/>
      <c r="C190" s="575"/>
      <c r="D190" s="575"/>
      <c r="E190" s="575"/>
      <c r="F190" s="575"/>
      <c r="G190" s="575"/>
      <c r="H190" s="575"/>
      <c r="I190" s="575"/>
      <c r="J190" s="575"/>
      <c r="K190" s="520"/>
      <c r="L190" s="520"/>
    </row>
    <row r="191" spans="2:12">
      <c r="B191" s="576" t="s">
        <v>6</v>
      </c>
      <c r="C191" s="1157" t="s">
        <v>10</v>
      </c>
      <c r="D191" s="1158"/>
      <c r="E191" s="1158"/>
      <c r="F191" s="1158"/>
      <c r="G191" s="1158"/>
      <c r="H191" s="1158"/>
      <c r="I191" s="1158"/>
      <c r="J191" s="1159"/>
      <c r="K191" s="521" t="s">
        <v>7</v>
      </c>
      <c r="L191" s="522">
        <f>K194</f>
        <v>20</v>
      </c>
    </row>
    <row r="192" spans="2:12">
      <c r="B192" s="576"/>
      <c r="C192" s="1173" t="s">
        <v>20</v>
      </c>
      <c r="D192" s="1174"/>
      <c r="E192" s="1175"/>
      <c r="F192" s="523" t="s">
        <v>22</v>
      </c>
      <c r="G192" s="571" t="s">
        <v>111</v>
      </c>
      <c r="H192" s="523" t="s">
        <v>112</v>
      </c>
      <c r="I192" s="571" t="s">
        <v>113</v>
      </c>
      <c r="J192" s="571" t="s">
        <v>114</v>
      </c>
      <c r="K192" s="524" t="s">
        <v>25</v>
      </c>
      <c r="L192" s="1169" t="s">
        <v>30</v>
      </c>
    </row>
    <row r="193" spans="2:12">
      <c r="B193" s="576"/>
      <c r="C193" s="1164" t="s">
        <v>849</v>
      </c>
      <c r="D193" s="1165"/>
      <c r="E193" s="1166"/>
      <c r="F193" s="525">
        <v>20</v>
      </c>
      <c r="G193" s="525">
        <v>1</v>
      </c>
      <c r="H193" s="525">
        <v>1</v>
      </c>
      <c r="I193" s="525">
        <v>1</v>
      </c>
      <c r="J193" s="525">
        <v>0</v>
      </c>
      <c r="K193" s="572">
        <f>I193*H193*F193</f>
        <v>20</v>
      </c>
      <c r="L193" s="1169"/>
    </row>
    <row r="194" spans="2:12">
      <c r="B194" s="576"/>
      <c r="C194" s="1170" t="s">
        <v>116</v>
      </c>
      <c r="D194" s="1171"/>
      <c r="E194" s="1171"/>
      <c r="F194" s="1171"/>
      <c r="G194" s="1171"/>
      <c r="H194" s="1171"/>
      <c r="I194" s="1171"/>
      <c r="J194" s="1172"/>
      <c r="K194" s="524">
        <f>SUM(K193:K193)</f>
        <v>20</v>
      </c>
      <c r="L194" s="1169"/>
    </row>
    <row r="195" spans="2:12">
      <c r="B195" s="576"/>
      <c r="C195" s="575"/>
      <c r="D195" s="575"/>
      <c r="E195" s="575"/>
      <c r="F195" s="575"/>
      <c r="G195" s="575"/>
      <c r="H195" s="575"/>
      <c r="I195" s="575"/>
      <c r="J195" s="575"/>
      <c r="K195" s="520"/>
      <c r="L195" s="520"/>
    </row>
    <row r="196" spans="2:12" ht="29.25" customHeight="1">
      <c r="B196" s="576" t="s">
        <v>29</v>
      </c>
      <c r="C196" s="1157" t="s">
        <v>838</v>
      </c>
      <c r="D196" s="1158"/>
      <c r="E196" s="1158"/>
      <c r="F196" s="1158"/>
      <c r="G196" s="1158"/>
      <c r="H196" s="1158"/>
      <c r="I196" s="1158"/>
      <c r="J196" s="1159"/>
      <c r="K196" s="521" t="s">
        <v>7</v>
      </c>
      <c r="L196" s="522">
        <f>K199</f>
        <v>15</v>
      </c>
    </row>
    <row r="197" spans="2:12">
      <c r="B197" s="576"/>
      <c r="C197" s="1173" t="s">
        <v>20</v>
      </c>
      <c r="D197" s="1174"/>
      <c r="E197" s="1175"/>
      <c r="F197" s="523" t="s">
        <v>22</v>
      </c>
      <c r="G197" s="571" t="s">
        <v>111</v>
      </c>
      <c r="H197" s="523" t="s">
        <v>112</v>
      </c>
      <c r="I197" s="571" t="s">
        <v>113</v>
      </c>
      <c r="J197" s="571" t="s">
        <v>114</v>
      </c>
      <c r="K197" s="524" t="s">
        <v>25</v>
      </c>
      <c r="L197" s="1169" t="s">
        <v>30</v>
      </c>
    </row>
    <row r="198" spans="2:12">
      <c r="B198" s="576"/>
      <c r="C198" s="1164" t="s">
        <v>240</v>
      </c>
      <c r="D198" s="1165"/>
      <c r="E198" s="1166"/>
      <c r="F198" s="525">
        <v>15</v>
      </c>
      <c r="G198" s="525">
        <v>1</v>
      </c>
      <c r="H198" s="525">
        <v>1</v>
      </c>
      <c r="I198" s="525">
        <v>1</v>
      </c>
      <c r="J198" s="525">
        <v>0</v>
      </c>
      <c r="K198" s="572">
        <f>I198*H198*F198</f>
        <v>15</v>
      </c>
      <c r="L198" s="1169"/>
    </row>
    <row r="199" spans="2:12">
      <c r="B199" s="576"/>
      <c r="C199" s="1170" t="s">
        <v>116</v>
      </c>
      <c r="D199" s="1171"/>
      <c r="E199" s="1171"/>
      <c r="F199" s="1171"/>
      <c r="G199" s="1171"/>
      <c r="H199" s="1171"/>
      <c r="I199" s="1171"/>
      <c r="J199" s="1172"/>
      <c r="K199" s="524">
        <f>SUM(K198:K198)</f>
        <v>15</v>
      </c>
      <c r="L199" s="1169"/>
    </row>
    <row r="200" spans="2:12">
      <c r="B200" s="576"/>
      <c r="C200" s="575"/>
      <c r="D200" s="575"/>
      <c r="E200" s="575"/>
      <c r="F200" s="575"/>
      <c r="G200" s="575"/>
      <c r="H200" s="575"/>
      <c r="I200" s="575"/>
      <c r="J200" s="575"/>
      <c r="K200" s="520"/>
      <c r="L200" s="520"/>
    </row>
    <row r="201" spans="2:12">
      <c r="B201" s="501"/>
      <c r="C201" s="517"/>
      <c r="D201" s="517"/>
      <c r="E201" s="517"/>
      <c r="F201" s="517"/>
      <c r="G201" s="517"/>
      <c r="H201" s="517"/>
      <c r="I201" s="517"/>
      <c r="J201" s="517"/>
      <c r="K201" s="519"/>
      <c r="L201" s="503"/>
    </row>
    <row r="202" spans="2:12" hidden="1">
      <c r="B202" s="501"/>
      <c r="C202" s="1190" t="s">
        <v>20</v>
      </c>
      <c r="D202" s="1190"/>
      <c r="E202" s="1190"/>
      <c r="F202" s="512" t="s">
        <v>22</v>
      </c>
      <c r="G202" s="577" t="s">
        <v>111</v>
      </c>
      <c r="H202" s="512" t="s">
        <v>112</v>
      </c>
      <c r="I202" s="577" t="s">
        <v>154</v>
      </c>
      <c r="J202" s="577" t="s">
        <v>114</v>
      </c>
      <c r="K202" s="513" t="s">
        <v>25</v>
      </c>
      <c r="L202" s="503"/>
    </row>
    <row r="203" spans="2:12" hidden="1">
      <c r="B203" s="501"/>
      <c r="C203" s="1191" t="s">
        <v>159</v>
      </c>
      <c r="D203" s="1191"/>
      <c r="E203" s="1191"/>
      <c r="F203" s="514">
        <v>1</v>
      </c>
      <c r="G203" s="514">
        <v>5.05</v>
      </c>
      <c r="H203" s="514"/>
      <c r="I203" s="514">
        <f>6.6*2</f>
        <v>13.2</v>
      </c>
      <c r="J203" s="514">
        <v>3.88</v>
      </c>
      <c r="K203" s="578">
        <f>TRUNC(((G203*I203)*F203)-J203,2)</f>
        <v>62.78</v>
      </c>
      <c r="L203" s="503"/>
    </row>
    <row r="204" spans="2:12" hidden="1">
      <c r="B204" s="501"/>
      <c r="C204" s="1191" t="s">
        <v>156</v>
      </c>
      <c r="D204" s="1191"/>
      <c r="E204" s="1191"/>
      <c r="F204" s="514">
        <v>1</v>
      </c>
      <c r="G204" s="514">
        <v>5.05</v>
      </c>
      <c r="H204" s="514"/>
      <c r="I204" s="514">
        <v>9</v>
      </c>
      <c r="J204" s="514"/>
      <c r="K204" s="578">
        <f>TRUNC(((G204*I204)*F204),2)</f>
        <v>45.45</v>
      </c>
      <c r="L204" s="503"/>
    </row>
    <row r="205" spans="2:12" hidden="1">
      <c r="B205" s="501"/>
      <c r="C205" s="1191" t="s">
        <v>160</v>
      </c>
      <c r="D205" s="1191"/>
      <c r="E205" s="1191"/>
      <c r="F205" s="514">
        <v>2</v>
      </c>
      <c r="G205" s="514">
        <v>2.6</v>
      </c>
      <c r="H205" s="514"/>
      <c r="I205" s="514">
        <f>4.2+3.15+2.15+(1.05*2)</f>
        <v>11.6</v>
      </c>
      <c r="J205" s="514"/>
      <c r="K205" s="578">
        <f>TRUNC(((G205*I205)*F205),2)</f>
        <v>60.32</v>
      </c>
      <c r="L205" s="503"/>
    </row>
    <row r="206" spans="2:12" hidden="1">
      <c r="B206" s="501"/>
      <c r="C206" s="1191" t="s">
        <v>161</v>
      </c>
      <c r="D206" s="1191"/>
      <c r="E206" s="1191"/>
      <c r="F206" s="514">
        <v>2</v>
      </c>
      <c r="G206" s="514">
        <v>2.1</v>
      </c>
      <c r="H206" s="514"/>
      <c r="I206" s="514">
        <v>2.2000000000000002</v>
      </c>
      <c r="J206" s="514"/>
      <c r="K206" s="578">
        <f>TRUNC(((G206*I206)*F206),2)</f>
        <v>9.24</v>
      </c>
      <c r="L206" s="503"/>
    </row>
    <row r="207" spans="2:12" hidden="1">
      <c r="B207" s="501"/>
      <c r="C207" s="1192" t="s">
        <v>116</v>
      </c>
      <c r="D207" s="1192"/>
      <c r="E207" s="1192"/>
      <c r="F207" s="1192"/>
      <c r="G207" s="1192"/>
      <c r="H207" s="1192"/>
      <c r="I207" s="1192"/>
      <c r="J207" s="1192"/>
      <c r="K207" s="513">
        <f>SUM(K203:K206)</f>
        <v>177.79000000000002</v>
      </c>
      <c r="L207" s="503"/>
    </row>
    <row r="208" spans="2:12" hidden="1">
      <c r="B208" s="493"/>
      <c r="C208" s="493"/>
      <c r="D208" s="493"/>
      <c r="E208" s="493"/>
      <c r="F208" s="493"/>
      <c r="G208" s="493"/>
      <c r="H208" s="493"/>
      <c r="I208" s="493"/>
      <c r="J208" s="493"/>
      <c r="K208" s="493"/>
      <c r="L208" s="493"/>
    </row>
    <row r="209" spans="2:12" ht="24" hidden="1" customHeight="1">
      <c r="B209" s="497" t="str">
        <f>'[6]PLANILHA ORÇAMENTÁRIA'!D49</f>
        <v>8.2</v>
      </c>
      <c r="C209" s="1186" t="str">
        <f>'[6]PLANILHA ORÇAMENTÁRIA'!E49</f>
        <v>EMBOÇO, PARA RECEBIMENTO DE CERÂMICA, EM ARGAMASSA TRAÇO 1:2:8, PREPARO MECÂNICO COM BETONEIRA 400L, APLICADO MANUALMENTE EM FACES INTERNAS DE PAREDES, PARA AMBIENTE COM ÁREA MAIOR QUE 10M2, ESPESSURA DE 10MM, COM EXECUÇÃO DE TALISCAS. AF_06/2014</v>
      </c>
      <c r="D209" s="1186"/>
      <c r="E209" s="1186"/>
      <c r="F209" s="1186"/>
      <c r="G209" s="1186"/>
      <c r="H209" s="1186"/>
      <c r="I209" s="1186"/>
      <c r="J209" s="1186"/>
      <c r="K209" s="510" t="str">
        <f>'[6]PLANILHA ORÇAMENTÁRIA'!F49</f>
        <v>M2</v>
      </c>
      <c r="L209" s="511">
        <f>K215</f>
        <v>177.79000000000002</v>
      </c>
    </row>
    <row r="210" spans="2:12" hidden="1">
      <c r="B210" s="501"/>
      <c r="C210" s="1190" t="s">
        <v>20</v>
      </c>
      <c r="D210" s="1190"/>
      <c r="E210" s="1190"/>
      <c r="F210" s="512" t="s">
        <v>22</v>
      </c>
      <c r="G210" s="577" t="s">
        <v>111</v>
      </c>
      <c r="H210" s="512" t="s">
        <v>112</v>
      </c>
      <c r="I210" s="577" t="s">
        <v>154</v>
      </c>
      <c r="J210" s="577" t="s">
        <v>114</v>
      </c>
      <c r="K210" s="513" t="s">
        <v>25</v>
      </c>
      <c r="L210" s="503"/>
    </row>
    <row r="211" spans="2:12" ht="15" hidden="1" customHeight="1">
      <c r="B211" s="501"/>
      <c r="C211" s="1191" t="s">
        <v>159</v>
      </c>
      <c r="D211" s="1191"/>
      <c r="E211" s="1191"/>
      <c r="F211" s="514">
        <v>1</v>
      </c>
      <c r="G211" s="514">
        <v>5.05</v>
      </c>
      <c r="H211" s="514"/>
      <c r="I211" s="514">
        <f>6.6*2</f>
        <v>13.2</v>
      </c>
      <c r="J211" s="514">
        <v>3.88</v>
      </c>
      <c r="K211" s="578">
        <f>TRUNC(((G211*I211)*F211)-J211,2)</f>
        <v>62.78</v>
      </c>
      <c r="L211" s="503"/>
    </row>
    <row r="212" spans="2:12" hidden="1">
      <c r="B212" s="501"/>
      <c r="C212" s="1191" t="s">
        <v>156</v>
      </c>
      <c r="D212" s="1191"/>
      <c r="E212" s="1191"/>
      <c r="F212" s="514">
        <v>1</v>
      </c>
      <c r="G212" s="514">
        <v>5.05</v>
      </c>
      <c r="H212" s="514"/>
      <c r="I212" s="514">
        <v>9</v>
      </c>
      <c r="J212" s="514"/>
      <c r="K212" s="578">
        <f>TRUNC(((G212*I212)*F212),2)</f>
        <v>45.45</v>
      </c>
      <c r="L212" s="503"/>
    </row>
    <row r="213" spans="2:12" ht="15" hidden="1" customHeight="1">
      <c r="B213" s="501"/>
      <c r="C213" s="1191" t="s">
        <v>160</v>
      </c>
      <c r="D213" s="1191"/>
      <c r="E213" s="1191"/>
      <c r="F213" s="514">
        <v>2</v>
      </c>
      <c r="G213" s="514">
        <v>2.6</v>
      </c>
      <c r="H213" s="514"/>
      <c r="I213" s="514">
        <f>4.2+3.15+2.15+(1.05*2)</f>
        <v>11.6</v>
      </c>
      <c r="J213" s="514"/>
      <c r="K213" s="578">
        <f>TRUNC(((G213*I213)*F213),2)</f>
        <v>60.32</v>
      </c>
      <c r="L213" s="503"/>
    </row>
    <row r="214" spans="2:12" ht="15" hidden="1" customHeight="1">
      <c r="B214" s="501"/>
      <c r="C214" s="1191" t="s">
        <v>161</v>
      </c>
      <c r="D214" s="1191"/>
      <c r="E214" s="1191"/>
      <c r="F214" s="514">
        <v>2</v>
      </c>
      <c r="G214" s="514">
        <v>2.1</v>
      </c>
      <c r="H214" s="514"/>
      <c r="I214" s="514">
        <v>2.2000000000000002</v>
      </c>
      <c r="J214" s="514"/>
      <c r="K214" s="578">
        <f>TRUNC(((G214*I214)*F214),2)</f>
        <v>9.24</v>
      </c>
      <c r="L214" s="503"/>
    </row>
    <row r="215" spans="2:12" hidden="1">
      <c r="B215" s="501"/>
      <c r="C215" s="1192" t="s">
        <v>116</v>
      </c>
      <c r="D215" s="1192"/>
      <c r="E215" s="1192"/>
      <c r="F215" s="1192"/>
      <c r="G215" s="1192"/>
      <c r="H215" s="1192"/>
      <c r="I215" s="1192"/>
      <c r="J215" s="1192"/>
      <c r="K215" s="513">
        <f>SUM(K211:K214)</f>
        <v>177.79000000000002</v>
      </c>
      <c r="L215" s="503"/>
    </row>
    <row r="216" spans="2:12" hidden="1">
      <c r="B216" s="493"/>
      <c r="C216" s="493"/>
      <c r="D216" s="493"/>
      <c r="E216" s="493"/>
      <c r="F216" s="493"/>
      <c r="G216" s="493"/>
      <c r="H216" s="493"/>
      <c r="I216" s="493"/>
      <c r="J216" s="493"/>
      <c r="K216" s="493"/>
      <c r="L216" s="493"/>
    </row>
    <row r="217" spans="2:12" hidden="1">
      <c r="B217" s="501"/>
      <c r="C217" s="1192" t="s">
        <v>116</v>
      </c>
      <c r="D217" s="1192"/>
      <c r="E217" s="1192"/>
      <c r="F217" s="1192"/>
      <c r="G217" s="1192"/>
      <c r="H217" s="1192"/>
      <c r="I217" s="1192"/>
      <c r="J217" s="1192"/>
      <c r="K217" s="513" t="e">
        <f>SUM(#REF!)</f>
        <v>#REF!</v>
      </c>
      <c r="L217" s="503"/>
    </row>
    <row r="218" spans="2:12" hidden="1">
      <c r="B218" s="493"/>
      <c r="C218" s="493"/>
      <c r="D218" s="493"/>
      <c r="E218" s="493"/>
      <c r="F218" s="493"/>
      <c r="G218" s="493"/>
      <c r="H218" s="493"/>
      <c r="I218" s="493"/>
      <c r="J218" s="493"/>
      <c r="K218" s="493"/>
      <c r="L218" s="493"/>
    </row>
    <row r="219" spans="2:12" ht="15" hidden="1" customHeight="1">
      <c r="B219" s="501"/>
      <c r="C219" s="1180" t="s">
        <v>162</v>
      </c>
      <c r="D219" s="1181"/>
      <c r="E219" s="1182"/>
      <c r="F219" s="514"/>
      <c r="G219" s="514"/>
      <c r="H219" s="514">
        <v>1.8</v>
      </c>
      <c r="I219" s="514">
        <v>14.3</v>
      </c>
      <c r="J219" s="514"/>
      <c r="K219" s="515">
        <f>H219*I219</f>
        <v>25.740000000000002</v>
      </c>
      <c r="L219" s="503"/>
    </row>
    <row r="220" spans="2:12" ht="15" hidden="1" customHeight="1">
      <c r="B220" s="501"/>
      <c r="C220" s="1180" t="s">
        <v>162</v>
      </c>
      <c r="D220" s="1181"/>
      <c r="E220" s="1182"/>
      <c r="F220" s="514">
        <v>2</v>
      </c>
      <c r="G220" s="514"/>
      <c r="H220" s="514">
        <v>1.6</v>
      </c>
      <c r="I220" s="514">
        <v>4</v>
      </c>
      <c r="J220" s="514"/>
      <c r="K220" s="515">
        <f>F220*H220*I220</f>
        <v>12.8</v>
      </c>
      <c r="L220" s="503"/>
    </row>
    <row r="221" spans="2:12" ht="15" hidden="1" customHeight="1">
      <c r="B221" s="501"/>
      <c r="C221" s="1180" t="s">
        <v>163</v>
      </c>
      <c r="D221" s="1181"/>
      <c r="E221" s="1182"/>
      <c r="F221" s="514"/>
      <c r="G221" s="514"/>
      <c r="H221" s="514"/>
      <c r="I221" s="514"/>
      <c r="J221" s="514">
        <v>109.24</v>
      </c>
      <c r="K221" s="515">
        <f>-J221</f>
        <v>-109.24</v>
      </c>
      <c r="L221" s="503"/>
    </row>
    <row r="222" spans="2:12" hidden="1">
      <c r="B222" s="501"/>
      <c r="C222" s="1191" t="s">
        <v>164</v>
      </c>
      <c r="D222" s="1191"/>
      <c r="E222" s="1191"/>
      <c r="F222" s="514"/>
      <c r="G222" s="514"/>
      <c r="H222" s="514">
        <v>1.05</v>
      </c>
      <c r="I222" s="514">
        <v>1.85</v>
      </c>
      <c r="J222" s="514"/>
      <c r="K222" s="578">
        <f>TRUNC(H222*I222,2)</f>
        <v>1.94</v>
      </c>
      <c r="L222" s="503"/>
    </row>
    <row r="223" spans="2:12" hidden="1">
      <c r="B223" s="501"/>
      <c r="C223" s="1190" t="s">
        <v>20</v>
      </c>
      <c r="D223" s="1190"/>
      <c r="E223" s="1190"/>
      <c r="F223" s="512" t="s">
        <v>22</v>
      </c>
      <c r="G223" s="577" t="s">
        <v>111</v>
      </c>
      <c r="H223" s="512" t="s">
        <v>112</v>
      </c>
      <c r="I223" s="577" t="s">
        <v>113</v>
      </c>
      <c r="J223" s="577" t="s">
        <v>114</v>
      </c>
      <c r="K223" s="513" t="s">
        <v>25</v>
      </c>
      <c r="L223" s="503"/>
    </row>
    <row r="224" spans="2:12" ht="15" hidden="1" customHeight="1">
      <c r="B224" s="501"/>
      <c r="C224" s="1191" t="s">
        <v>165</v>
      </c>
      <c r="D224" s="1191"/>
      <c r="E224" s="1191"/>
      <c r="F224" s="514"/>
      <c r="G224" s="514"/>
      <c r="H224" s="514">
        <v>6.4740000000000002</v>
      </c>
      <c r="I224" s="514">
        <v>7.5</v>
      </c>
      <c r="J224" s="514">
        <v>1.75</v>
      </c>
      <c r="K224" s="578">
        <f>TRUNC(H224*I224-J224,2)</f>
        <v>46.8</v>
      </c>
      <c r="L224" s="503"/>
    </row>
    <row r="225" spans="2:12" ht="22.5" hidden="1" customHeight="1">
      <c r="B225" s="497" t="str">
        <f>'[6]PLANILHA ORÇAMENTÁRIA'!D68</f>
        <v>10.2</v>
      </c>
      <c r="C225" s="1186" t="str">
        <f>'[6]PLANILHA ORÇAMENTÁRIA'!E68</f>
        <v>FECHADURA DE EMBUTIR COM CILINDRO, EXTERNA, COMPLETA, ACABAMENTO PADRÃO POPULAR, INCLUSO EXECUÇÃO DE FURO - FORNECIMENTO E INSTALAÇÃO. AF_08/2015</v>
      </c>
      <c r="D225" s="1186"/>
      <c r="E225" s="1186"/>
      <c r="F225" s="1186"/>
      <c r="G225" s="1186"/>
      <c r="H225" s="1186"/>
      <c r="I225" s="1186"/>
      <c r="J225" s="1186"/>
      <c r="K225" s="510" t="str">
        <f>'[6]PLANILHA ORÇAMENTÁRIA'!F68</f>
        <v>UND</v>
      </c>
      <c r="L225" s="511" t="e">
        <f>#REF!</f>
        <v>#REF!</v>
      </c>
    </row>
    <row r="226" spans="2:12" hidden="1">
      <c r="B226" s="501"/>
      <c r="C226" s="1190" t="s">
        <v>20</v>
      </c>
      <c r="D226" s="1190"/>
      <c r="E226" s="1190"/>
      <c r="F226" s="512" t="s">
        <v>22</v>
      </c>
      <c r="G226" s="577" t="s">
        <v>111</v>
      </c>
      <c r="H226" s="577" t="s">
        <v>114</v>
      </c>
      <c r="I226" s="577" t="s">
        <v>113</v>
      </c>
      <c r="J226" s="577" t="s">
        <v>136</v>
      </c>
      <c r="K226" s="513" t="s">
        <v>25</v>
      </c>
      <c r="L226" s="503"/>
    </row>
    <row r="227" spans="2:12" ht="27" hidden="1" customHeight="1">
      <c r="B227" s="501"/>
      <c r="C227" s="1191" t="s">
        <v>166</v>
      </c>
      <c r="D227" s="1191"/>
      <c r="E227" s="1191"/>
      <c r="F227" s="514">
        <v>3</v>
      </c>
      <c r="G227" s="514"/>
      <c r="H227" s="514"/>
      <c r="I227" s="514"/>
      <c r="J227" s="514"/>
      <c r="K227" s="578"/>
      <c r="L227" s="503"/>
    </row>
    <row r="228" spans="2:12" ht="15" hidden="1" customHeight="1">
      <c r="B228" s="497" t="str">
        <f>'[6]PLANILHA ORÇAMENTÁRIA'!D72</f>
        <v>11.2</v>
      </c>
      <c r="C228" s="1186" t="str">
        <f>'[6]PLANILHA ORÇAMENTÁRIA'!E72</f>
        <v>CAIXA D'ÁGUA EM POLIETILENO, 500 LITROS, COM ACESSÓRIOS.</v>
      </c>
      <c r="D228" s="1186"/>
      <c r="E228" s="1186"/>
      <c r="F228" s="1186"/>
      <c r="G228" s="1186"/>
      <c r="H228" s="1186"/>
      <c r="I228" s="1186"/>
      <c r="J228" s="1186"/>
      <c r="K228" s="510" t="str">
        <f>'[6]PLANILHA ORÇAMENTÁRIA'!F72</f>
        <v>UND</v>
      </c>
      <c r="L228" s="511" t="e">
        <f>#REF!</f>
        <v>#REF!</v>
      </c>
    </row>
    <row r="229" spans="2:12" hidden="1">
      <c r="B229" s="501"/>
      <c r="C229" s="1190" t="s">
        <v>20</v>
      </c>
      <c r="D229" s="1190"/>
      <c r="E229" s="1190"/>
      <c r="F229" s="512" t="s">
        <v>22</v>
      </c>
      <c r="G229" s="577" t="s">
        <v>111</v>
      </c>
      <c r="H229" s="577" t="s">
        <v>114</v>
      </c>
      <c r="I229" s="577" t="s">
        <v>113</v>
      </c>
      <c r="J229" s="577" t="s">
        <v>136</v>
      </c>
      <c r="K229" s="513" t="s">
        <v>25</v>
      </c>
      <c r="L229" s="503"/>
    </row>
    <row r="230" spans="2:12" hidden="1">
      <c r="B230" s="501"/>
      <c r="C230" s="1191"/>
      <c r="D230" s="1191"/>
      <c r="E230" s="1191"/>
      <c r="F230" s="514">
        <v>2</v>
      </c>
      <c r="G230" s="514"/>
      <c r="H230" s="514"/>
      <c r="I230" s="514"/>
      <c r="J230" s="514"/>
      <c r="K230" s="578">
        <f>F230</f>
        <v>2</v>
      </c>
      <c r="L230" s="503"/>
    </row>
    <row r="231" spans="2:12" hidden="1">
      <c r="B231" s="501"/>
      <c r="C231" s="1192" t="s">
        <v>116</v>
      </c>
      <c r="D231" s="1192"/>
      <c r="E231" s="1192"/>
      <c r="F231" s="1192"/>
      <c r="G231" s="1192"/>
      <c r="H231" s="1192"/>
      <c r="I231" s="1192"/>
      <c r="J231" s="1192"/>
      <c r="K231" s="513" t="e">
        <f>SUM(#REF!)</f>
        <v>#REF!</v>
      </c>
      <c r="L231" s="503"/>
    </row>
    <row r="232" spans="2:12" hidden="1">
      <c r="B232" s="501"/>
      <c r="C232" s="517"/>
      <c r="D232" s="517"/>
      <c r="E232" s="517"/>
      <c r="F232" s="517"/>
      <c r="G232" s="517"/>
      <c r="H232" s="517"/>
      <c r="I232" s="517"/>
      <c r="J232" s="517"/>
      <c r="K232" s="519"/>
      <c r="L232" s="503"/>
    </row>
    <row r="233" spans="2:12" ht="22.5" hidden="1" customHeight="1">
      <c r="B233" s="497" t="str">
        <f>'[6]PLANILHA ORÇAMENTÁRIA'!D76</f>
        <v>11.6</v>
      </c>
      <c r="C233" s="1186" t="str">
        <f>'[6]PLANILHA ORÇAMENTÁRIA'!E76</f>
        <v>SIFÃO DO TIPO GARRAFA/COPO EM PVC 1.1/4 X 1.1/2" - FORNECIMENTO E INSTALAÇÃO. AF_12/2013</v>
      </c>
      <c r="D233" s="1186"/>
      <c r="E233" s="1186"/>
      <c r="F233" s="1186"/>
      <c r="G233" s="1186"/>
      <c r="H233" s="1186"/>
      <c r="I233" s="1186"/>
      <c r="J233" s="1186"/>
      <c r="K233" s="510" t="str">
        <f>'[6]PLANILHA ORÇAMENTÁRIA'!F76</f>
        <v>UND</v>
      </c>
      <c r="L233" s="511" t="e">
        <f>#REF!</f>
        <v>#REF!</v>
      </c>
    </row>
    <row r="234" spans="2:12" hidden="1">
      <c r="B234" s="501"/>
      <c r="C234" s="1190" t="s">
        <v>20</v>
      </c>
      <c r="D234" s="1190"/>
      <c r="E234" s="1190"/>
      <c r="F234" s="512" t="s">
        <v>22</v>
      </c>
      <c r="G234" s="577" t="s">
        <v>111</v>
      </c>
      <c r="H234" s="577" t="s">
        <v>114</v>
      </c>
      <c r="I234" s="577" t="s">
        <v>113</v>
      </c>
      <c r="J234" s="577" t="s">
        <v>136</v>
      </c>
      <c r="K234" s="513" t="s">
        <v>25</v>
      </c>
      <c r="L234" s="503"/>
    </row>
    <row r="235" spans="2:12" hidden="1">
      <c r="B235" s="501"/>
      <c r="C235" s="1191"/>
      <c r="D235" s="1191"/>
      <c r="E235" s="1191"/>
      <c r="F235" s="514">
        <v>2</v>
      </c>
      <c r="G235" s="514"/>
      <c r="H235" s="514"/>
      <c r="I235" s="514"/>
      <c r="J235" s="514"/>
      <c r="K235" s="578">
        <f>F235</f>
        <v>2</v>
      </c>
      <c r="L235" s="503"/>
    </row>
    <row r="236" spans="2:12" hidden="1">
      <c r="B236" s="501"/>
      <c r="C236" s="1192" t="s">
        <v>116</v>
      </c>
      <c r="D236" s="1192"/>
      <c r="E236" s="1192"/>
      <c r="F236" s="1192"/>
      <c r="G236" s="1192"/>
      <c r="H236" s="1192"/>
      <c r="I236" s="1192"/>
      <c r="J236" s="1192"/>
      <c r="K236" s="513">
        <f>SUM(K235:K235)</f>
        <v>2</v>
      </c>
      <c r="L236" s="503"/>
    </row>
    <row r="237" spans="2:12" hidden="1">
      <c r="B237" s="501"/>
      <c r="C237" s="517"/>
      <c r="D237" s="517"/>
      <c r="E237" s="517"/>
      <c r="F237" s="517"/>
      <c r="G237" s="517"/>
      <c r="H237" s="517"/>
      <c r="I237" s="517"/>
      <c r="J237" s="517"/>
      <c r="K237" s="519"/>
      <c r="L237" s="503"/>
    </row>
    <row r="238" spans="2:12" ht="27.75" hidden="1" customHeight="1">
      <c r="B238" s="497" t="str">
        <f>'[6]PLANILHA ORÇAMENTÁRIA'!D80</f>
        <v>11.10</v>
      </c>
      <c r="C238" s="1186" t="str">
        <f>'[6]PLANILHA ORÇAMENTÁRIA'!E80</f>
        <v>TORNEIRA CROMADA DE MESA, 1/2" OU 3/4", PARA LAVATÓRIO, PADRÃO POPULAR - FORNECIMENTO E INSTALAÇÃO. AF_12/2013</v>
      </c>
      <c r="D238" s="1186"/>
      <c r="E238" s="1186"/>
      <c r="F238" s="1186"/>
      <c r="G238" s="1186"/>
      <c r="H238" s="1186"/>
      <c r="I238" s="1186"/>
      <c r="J238" s="1186"/>
      <c r="K238" s="510" t="str">
        <f>'[6]PLANILHA ORÇAMENTÁRIA'!F80</f>
        <v>UND</v>
      </c>
      <c r="L238" s="511" t="e">
        <f>#REF!</f>
        <v>#REF!</v>
      </c>
    </row>
    <row r="239" spans="2:12" hidden="1">
      <c r="B239" s="501"/>
      <c r="C239" s="1191"/>
      <c r="D239" s="1191"/>
      <c r="E239" s="1191"/>
      <c r="F239" s="514">
        <v>2</v>
      </c>
      <c r="G239" s="514"/>
      <c r="H239" s="514"/>
      <c r="I239" s="514"/>
      <c r="J239" s="514"/>
      <c r="K239" s="578">
        <f>F239</f>
        <v>2</v>
      </c>
      <c r="L239" s="503"/>
    </row>
    <row r="240" spans="2:12" hidden="1">
      <c r="B240" s="501"/>
      <c r="C240" s="1192" t="s">
        <v>116</v>
      </c>
      <c r="D240" s="1192"/>
      <c r="E240" s="1192"/>
      <c r="F240" s="1192"/>
      <c r="G240" s="1192"/>
      <c r="H240" s="1192"/>
      <c r="I240" s="1192"/>
      <c r="J240" s="1192"/>
      <c r="K240" s="513">
        <f>SUM(K239:K239)</f>
        <v>2</v>
      </c>
      <c r="L240" s="503"/>
    </row>
    <row r="241" spans="2:12" hidden="1">
      <c r="B241" s="501"/>
      <c r="C241" s="1191"/>
      <c r="D241" s="1191"/>
      <c r="E241" s="1191"/>
      <c r="F241" s="514">
        <v>1</v>
      </c>
      <c r="G241" s="514"/>
      <c r="H241" s="514"/>
      <c r="I241" s="514"/>
      <c r="J241" s="514"/>
      <c r="K241" s="578">
        <f>F241</f>
        <v>1</v>
      </c>
      <c r="L241" s="503"/>
    </row>
    <row r="242" spans="2:12" hidden="1">
      <c r="B242" s="501"/>
      <c r="C242" s="1192" t="s">
        <v>116</v>
      </c>
      <c r="D242" s="1192"/>
      <c r="E242" s="1192"/>
      <c r="F242" s="1192"/>
      <c r="G242" s="1192"/>
      <c r="H242" s="1192"/>
      <c r="I242" s="1192"/>
      <c r="J242" s="1192"/>
      <c r="K242" s="513">
        <f>SUM(K241:K241)</f>
        <v>1</v>
      </c>
      <c r="L242" s="503"/>
    </row>
    <row r="243" spans="2:12" hidden="1">
      <c r="B243" s="501"/>
      <c r="C243" s="517"/>
      <c r="D243" s="517"/>
      <c r="E243" s="517"/>
      <c r="F243" s="517"/>
      <c r="G243" s="517"/>
      <c r="H243" s="517"/>
      <c r="I243" s="517"/>
      <c r="J243" s="517"/>
      <c r="K243" s="519"/>
      <c r="L243" s="503"/>
    </row>
    <row r="244" spans="2:12" ht="31.5" hidden="1" customHeight="1">
      <c r="B244" s="497" t="str">
        <f>'[6]PLANILHA ORÇAMENTÁRIA'!D83</f>
        <v>11.13</v>
      </c>
      <c r="C244" s="1186" t="str">
        <f>'[6]PLANILHA ORÇAMENTÁRIA'!E83</f>
        <v>JOELHO 45 GRAUS, PVC, SERIE NORMAL, ESGOTO PREDIAL, DN 40 MM, JUNTA SOLDÁVEL, FORNECIDO E INSTALADO EM RAMAL DE DESCARGA OU RAMAL DE ESGOTO SANITÁRIO. AF_12/2014.</v>
      </c>
      <c r="D244" s="1186"/>
      <c r="E244" s="1186"/>
      <c r="F244" s="1186"/>
      <c r="G244" s="1186"/>
      <c r="H244" s="1186"/>
      <c r="I244" s="1186"/>
      <c r="J244" s="1186"/>
      <c r="K244" s="510" t="str">
        <f>'[6]PLANILHA ORÇAMENTÁRIA'!F83</f>
        <v>UND</v>
      </c>
      <c r="L244" s="511">
        <f>K247</f>
        <v>3</v>
      </c>
    </row>
    <row r="245" spans="2:12" hidden="1">
      <c r="B245" s="501"/>
      <c r="C245" s="1190" t="s">
        <v>20</v>
      </c>
      <c r="D245" s="1190"/>
      <c r="E245" s="1190"/>
      <c r="F245" s="512" t="s">
        <v>22</v>
      </c>
      <c r="G245" s="577" t="s">
        <v>111</v>
      </c>
      <c r="H245" s="577" t="s">
        <v>114</v>
      </c>
      <c r="I245" s="577" t="s">
        <v>113</v>
      </c>
      <c r="J245" s="577" t="s">
        <v>136</v>
      </c>
      <c r="K245" s="513" t="s">
        <v>25</v>
      </c>
      <c r="L245" s="503"/>
    </row>
    <row r="246" spans="2:12" hidden="1">
      <c r="B246" s="501"/>
      <c r="C246" s="1191"/>
      <c r="D246" s="1191"/>
      <c r="E246" s="1191"/>
      <c r="F246" s="514">
        <v>3</v>
      </c>
      <c r="G246" s="514"/>
      <c r="H246" s="514"/>
      <c r="I246" s="514"/>
      <c r="J246" s="514"/>
      <c r="K246" s="578">
        <f>F246</f>
        <v>3</v>
      </c>
      <c r="L246" s="503"/>
    </row>
    <row r="247" spans="2:12" hidden="1">
      <c r="B247" s="501"/>
      <c r="C247" s="1192" t="s">
        <v>116</v>
      </c>
      <c r="D247" s="1192"/>
      <c r="E247" s="1192"/>
      <c r="F247" s="1192"/>
      <c r="G247" s="1192"/>
      <c r="H247" s="1192"/>
      <c r="I247" s="1192"/>
      <c r="J247" s="1192"/>
      <c r="K247" s="513">
        <f>SUM(K246:K246)</f>
        <v>3</v>
      </c>
      <c r="L247" s="503"/>
    </row>
    <row r="248" spans="2:12" hidden="1">
      <c r="B248" s="493"/>
      <c r="C248" s="493"/>
      <c r="D248" s="493"/>
      <c r="E248" s="493"/>
      <c r="F248" s="493"/>
      <c r="G248" s="493"/>
      <c r="H248" s="493"/>
      <c r="I248" s="493"/>
      <c r="J248" s="493"/>
      <c r="K248" s="493"/>
      <c r="L248" s="493"/>
    </row>
    <row r="249" spans="2:12" ht="29.25" hidden="1" customHeight="1">
      <c r="B249" s="497" t="str">
        <f>'[6]PLANILHA ORÇAMENTÁRIA'!D84</f>
        <v>11.14</v>
      </c>
      <c r="C249" s="1186" t="str">
        <f>'[6]PLANILHA ORÇAMENTÁRIA'!E84</f>
        <v>JOELHO 90 GRAUS, PVC, SERIE NORMAL, ESGOTO PREDIAL, DN 40 MM, JUNTA SOLDÁVEL, FORNECIDO E INSTALADO EM RAMAL DE DESCARGA OU RAMAL DE ESGOTO SANITÁRIO. AF_12/2014.</v>
      </c>
      <c r="D249" s="1186"/>
      <c r="E249" s="1186"/>
      <c r="F249" s="1186"/>
      <c r="G249" s="1186"/>
      <c r="H249" s="1186"/>
      <c r="I249" s="1186"/>
      <c r="J249" s="1186"/>
      <c r="K249" s="510" t="str">
        <f>'[6]PLANILHA ORÇAMENTÁRIA'!F84</f>
        <v>UND</v>
      </c>
      <c r="L249" s="511">
        <f>K252</f>
        <v>3</v>
      </c>
    </row>
    <row r="250" spans="2:12" hidden="1">
      <c r="B250" s="501"/>
      <c r="C250" s="1190" t="s">
        <v>20</v>
      </c>
      <c r="D250" s="1190"/>
      <c r="E250" s="1190"/>
      <c r="F250" s="512" t="s">
        <v>22</v>
      </c>
      <c r="G250" s="577" t="s">
        <v>111</v>
      </c>
      <c r="H250" s="577" t="s">
        <v>114</v>
      </c>
      <c r="I250" s="577" t="s">
        <v>113</v>
      </c>
      <c r="J250" s="577" t="s">
        <v>136</v>
      </c>
      <c r="K250" s="513" t="s">
        <v>25</v>
      </c>
      <c r="L250" s="503"/>
    </row>
    <row r="251" spans="2:12" hidden="1">
      <c r="B251" s="501"/>
      <c r="C251" s="1191"/>
      <c r="D251" s="1191"/>
      <c r="E251" s="1191"/>
      <c r="F251" s="514">
        <v>3</v>
      </c>
      <c r="G251" s="514"/>
      <c r="H251" s="514"/>
      <c r="I251" s="514"/>
      <c r="J251" s="514"/>
      <c r="K251" s="578">
        <f>F251</f>
        <v>3</v>
      </c>
      <c r="L251" s="503"/>
    </row>
    <row r="252" spans="2:12" hidden="1">
      <c r="B252" s="501"/>
      <c r="C252" s="1192" t="s">
        <v>116</v>
      </c>
      <c r="D252" s="1192"/>
      <c r="E252" s="1192"/>
      <c r="F252" s="1192"/>
      <c r="G252" s="1192"/>
      <c r="H252" s="1192"/>
      <c r="I252" s="1192"/>
      <c r="J252" s="1192"/>
      <c r="K252" s="513">
        <f>SUM(K251:K251)</f>
        <v>3</v>
      </c>
      <c r="L252" s="503"/>
    </row>
    <row r="253" spans="2:12" hidden="1">
      <c r="B253" s="493"/>
      <c r="C253" s="493"/>
      <c r="D253" s="493"/>
      <c r="E253" s="493"/>
      <c r="F253" s="493"/>
      <c r="G253" s="493"/>
      <c r="H253" s="493"/>
      <c r="I253" s="493"/>
      <c r="J253" s="493"/>
      <c r="K253" s="493"/>
      <c r="L253" s="493"/>
    </row>
    <row r="254" spans="2:12" ht="25.5" hidden="1" customHeight="1">
      <c r="B254" s="497" t="str">
        <f>'[6]PLANILHA ORÇAMENTÁRIA'!D85</f>
        <v>11.15</v>
      </c>
      <c r="C254" s="1186" t="str">
        <f>'[6]PLANILHA ORÇAMENTÁRIA'!E85</f>
        <v>TUBO PVC, SERIE NORMAL, ESGOTO PREDIAL, DN 40 MM, FORNECIDO E INSTALADO EM RAMAL DE DESCARGA OU RAMAL DE ESGOTO SANITÁRIO. AF_12/2014.</v>
      </c>
      <c r="D254" s="1186"/>
      <c r="E254" s="1186"/>
      <c r="F254" s="1186"/>
      <c r="G254" s="1186"/>
      <c r="H254" s="1186"/>
      <c r="I254" s="1186"/>
      <c r="J254" s="1186"/>
      <c r="K254" s="510" t="str">
        <f>'[6]PLANILHA ORÇAMENTÁRIA'!F85</f>
        <v>M</v>
      </c>
      <c r="L254" s="511">
        <f>K257</f>
        <v>6</v>
      </c>
    </row>
    <row r="255" spans="2:12" hidden="1">
      <c r="B255" s="501"/>
      <c r="C255" s="1190" t="s">
        <v>20</v>
      </c>
      <c r="D255" s="1190"/>
      <c r="E255" s="1190"/>
      <c r="F255" s="512" t="s">
        <v>22</v>
      </c>
      <c r="G255" s="577" t="s">
        <v>111</v>
      </c>
      <c r="H255" s="577" t="s">
        <v>114</v>
      </c>
      <c r="I255" s="577" t="s">
        <v>113</v>
      </c>
      <c r="J255" s="577" t="s">
        <v>136</v>
      </c>
      <c r="K255" s="513" t="s">
        <v>25</v>
      </c>
      <c r="L255" s="503"/>
    </row>
    <row r="256" spans="2:12" hidden="1">
      <c r="B256" s="501"/>
      <c r="C256" s="1191"/>
      <c r="D256" s="1191"/>
      <c r="E256" s="1191"/>
      <c r="F256" s="514">
        <v>6</v>
      </c>
      <c r="G256" s="514"/>
      <c r="H256" s="514"/>
      <c r="I256" s="514"/>
      <c r="J256" s="514"/>
      <c r="K256" s="578">
        <f>F256</f>
        <v>6</v>
      </c>
      <c r="L256" s="503"/>
    </row>
    <row r="257" spans="2:12" hidden="1">
      <c r="B257" s="501"/>
      <c r="C257" s="1192" t="s">
        <v>116</v>
      </c>
      <c r="D257" s="1192"/>
      <c r="E257" s="1192"/>
      <c r="F257" s="1192"/>
      <c r="G257" s="1192"/>
      <c r="H257" s="1192"/>
      <c r="I257" s="1192"/>
      <c r="J257" s="1192"/>
      <c r="K257" s="513">
        <f>SUM(K256:K256)</f>
        <v>6</v>
      </c>
      <c r="L257" s="503"/>
    </row>
    <row r="258" spans="2:12" hidden="1">
      <c r="B258" s="493"/>
      <c r="C258" s="493"/>
      <c r="D258" s="493"/>
      <c r="E258" s="493"/>
      <c r="F258" s="493"/>
      <c r="G258" s="493"/>
      <c r="H258" s="493"/>
      <c r="I258" s="493"/>
      <c r="J258" s="493"/>
      <c r="K258" s="493"/>
      <c r="L258" s="493"/>
    </row>
    <row r="259" spans="2:12" ht="25.5" hidden="1" customHeight="1">
      <c r="B259" s="497" t="str">
        <f>'[6]PLANILHA ORÇAMENTÁRIA'!D86</f>
        <v>11.16</v>
      </c>
      <c r="C259" s="1186" t="str">
        <f>'[6]PLANILHA ORÇAMENTÁRIA'!E86</f>
        <v>LUVA SIMPLES, PVC, SERIE NORMAL, ESGOTO PREDIAL, DN 40 MM, JUNTA SOLDÁVEL, FORNECIDO E INSTALADO EM RAMAL DE DESCARGA OU RAMAL DE ESGOTO SANITÁRIO. AF_12/2014</v>
      </c>
      <c r="D259" s="1186"/>
      <c r="E259" s="1186"/>
      <c r="F259" s="1186"/>
      <c r="G259" s="1186"/>
      <c r="H259" s="1186"/>
      <c r="I259" s="1186"/>
      <c r="J259" s="1186"/>
      <c r="K259" s="510" t="str">
        <f>'[6]PLANILHA ORÇAMENTÁRIA'!F86</f>
        <v>UND</v>
      </c>
      <c r="L259" s="511">
        <f>K262</f>
        <v>3</v>
      </c>
    </row>
    <row r="260" spans="2:12" hidden="1">
      <c r="B260" s="501"/>
      <c r="C260" s="1190" t="s">
        <v>20</v>
      </c>
      <c r="D260" s="1190"/>
      <c r="E260" s="1190"/>
      <c r="F260" s="512" t="s">
        <v>22</v>
      </c>
      <c r="G260" s="577" t="s">
        <v>111</v>
      </c>
      <c r="H260" s="577" t="s">
        <v>114</v>
      </c>
      <c r="I260" s="577" t="s">
        <v>113</v>
      </c>
      <c r="J260" s="577" t="s">
        <v>136</v>
      </c>
      <c r="K260" s="513" t="s">
        <v>25</v>
      </c>
      <c r="L260" s="503"/>
    </row>
    <row r="261" spans="2:12" hidden="1">
      <c r="B261" s="501"/>
      <c r="C261" s="1191"/>
      <c r="D261" s="1191"/>
      <c r="E261" s="1191"/>
      <c r="F261" s="514">
        <v>3</v>
      </c>
      <c r="G261" s="514"/>
      <c r="H261" s="514"/>
      <c r="I261" s="514"/>
      <c r="J261" s="514"/>
      <c r="K261" s="578">
        <f>F261</f>
        <v>3</v>
      </c>
      <c r="L261" s="503"/>
    </row>
    <row r="262" spans="2:12" hidden="1">
      <c r="B262" s="501"/>
      <c r="C262" s="1192" t="s">
        <v>116</v>
      </c>
      <c r="D262" s="1192"/>
      <c r="E262" s="1192"/>
      <c r="F262" s="1192"/>
      <c r="G262" s="1192"/>
      <c r="H262" s="1192"/>
      <c r="I262" s="1192"/>
      <c r="J262" s="1192"/>
      <c r="K262" s="513">
        <f>SUM(K261:K261)</f>
        <v>3</v>
      </c>
      <c r="L262" s="503"/>
    </row>
    <row r="263" spans="2:12" hidden="1">
      <c r="B263" s="493"/>
      <c r="C263" s="493"/>
      <c r="D263" s="493"/>
      <c r="E263" s="493"/>
      <c r="F263" s="493"/>
      <c r="G263" s="493"/>
      <c r="H263" s="493"/>
      <c r="I263" s="493"/>
      <c r="J263" s="493"/>
      <c r="K263" s="493"/>
      <c r="L263" s="493"/>
    </row>
    <row r="264" spans="2:12" ht="27.75" hidden="1" customHeight="1">
      <c r="B264" s="497" t="str">
        <f>'[6]PLANILHA ORÇAMENTÁRIA'!D87</f>
        <v>11.17</v>
      </c>
      <c r="C264" s="1186" t="str">
        <f>'[6]PLANILHA ORÇAMENTÁRIA'!E87</f>
        <v>TUBO PVC, SERIE NORMAL, ESGOTO PREDIAL, DN 50 MM, FORNECIDO E INSTALADO EM RAMAL DE DESCARGA OU RAMAL DE ESGOTO SANITÁRIO. AF_12/2014.</v>
      </c>
      <c r="D264" s="1186"/>
      <c r="E264" s="1186"/>
      <c r="F264" s="1186"/>
      <c r="G264" s="1186"/>
      <c r="H264" s="1186"/>
      <c r="I264" s="1186"/>
      <c r="J264" s="1186"/>
      <c r="K264" s="510" t="str">
        <f>'[6]PLANILHA ORÇAMENTÁRIA'!F87</f>
        <v>M</v>
      </c>
      <c r="L264" s="511">
        <f>K267</f>
        <v>6</v>
      </c>
    </row>
    <row r="265" spans="2:12" hidden="1">
      <c r="B265" s="501"/>
      <c r="C265" s="1190" t="s">
        <v>20</v>
      </c>
      <c r="D265" s="1190"/>
      <c r="E265" s="1190"/>
      <c r="F265" s="512" t="s">
        <v>22</v>
      </c>
      <c r="G265" s="577" t="s">
        <v>111</v>
      </c>
      <c r="H265" s="577" t="s">
        <v>114</v>
      </c>
      <c r="I265" s="577" t="s">
        <v>113</v>
      </c>
      <c r="J265" s="577" t="s">
        <v>136</v>
      </c>
      <c r="K265" s="513" t="s">
        <v>25</v>
      </c>
      <c r="L265" s="503"/>
    </row>
    <row r="266" spans="2:12" hidden="1">
      <c r="B266" s="501"/>
      <c r="C266" s="1191"/>
      <c r="D266" s="1191"/>
      <c r="E266" s="1191"/>
      <c r="F266" s="514">
        <v>6</v>
      </c>
      <c r="G266" s="514"/>
      <c r="H266" s="514"/>
      <c r="I266" s="514"/>
      <c r="J266" s="514"/>
      <c r="K266" s="578">
        <f>F266</f>
        <v>6</v>
      </c>
      <c r="L266" s="503"/>
    </row>
    <row r="267" spans="2:12" hidden="1">
      <c r="B267" s="501"/>
      <c r="C267" s="1192" t="s">
        <v>116</v>
      </c>
      <c r="D267" s="1192"/>
      <c r="E267" s="1192"/>
      <c r="F267" s="1192"/>
      <c r="G267" s="1192"/>
      <c r="H267" s="1192"/>
      <c r="I267" s="1192"/>
      <c r="J267" s="1192"/>
      <c r="K267" s="513">
        <f>SUM(K266:K266)</f>
        <v>6</v>
      </c>
      <c r="L267" s="503"/>
    </row>
    <row r="268" spans="2:12" hidden="1">
      <c r="B268" s="493"/>
      <c r="C268" s="493"/>
      <c r="D268" s="493"/>
      <c r="E268" s="493"/>
      <c r="F268" s="493"/>
      <c r="G268" s="493"/>
      <c r="H268" s="493"/>
      <c r="I268" s="493"/>
      <c r="J268" s="493"/>
      <c r="K268" s="493"/>
      <c r="L268" s="493"/>
    </row>
    <row r="269" spans="2:12" ht="27" hidden="1" customHeight="1">
      <c r="B269" s="497" t="str">
        <f>'[6]PLANILHA ORÇAMENTÁRIA'!D88</f>
        <v>11.18</v>
      </c>
      <c r="C269" s="1186" t="str">
        <f>'[6]PLANILHA ORÇAMENTÁRIA'!E88</f>
        <v>JOELHO 45 GRAUS, PVC, SERIE NORMAL, ESGOTO PREDIAL, DN 100 MM, JUNTA ELÁSTICA, FORNECIDO E INSTALADO EM RAMAL DE DESCARGA OU RAMAL DE ESGOTO SANITÁRIO. AF_12/2014.</v>
      </c>
      <c r="D269" s="1186"/>
      <c r="E269" s="1186"/>
      <c r="F269" s="1186"/>
      <c r="G269" s="1186"/>
      <c r="H269" s="1186"/>
      <c r="I269" s="1186"/>
      <c r="J269" s="1186"/>
      <c r="K269" s="510" t="str">
        <f>'[6]PLANILHA ORÇAMENTÁRIA'!F88</f>
        <v>UND</v>
      </c>
      <c r="L269" s="511">
        <f>K272</f>
        <v>2</v>
      </c>
    </row>
    <row r="270" spans="2:12" hidden="1">
      <c r="B270" s="501"/>
      <c r="C270" s="1190" t="s">
        <v>20</v>
      </c>
      <c r="D270" s="1190"/>
      <c r="E270" s="1190"/>
      <c r="F270" s="512" t="s">
        <v>22</v>
      </c>
      <c r="G270" s="577" t="s">
        <v>111</v>
      </c>
      <c r="H270" s="577" t="s">
        <v>114</v>
      </c>
      <c r="I270" s="577" t="s">
        <v>113</v>
      </c>
      <c r="J270" s="577" t="s">
        <v>136</v>
      </c>
      <c r="K270" s="513" t="s">
        <v>25</v>
      </c>
      <c r="L270" s="503"/>
    </row>
    <row r="271" spans="2:12" hidden="1">
      <c r="B271" s="501"/>
      <c r="C271" s="1191"/>
      <c r="D271" s="1191"/>
      <c r="E271" s="1191"/>
      <c r="F271" s="514">
        <v>2</v>
      </c>
      <c r="G271" s="514"/>
      <c r="H271" s="514"/>
      <c r="I271" s="514"/>
      <c r="J271" s="514"/>
      <c r="K271" s="578">
        <f>F271</f>
        <v>2</v>
      </c>
      <c r="L271" s="503"/>
    </row>
    <row r="272" spans="2:12" hidden="1">
      <c r="B272" s="501"/>
      <c r="C272" s="1192" t="s">
        <v>116</v>
      </c>
      <c r="D272" s="1192"/>
      <c r="E272" s="1192"/>
      <c r="F272" s="1192"/>
      <c r="G272" s="1192"/>
      <c r="H272" s="1192"/>
      <c r="I272" s="1192"/>
      <c r="J272" s="1192"/>
      <c r="K272" s="513">
        <f>SUM(K271:K271)</f>
        <v>2</v>
      </c>
      <c r="L272" s="503"/>
    </row>
    <row r="273" spans="2:12" hidden="1">
      <c r="B273" s="493"/>
      <c r="C273" s="493"/>
      <c r="D273" s="493"/>
      <c r="E273" s="493"/>
      <c r="F273" s="493"/>
      <c r="G273" s="493"/>
      <c r="H273" s="493"/>
      <c r="I273" s="493"/>
      <c r="J273" s="493"/>
      <c r="K273" s="493"/>
      <c r="L273" s="493"/>
    </row>
    <row r="274" spans="2:12" ht="25.5" hidden="1" customHeight="1">
      <c r="B274" s="497" t="str">
        <f>'[6]PLANILHA ORÇAMENTÁRIA'!D89</f>
        <v>11.19</v>
      </c>
      <c r="C274" s="1186" t="str">
        <f>'[6]PLANILHA ORÇAMENTÁRIA'!E89</f>
        <v>JOELHO 90 GRAUS, PVC, SERIE NORMAL, ESGOTO PREDIAL, DN 100 MM, JUNTA ELÁSTICA, FORNECIDO E INSTALADO EM RAMAL DE DESCARGA OU RAMAL DE ESGOTO SANITÁRIO. AF_12/2014.</v>
      </c>
      <c r="D274" s="1186"/>
      <c r="E274" s="1186"/>
      <c r="F274" s="1186"/>
      <c r="G274" s="1186"/>
      <c r="H274" s="1186"/>
      <c r="I274" s="1186"/>
      <c r="J274" s="1186"/>
      <c r="K274" s="510" t="str">
        <f>'[6]PLANILHA ORÇAMENTÁRIA'!F89</f>
        <v>UND</v>
      </c>
      <c r="L274" s="511">
        <f>K277</f>
        <v>2</v>
      </c>
    </row>
    <row r="275" spans="2:12" hidden="1">
      <c r="B275" s="501"/>
      <c r="C275" s="1190" t="s">
        <v>20</v>
      </c>
      <c r="D275" s="1190"/>
      <c r="E275" s="1190"/>
      <c r="F275" s="512" t="s">
        <v>22</v>
      </c>
      <c r="G275" s="577" t="s">
        <v>111</v>
      </c>
      <c r="H275" s="577" t="s">
        <v>114</v>
      </c>
      <c r="I275" s="577" t="s">
        <v>113</v>
      </c>
      <c r="J275" s="577" t="s">
        <v>136</v>
      </c>
      <c r="K275" s="513" t="s">
        <v>25</v>
      </c>
      <c r="L275" s="503"/>
    </row>
    <row r="276" spans="2:12" hidden="1">
      <c r="B276" s="501"/>
      <c r="C276" s="1191"/>
      <c r="D276" s="1191"/>
      <c r="E276" s="1191"/>
      <c r="F276" s="514">
        <v>2</v>
      </c>
      <c r="G276" s="514"/>
      <c r="H276" s="514"/>
      <c r="I276" s="514"/>
      <c r="J276" s="514"/>
      <c r="K276" s="578">
        <f>F276</f>
        <v>2</v>
      </c>
      <c r="L276" s="503"/>
    </row>
    <row r="277" spans="2:12" hidden="1">
      <c r="B277" s="501"/>
      <c r="C277" s="1192" t="s">
        <v>116</v>
      </c>
      <c r="D277" s="1192"/>
      <c r="E277" s="1192"/>
      <c r="F277" s="1192"/>
      <c r="G277" s="1192"/>
      <c r="H277" s="1192"/>
      <c r="I277" s="1192"/>
      <c r="J277" s="1192"/>
      <c r="K277" s="513">
        <f>SUM(K276:K276)</f>
        <v>2</v>
      </c>
      <c r="L277" s="503"/>
    </row>
    <row r="278" spans="2:12" hidden="1">
      <c r="B278" s="493"/>
      <c r="C278" s="493"/>
      <c r="D278" s="493"/>
      <c r="E278" s="493"/>
      <c r="F278" s="493"/>
      <c r="G278" s="493"/>
      <c r="H278" s="493"/>
      <c r="I278" s="493"/>
      <c r="J278" s="493"/>
      <c r="K278" s="493"/>
      <c r="L278" s="493"/>
    </row>
    <row r="279" spans="2:12" ht="25.5" hidden="1" customHeight="1">
      <c r="B279" s="497" t="str">
        <f>'[6]PLANILHA ORÇAMENTÁRIA'!D90</f>
        <v>11.20</v>
      </c>
      <c r="C279" s="1186" t="str">
        <f>'[6]PLANILHA ORÇAMENTÁRIA'!E90</f>
        <v>TUBO PVC, SERIE NORMAL, ESGOTO PREDIAL, DN 100 MM, FORNECIDO E INSTALADO EM RAMAL DE DESCARGA OU RAMAL DE ESGOTO SANITÁRIO. AF_12/2014</v>
      </c>
      <c r="D279" s="1186"/>
      <c r="E279" s="1186"/>
      <c r="F279" s="1186"/>
      <c r="G279" s="1186"/>
      <c r="H279" s="1186"/>
      <c r="I279" s="1186"/>
      <c r="J279" s="1186"/>
      <c r="K279" s="510" t="str">
        <f>'[6]PLANILHA ORÇAMENTÁRIA'!F90</f>
        <v>M</v>
      </c>
      <c r="L279" s="511">
        <f>K282</f>
        <v>12</v>
      </c>
    </row>
    <row r="280" spans="2:12" hidden="1">
      <c r="B280" s="501"/>
      <c r="C280" s="1190" t="s">
        <v>20</v>
      </c>
      <c r="D280" s="1190"/>
      <c r="E280" s="1190"/>
      <c r="F280" s="512" t="s">
        <v>22</v>
      </c>
      <c r="G280" s="577" t="s">
        <v>111</v>
      </c>
      <c r="H280" s="577" t="s">
        <v>114</v>
      </c>
      <c r="I280" s="577" t="s">
        <v>113</v>
      </c>
      <c r="J280" s="577" t="s">
        <v>136</v>
      </c>
      <c r="K280" s="513" t="s">
        <v>25</v>
      </c>
      <c r="L280" s="503"/>
    </row>
    <row r="281" spans="2:12" hidden="1">
      <c r="B281" s="501"/>
      <c r="C281" s="1191"/>
      <c r="D281" s="1191"/>
      <c r="E281" s="1191"/>
      <c r="F281" s="514">
        <v>12</v>
      </c>
      <c r="G281" s="514"/>
      <c r="H281" s="514"/>
      <c r="I281" s="514"/>
      <c r="J281" s="514"/>
      <c r="K281" s="578">
        <f>F281</f>
        <v>12</v>
      </c>
      <c r="L281" s="503"/>
    </row>
    <row r="282" spans="2:12" hidden="1">
      <c r="B282" s="501"/>
      <c r="C282" s="1192" t="s">
        <v>116</v>
      </c>
      <c r="D282" s="1192"/>
      <c r="E282" s="1192"/>
      <c r="F282" s="1192"/>
      <c r="G282" s="1192"/>
      <c r="H282" s="1192"/>
      <c r="I282" s="1192"/>
      <c r="J282" s="1192"/>
      <c r="K282" s="513">
        <f>SUM(K281:K281)</f>
        <v>12</v>
      </c>
      <c r="L282" s="503"/>
    </row>
    <row r="283" spans="2:12" hidden="1">
      <c r="B283" s="493"/>
      <c r="C283" s="493"/>
      <c r="D283" s="493"/>
      <c r="E283" s="493"/>
      <c r="F283" s="493"/>
      <c r="G283" s="493"/>
      <c r="H283" s="493"/>
      <c r="I283" s="493"/>
      <c r="J283" s="493"/>
      <c r="K283" s="493"/>
      <c r="L283" s="493"/>
    </row>
    <row r="284" spans="2:12" ht="24" hidden="1" customHeight="1">
      <c r="B284" s="497" t="str">
        <f>'[6]PLANILHA ORÇAMENTÁRIA'!D91</f>
        <v>11.21</v>
      </c>
      <c r="C284" s="1186" t="str">
        <f>'[6]PLANILHA ORÇAMENTÁRIA'!E91</f>
        <v>LUVA SIMPLES, PVC, SERIE NORMAL, ESGOTO PREDIAL, DN 100 MM, JUNTA ELÁSTICA, FORNECIDO E INSTALADO EM RAMAL DE DESCARGA OU RAMAL DE ESGOTO SANITÁRIO. AF_12/2014</v>
      </c>
      <c r="D284" s="1186"/>
      <c r="E284" s="1186"/>
      <c r="F284" s="1186"/>
      <c r="G284" s="1186"/>
      <c r="H284" s="1186"/>
      <c r="I284" s="1186"/>
      <c r="J284" s="1186"/>
      <c r="K284" s="510" t="str">
        <f>'[6]PLANILHA ORÇAMENTÁRIA'!F91</f>
        <v>UND</v>
      </c>
      <c r="L284" s="511">
        <f>K287</f>
        <v>2</v>
      </c>
    </row>
    <row r="285" spans="2:12" hidden="1">
      <c r="B285" s="501"/>
      <c r="C285" s="1190" t="s">
        <v>20</v>
      </c>
      <c r="D285" s="1190"/>
      <c r="E285" s="1190"/>
      <c r="F285" s="512" t="s">
        <v>22</v>
      </c>
      <c r="G285" s="577" t="s">
        <v>111</v>
      </c>
      <c r="H285" s="577" t="s">
        <v>114</v>
      </c>
      <c r="I285" s="577" t="s">
        <v>113</v>
      </c>
      <c r="J285" s="577" t="s">
        <v>136</v>
      </c>
      <c r="K285" s="513" t="s">
        <v>25</v>
      </c>
      <c r="L285" s="503"/>
    </row>
    <row r="286" spans="2:12" hidden="1">
      <c r="B286" s="501"/>
      <c r="C286" s="1191"/>
      <c r="D286" s="1191"/>
      <c r="E286" s="1191"/>
      <c r="F286" s="514">
        <v>2</v>
      </c>
      <c r="G286" s="514"/>
      <c r="H286" s="514"/>
      <c r="I286" s="514"/>
      <c r="J286" s="514"/>
      <c r="K286" s="578">
        <f>F286</f>
        <v>2</v>
      </c>
      <c r="L286" s="503"/>
    </row>
    <row r="287" spans="2:12" hidden="1">
      <c r="B287" s="501"/>
      <c r="C287" s="1192" t="s">
        <v>116</v>
      </c>
      <c r="D287" s="1192"/>
      <c r="E287" s="1192"/>
      <c r="F287" s="1192"/>
      <c r="G287" s="1192"/>
      <c r="H287" s="1192"/>
      <c r="I287" s="1192"/>
      <c r="J287" s="1192"/>
      <c r="K287" s="513">
        <f>SUM(K286:K286)</f>
        <v>2</v>
      </c>
      <c r="L287" s="503"/>
    </row>
    <row r="288" spans="2:12" hidden="1">
      <c r="B288" s="493"/>
      <c r="C288" s="493"/>
      <c r="D288" s="493"/>
      <c r="E288" s="493"/>
      <c r="F288" s="493"/>
      <c r="G288" s="493"/>
      <c r="H288" s="493"/>
      <c r="I288" s="493"/>
      <c r="J288" s="493"/>
      <c r="K288" s="493"/>
      <c r="L288" s="493"/>
    </row>
    <row r="289" spans="2:12" ht="46.5" hidden="1" customHeight="1">
      <c r="B289" s="497" t="str">
        <f>'[6]PLANILHA ORÇAMENTÁRIA'!D92</f>
        <v>11.22</v>
      </c>
      <c r="C289" s="1186" t="str">
        <f>'[6]PLANILHA ORÇAMENTÁRIA'!E92</f>
        <v>COLETOR PREDIAL DE ESGOTO, DA CAIXA ATÉ A REDE (DISTÂNCIA = 8 M, LARGURA DA VALA = 0,65 M), INCLUINDO ESCAVAÇÃO MECANIZADA, PREPARO DE FUNDO DE VALA E REATERRO COM COMPACTAÇÃO MECANIZADA, TUBO PVC P/ REDE COLETORA ESGOTO JEI DN 100 MM E CONEXÕES - FORNECIMENTO E INSTALAÇÃO. AF_03/2016</v>
      </c>
      <c r="D289" s="1186"/>
      <c r="E289" s="1186"/>
      <c r="F289" s="1186"/>
      <c r="G289" s="1186"/>
      <c r="H289" s="1186"/>
      <c r="I289" s="1186"/>
      <c r="J289" s="1186"/>
      <c r="K289" s="510" t="str">
        <f>'[6]PLANILHA ORÇAMENTÁRIA'!F92</f>
        <v>UND</v>
      </c>
      <c r="L289" s="511">
        <f>K292</f>
        <v>1</v>
      </c>
    </row>
    <row r="290" spans="2:12" hidden="1">
      <c r="B290" s="501"/>
      <c r="C290" s="1190" t="s">
        <v>20</v>
      </c>
      <c r="D290" s="1190"/>
      <c r="E290" s="1190"/>
      <c r="F290" s="512" t="s">
        <v>22</v>
      </c>
      <c r="G290" s="577" t="s">
        <v>111</v>
      </c>
      <c r="H290" s="577" t="s">
        <v>114</v>
      </c>
      <c r="I290" s="577" t="s">
        <v>113</v>
      </c>
      <c r="J290" s="577" t="s">
        <v>136</v>
      </c>
      <c r="K290" s="513" t="s">
        <v>25</v>
      </c>
      <c r="L290" s="503"/>
    </row>
    <row r="291" spans="2:12" hidden="1">
      <c r="B291" s="501"/>
      <c r="C291" s="1191"/>
      <c r="D291" s="1191"/>
      <c r="E291" s="1191"/>
      <c r="F291" s="514">
        <v>1</v>
      </c>
      <c r="G291" s="514"/>
      <c r="H291" s="514"/>
      <c r="I291" s="514"/>
      <c r="J291" s="514"/>
      <c r="K291" s="578">
        <f>F291</f>
        <v>1</v>
      </c>
      <c r="L291" s="503"/>
    </row>
    <row r="292" spans="2:12" hidden="1">
      <c r="B292" s="501"/>
      <c r="C292" s="1192" t="s">
        <v>116</v>
      </c>
      <c r="D292" s="1192"/>
      <c r="E292" s="1192"/>
      <c r="F292" s="1192"/>
      <c r="G292" s="1192"/>
      <c r="H292" s="1192"/>
      <c r="I292" s="1192"/>
      <c r="J292" s="1192"/>
      <c r="K292" s="513">
        <f>SUM(K291:K291)</f>
        <v>1</v>
      </c>
      <c r="L292" s="503"/>
    </row>
    <row r="293" spans="2:12" hidden="1">
      <c r="B293" s="493"/>
      <c r="C293" s="493"/>
      <c r="D293" s="493"/>
      <c r="E293" s="493"/>
      <c r="F293" s="493"/>
      <c r="G293" s="493"/>
      <c r="H293" s="493"/>
      <c r="I293" s="493"/>
      <c r="J293" s="493"/>
      <c r="K293" s="493"/>
      <c r="L293" s="493"/>
    </row>
    <row r="294" spans="2:12" hidden="1">
      <c r="B294" s="501" t="str">
        <f>'[6]PLANILHA ORÇAMENTÁRIA'!D93</f>
        <v>12.0</v>
      </c>
      <c r="C294" s="1193" t="str">
        <f>'[6]PLANILHA ORÇAMENTÁRIA'!E93</f>
        <v>INSTALAÇÕES ELÉTRICAS</v>
      </c>
      <c r="D294" s="1193"/>
      <c r="E294" s="1193"/>
      <c r="F294" s="1193"/>
      <c r="G294" s="1193"/>
      <c r="H294" s="1193"/>
      <c r="I294" s="1193"/>
      <c r="J294" s="1193"/>
      <c r="K294" s="497"/>
      <c r="L294" s="497"/>
    </row>
    <row r="295" spans="2:12" ht="27.75" hidden="1" customHeight="1">
      <c r="B295" s="497" t="str">
        <f>'[6]PLANILHA ORÇAMENTÁRIA'!D94</f>
        <v>12.1</v>
      </c>
      <c r="C295" s="1186" t="str">
        <f>'[6]PLANILHA ORÇAMENTÁRIA'!E94</f>
        <v>PONTO DE ILUMINAÇÃO RESIDENCIAL INCLUINDO INTERRUPTOR SIMPLES, CAIXA ELÉTRICA, ELETRODUTO, CABO, RASGO, QUEBRA E CHUMBAMENTO (EXCLUINDO LUMINÁRIA E LÂMPADA). AF_01/2016</v>
      </c>
      <c r="D295" s="1186"/>
      <c r="E295" s="1186"/>
      <c r="F295" s="1186"/>
      <c r="G295" s="1186"/>
      <c r="H295" s="1186"/>
      <c r="I295" s="1186"/>
      <c r="J295" s="1186"/>
      <c r="K295" s="510" t="str">
        <f>'[6]PLANILHA ORÇAMENTÁRIA'!F94</f>
        <v>UND</v>
      </c>
      <c r="L295" s="511">
        <f>K298</f>
        <v>7</v>
      </c>
    </row>
    <row r="296" spans="2:12" hidden="1">
      <c r="B296" s="501"/>
      <c r="C296" s="1190" t="s">
        <v>20</v>
      </c>
      <c r="D296" s="1190"/>
      <c r="E296" s="1190"/>
      <c r="F296" s="512" t="s">
        <v>22</v>
      </c>
      <c r="G296" s="577" t="s">
        <v>111</v>
      </c>
      <c r="H296" s="577" t="s">
        <v>114</v>
      </c>
      <c r="I296" s="577" t="s">
        <v>113</v>
      </c>
      <c r="J296" s="577" t="s">
        <v>136</v>
      </c>
      <c r="K296" s="513" t="s">
        <v>25</v>
      </c>
      <c r="L296" s="503"/>
    </row>
    <row r="297" spans="2:12" hidden="1">
      <c r="B297" s="501"/>
      <c r="C297" s="1191"/>
      <c r="D297" s="1191"/>
      <c r="E297" s="1191"/>
      <c r="F297" s="514">
        <f>'[6]PLANILHA ORÇAMENTÁRIA'!G94</f>
        <v>7</v>
      </c>
      <c r="G297" s="514"/>
      <c r="H297" s="514"/>
      <c r="I297" s="514"/>
      <c r="J297" s="514"/>
      <c r="K297" s="578">
        <f>F297</f>
        <v>7</v>
      </c>
      <c r="L297" s="503"/>
    </row>
    <row r="298" spans="2:12" hidden="1">
      <c r="B298" s="501"/>
      <c r="C298" s="1192" t="s">
        <v>116</v>
      </c>
      <c r="D298" s="1192"/>
      <c r="E298" s="1192"/>
      <c r="F298" s="1192"/>
      <c r="G298" s="1192"/>
      <c r="H298" s="1192"/>
      <c r="I298" s="1192"/>
      <c r="J298" s="1192"/>
      <c r="K298" s="513">
        <f>SUM(K297:K297)</f>
        <v>7</v>
      </c>
      <c r="L298" s="503"/>
    </row>
    <row r="299" spans="2:12" hidden="1">
      <c r="B299" s="526"/>
      <c r="C299" s="526"/>
      <c r="D299" s="526"/>
      <c r="E299" s="526"/>
      <c r="F299" s="526"/>
      <c r="G299" s="526"/>
      <c r="H299" s="526"/>
      <c r="I299" s="526"/>
      <c r="J299" s="526"/>
      <c r="K299" s="526"/>
      <c r="L299" s="526"/>
    </row>
    <row r="300" spans="2:12" ht="29.25" hidden="1" customHeight="1">
      <c r="B300" s="497" t="str">
        <f>'[6]PLANILHA ORÇAMENTÁRIA'!D95</f>
        <v>12.2</v>
      </c>
      <c r="C300" s="1186" t="str">
        <f>'[6]PLANILHA ORÇAMENTÁRIA'!E95</f>
        <v>PONTO DE TOMADA RESIDENCIAL INCLUINDO TOMADA (2 MÓDULOS) 10A/250V, CAIXA ELÉTRICA, ELETRODUTO, CABO, RASGO, QUEBRA E CHUMBAMENTO. AF_01/2016</v>
      </c>
      <c r="D300" s="1186"/>
      <c r="E300" s="1186"/>
      <c r="F300" s="1186"/>
      <c r="G300" s="1186"/>
      <c r="H300" s="1186"/>
      <c r="I300" s="1186"/>
      <c r="J300" s="1186"/>
      <c r="K300" s="510" t="str">
        <f>'[6]PLANILHA ORÇAMENTÁRIA'!F95</f>
        <v>UND</v>
      </c>
      <c r="L300" s="511">
        <f>K303</f>
        <v>3</v>
      </c>
    </row>
    <row r="301" spans="2:12" hidden="1">
      <c r="B301" s="501"/>
      <c r="C301" s="1190" t="s">
        <v>20</v>
      </c>
      <c r="D301" s="1190"/>
      <c r="E301" s="1190"/>
      <c r="F301" s="512" t="s">
        <v>22</v>
      </c>
      <c r="G301" s="577" t="s">
        <v>111</v>
      </c>
      <c r="H301" s="577" t="s">
        <v>114</v>
      </c>
      <c r="I301" s="577" t="s">
        <v>113</v>
      </c>
      <c r="J301" s="577" t="s">
        <v>136</v>
      </c>
      <c r="K301" s="513" t="s">
        <v>25</v>
      </c>
      <c r="L301" s="503"/>
    </row>
    <row r="302" spans="2:12" hidden="1">
      <c r="B302" s="501"/>
      <c r="C302" s="1191"/>
      <c r="D302" s="1191"/>
      <c r="E302" s="1191"/>
      <c r="F302" s="514">
        <f>'[6]PLANILHA ORÇAMENTÁRIA'!G95</f>
        <v>3</v>
      </c>
      <c r="G302" s="514"/>
      <c r="H302" s="514"/>
      <c r="I302" s="514"/>
      <c r="J302" s="514"/>
      <c r="K302" s="578">
        <f>F302</f>
        <v>3</v>
      </c>
      <c r="L302" s="503"/>
    </row>
    <row r="303" spans="2:12" hidden="1">
      <c r="B303" s="501"/>
      <c r="C303" s="1192" t="s">
        <v>116</v>
      </c>
      <c r="D303" s="1192"/>
      <c r="E303" s="1192"/>
      <c r="F303" s="1192"/>
      <c r="G303" s="1192"/>
      <c r="H303" s="1192"/>
      <c r="I303" s="1192"/>
      <c r="J303" s="1192"/>
      <c r="K303" s="513">
        <f>SUM(K302:K302)</f>
        <v>3</v>
      </c>
      <c r="L303" s="503"/>
    </row>
    <row r="304" spans="2:12" hidden="1">
      <c r="B304" s="526"/>
      <c r="C304" s="526"/>
      <c r="D304" s="526"/>
      <c r="E304" s="526"/>
      <c r="F304" s="526"/>
      <c r="G304" s="526"/>
      <c r="H304" s="526"/>
      <c r="I304" s="526"/>
      <c r="J304" s="526"/>
      <c r="K304" s="526"/>
      <c r="L304" s="526"/>
    </row>
    <row r="305" spans="2:12" ht="27.75" hidden="1" customHeight="1">
      <c r="B305" s="497" t="str">
        <f>'[6]PLANILHA ORÇAMENTÁRIA'!D96</f>
        <v>12.3</v>
      </c>
      <c r="C305" s="1186" t="str">
        <f>'[6]PLANILHA ORÇAMENTÁRIA'!E96</f>
        <v>POSTE DE ACO CONICO CONTINUO CURVO DUPLO, FLANGEADO, COM JANELA DE INSPECAO H=9M - FORNECIMENTO E INSTALACAO</v>
      </c>
      <c r="D305" s="1186"/>
      <c r="E305" s="1186"/>
      <c r="F305" s="1186"/>
      <c r="G305" s="1186"/>
      <c r="H305" s="1186"/>
      <c r="I305" s="1186"/>
      <c r="J305" s="1186"/>
      <c r="K305" s="510" t="str">
        <f>'[6]PLANILHA ORÇAMENTÁRIA'!F96</f>
        <v>UND</v>
      </c>
      <c r="L305" s="511">
        <f>K308</f>
        <v>4</v>
      </c>
    </row>
    <row r="306" spans="2:12" hidden="1">
      <c r="B306" s="501"/>
      <c r="C306" s="1190" t="s">
        <v>20</v>
      </c>
      <c r="D306" s="1190"/>
      <c r="E306" s="1190"/>
      <c r="F306" s="512" t="s">
        <v>22</v>
      </c>
      <c r="G306" s="577" t="s">
        <v>111</v>
      </c>
      <c r="H306" s="577" t="s">
        <v>114</v>
      </c>
      <c r="I306" s="577" t="s">
        <v>113</v>
      </c>
      <c r="J306" s="577" t="s">
        <v>136</v>
      </c>
      <c r="K306" s="513" t="s">
        <v>25</v>
      </c>
      <c r="L306" s="503"/>
    </row>
    <row r="307" spans="2:12" hidden="1">
      <c r="B307" s="501"/>
      <c r="C307" s="1191"/>
      <c r="D307" s="1191"/>
      <c r="E307" s="1191"/>
      <c r="F307" s="514">
        <f>'[6]PLANILHA ORÇAMENTÁRIA'!G96</f>
        <v>4</v>
      </c>
      <c r="G307" s="514"/>
      <c r="H307" s="514"/>
      <c r="I307" s="514"/>
      <c r="J307" s="514"/>
      <c r="K307" s="578">
        <f>F307</f>
        <v>4</v>
      </c>
      <c r="L307" s="503"/>
    </row>
    <row r="308" spans="2:12" hidden="1">
      <c r="B308" s="501"/>
      <c r="C308" s="1192" t="s">
        <v>116</v>
      </c>
      <c r="D308" s="1192"/>
      <c r="E308" s="1192"/>
      <c r="F308" s="1192"/>
      <c r="G308" s="1192"/>
      <c r="H308" s="1192"/>
      <c r="I308" s="1192"/>
      <c r="J308" s="1192"/>
      <c r="K308" s="513">
        <f>SUM(K307:K307)</f>
        <v>4</v>
      </c>
      <c r="L308" s="503"/>
    </row>
    <row r="309" spans="2:12" hidden="1">
      <c r="B309" s="526"/>
      <c r="C309" s="526"/>
      <c r="D309" s="526"/>
      <c r="E309" s="526"/>
      <c r="F309" s="526"/>
      <c r="G309" s="526"/>
      <c r="H309" s="526"/>
      <c r="I309" s="526"/>
      <c r="J309" s="526"/>
      <c r="K309" s="526"/>
      <c r="L309" s="526"/>
    </row>
    <row r="310" spans="2:12" ht="42.75" hidden="1" customHeight="1">
      <c r="B310" s="497" t="str">
        <f>'[6]PLANILHA ORÇAMENTÁRIA'!D97</f>
        <v>12.4</v>
      </c>
      <c r="C310" s="1186" t="str">
        <f>'[6]PLANILHA ORÇAMENTÁRIA'!E97</f>
        <v>QUADRO DE DISTRIBUICAO DE ENERGIA DE EMBUTIR, EM CHAPA METALICA, PARA 18 DISJUNTORES TERMOMAGNETICOS MONOPOLARES, COM BARRAMENTO TRIFASICO E NEUTRO, FORNECIMENTO E INSTALACAO</v>
      </c>
      <c r="D310" s="1186"/>
      <c r="E310" s="1186"/>
      <c r="F310" s="1186"/>
      <c r="G310" s="1186"/>
      <c r="H310" s="1186"/>
      <c r="I310" s="1186"/>
      <c r="J310" s="1186"/>
      <c r="K310" s="510" t="str">
        <f>'[6]PLANILHA ORÇAMENTÁRIA'!F97</f>
        <v>UND</v>
      </c>
      <c r="L310" s="511">
        <f>K313</f>
        <v>1</v>
      </c>
    </row>
    <row r="311" spans="2:12" hidden="1">
      <c r="B311" s="501"/>
      <c r="C311" s="1190" t="s">
        <v>20</v>
      </c>
      <c r="D311" s="1190"/>
      <c r="E311" s="1190"/>
      <c r="F311" s="512" t="s">
        <v>22</v>
      </c>
      <c r="G311" s="577" t="s">
        <v>111</v>
      </c>
      <c r="H311" s="577" t="s">
        <v>114</v>
      </c>
      <c r="I311" s="577" t="s">
        <v>113</v>
      </c>
      <c r="J311" s="577" t="s">
        <v>136</v>
      </c>
      <c r="K311" s="513" t="s">
        <v>25</v>
      </c>
      <c r="L311" s="503"/>
    </row>
    <row r="312" spans="2:12" hidden="1">
      <c r="B312" s="501"/>
      <c r="C312" s="1191"/>
      <c r="D312" s="1191"/>
      <c r="E312" s="1191"/>
      <c r="F312" s="514">
        <f>'[6]PLANILHA ORÇAMENTÁRIA'!G97</f>
        <v>1</v>
      </c>
      <c r="G312" s="514"/>
      <c r="H312" s="514"/>
      <c r="I312" s="514"/>
      <c r="J312" s="514"/>
      <c r="K312" s="578">
        <f>F312</f>
        <v>1</v>
      </c>
      <c r="L312" s="503"/>
    </row>
    <row r="313" spans="2:12" hidden="1">
      <c r="B313" s="501"/>
      <c r="C313" s="1192" t="s">
        <v>116</v>
      </c>
      <c r="D313" s="1192"/>
      <c r="E313" s="1192"/>
      <c r="F313" s="1192"/>
      <c r="G313" s="1192"/>
      <c r="H313" s="1192"/>
      <c r="I313" s="1192"/>
      <c r="J313" s="1192"/>
      <c r="K313" s="513">
        <f>SUM(K312:K312)</f>
        <v>1</v>
      </c>
      <c r="L313" s="503"/>
    </row>
    <row r="314" spans="2:12" hidden="1">
      <c r="B314" s="526"/>
      <c r="C314" s="526"/>
      <c r="D314" s="526"/>
      <c r="E314" s="526"/>
      <c r="F314" s="526"/>
      <c r="G314" s="526"/>
      <c r="H314" s="526"/>
      <c r="I314" s="526"/>
      <c r="J314" s="526"/>
      <c r="K314" s="526"/>
      <c r="L314" s="526"/>
    </row>
    <row r="315" spans="2:12" ht="28.5" hidden="1" customHeight="1">
      <c r="B315" s="497" t="str">
        <f>'[6]PLANILHA ORÇAMENTÁRIA'!D98</f>
        <v>12.5</v>
      </c>
      <c r="C315" s="1186" t="str">
        <f>'[6]PLANILHA ORÇAMENTÁRIA'!E98</f>
        <v>DISJUNTOR TERMOMAGNETICO MONOPOLAR PADRAO NEMA (AMERICANO) 10 A 30A 240V, FORNECIMENTO E INSTALACAO</v>
      </c>
      <c r="D315" s="1186"/>
      <c r="E315" s="1186"/>
      <c r="F315" s="1186"/>
      <c r="G315" s="1186"/>
      <c r="H315" s="1186"/>
      <c r="I315" s="1186"/>
      <c r="J315" s="1186"/>
      <c r="K315" s="510" t="str">
        <f>'[6]PLANILHA ORÇAMENTÁRIA'!F98</f>
        <v>UND</v>
      </c>
      <c r="L315" s="511">
        <f>K318</f>
        <v>3</v>
      </c>
    </row>
    <row r="316" spans="2:12" hidden="1">
      <c r="B316" s="501"/>
      <c r="C316" s="1190" t="s">
        <v>20</v>
      </c>
      <c r="D316" s="1190"/>
      <c r="E316" s="1190"/>
      <c r="F316" s="512" t="s">
        <v>22</v>
      </c>
      <c r="G316" s="577" t="s">
        <v>111</v>
      </c>
      <c r="H316" s="577" t="s">
        <v>114</v>
      </c>
      <c r="I316" s="577" t="s">
        <v>113</v>
      </c>
      <c r="J316" s="577" t="s">
        <v>136</v>
      </c>
      <c r="K316" s="513" t="s">
        <v>25</v>
      </c>
      <c r="L316" s="503"/>
    </row>
    <row r="317" spans="2:12" hidden="1">
      <c r="B317" s="501"/>
      <c r="C317" s="1191"/>
      <c r="D317" s="1191"/>
      <c r="E317" s="1191"/>
      <c r="F317" s="514">
        <f>'[6]PLANILHA ORÇAMENTÁRIA'!G98</f>
        <v>3</v>
      </c>
      <c r="G317" s="514"/>
      <c r="H317" s="514"/>
      <c r="I317" s="514"/>
      <c r="J317" s="514"/>
      <c r="K317" s="578">
        <f>F317</f>
        <v>3</v>
      </c>
      <c r="L317" s="503"/>
    </row>
    <row r="318" spans="2:12" hidden="1">
      <c r="B318" s="501"/>
      <c r="C318" s="1192" t="s">
        <v>116</v>
      </c>
      <c r="D318" s="1192"/>
      <c r="E318" s="1192"/>
      <c r="F318" s="1192"/>
      <c r="G318" s="1192"/>
      <c r="H318" s="1192"/>
      <c r="I318" s="1192"/>
      <c r="J318" s="1192"/>
      <c r="K318" s="513">
        <f>SUM(K317:K317)</f>
        <v>3</v>
      </c>
      <c r="L318" s="503"/>
    </row>
    <row r="319" spans="2:12" hidden="1">
      <c r="B319" s="501"/>
      <c r="C319" s="517"/>
      <c r="D319" s="517"/>
      <c r="E319" s="517"/>
      <c r="F319" s="517"/>
      <c r="G319" s="517"/>
      <c r="H319" s="517"/>
      <c r="I319" s="517"/>
      <c r="J319" s="517"/>
      <c r="K319" s="519"/>
      <c r="L319" s="503"/>
    </row>
    <row r="320" spans="2:12" ht="15" hidden="1" customHeight="1">
      <c r="B320" s="497" t="str">
        <f>'[6]PLANILHA ORÇAMENTÁRIA'!D99</f>
        <v>12.6</v>
      </c>
      <c r="C320" s="1186" t="str">
        <f>'[6]PLANILHA ORÇAMENTÁRIA'!E99</f>
        <v>DISJUNTOR TERMOMAGNETICO BIPOLAR PADRAO NEMA (AMERICANO) 10 A 50A 240V, FORNECIMENTO E INSTALACAO</v>
      </c>
      <c r="D320" s="1186"/>
      <c r="E320" s="1186"/>
      <c r="F320" s="1186"/>
      <c r="G320" s="1186"/>
      <c r="H320" s="1186"/>
      <c r="I320" s="1186"/>
      <c r="J320" s="1186"/>
      <c r="K320" s="510" t="str">
        <f>'[6]PLANILHA ORÇAMENTÁRIA'!F99</f>
        <v>UND</v>
      </c>
      <c r="L320" s="511">
        <f>K323</f>
        <v>1</v>
      </c>
    </row>
    <row r="321" spans="2:12" hidden="1">
      <c r="B321" s="501"/>
      <c r="C321" s="1190" t="s">
        <v>20</v>
      </c>
      <c r="D321" s="1190"/>
      <c r="E321" s="1190"/>
      <c r="F321" s="512" t="s">
        <v>22</v>
      </c>
      <c r="G321" s="577" t="s">
        <v>111</v>
      </c>
      <c r="H321" s="577" t="s">
        <v>114</v>
      </c>
      <c r="I321" s="577" t="s">
        <v>113</v>
      </c>
      <c r="J321" s="577" t="s">
        <v>136</v>
      </c>
      <c r="K321" s="513" t="s">
        <v>25</v>
      </c>
      <c r="L321" s="503"/>
    </row>
    <row r="322" spans="2:12" hidden="1">
      <c r="B322" s="501"/>
      <c r="C322" s="1191"/>
      <c r="D322" s="1191"/>
      <c r="E322" s="1191"/>
      <c r="F322" s="514">
        <f>'[6]PLANILHA ORÇAMENTÁRIA'!G99</f>
        <v>1</v>
      </c>
      <c r="G322" s="514"/>
      <c r="H322" s="514"/>
      <c r="I322" s="514"/>
      <c r="J322" s="514"/>
      <c r="K322" s="578">
        <f>F322</f>
        <v>1</v>
      </c>
      <c r="L322" s="503"/>
    </row>
    <row r="323" spans="2:12" hidden="1">
      <c r="B323" s="501"/>
      <c r="C323" s="1192" t="s">
        <v>116</v>
      </c>
      <c r="D323" s="1192"/>
      <c r="E323" s="1192"/>
      <c r="F323" s="1192"/>
      <c r="G323" s="1192"/>
      <c r="H323" s="1192"/>
      <c r="I323" s="1192"/>
      <c r="J323" s="1192"/>
      <c r="K323" s="513">
        <f>SUM(K322:K322)</f>
        <v>1</v>
      </c>
      <c r="L323" s="503"/>
    </row>
    <row r="324" spans="2:12" hidden="1">
      <c r="B324" s="501"/>
      <c r="C324" s="517"/>
      <c r="D324" s="517"/>
      <c r="E324" s="517"/>
      <c r="F324" s="517"/>
      <c r="G324" s="517"/>
      <c r="H324" s="517"/>
      <c r="I324" s="517"/>
      <c r="J324" s="517"/>
      <c r="K324" s="519"/>
      <c r="L324" s="503"/>
    </row>
    <row r="325" spans="2:12" ht="30.75" hidden="1" customHeight="1">
      <c r="B325" s="497" t="str">
        <f>'[6]PLANILHA ORÇAMENTÁRIA'!D100</f>
        <v>12.7</v>
      </c>
      <c r="C325" s="1186" t="str">
        <f>'[6]PLANILHA ORÇAMENTÁRIA'!E100</f>
        <v>DISJUNTOR TERMOMAGNETICO TRIPOLAR PADRAO NEMA (AMERICANO) 10 A 50A 240V, FORNECIMENTO E INSTALACAO</v>
      </c>
      <c r="D325" s="1186"/>
      <c r="E325" s="1186"/>
      <c r="F325" s="1186"/>
      <c r="G325" s="1186"/>
      <c r="H325" s="1186"/>
      <c r="I325" s="1186"/>
      <c r="J325" s="1186"/>
      <c r="K325" s="510" t="str">
        <f>'[6]PLANILHA ORÇAMENTÁRIA'!F100</f>
        <v>UND</v>
      </c>
      <c r="L325" s="511">
        <f>K328</f>
        <v>1</v>
      </c>
    </row>
    <row r="326" spans="2:12" hidden="1">
      <c r="B326" s="501"/>
      <c r="C326" s="1190" t="s">
        <v>20</v>
      </c>
      <c r="D326" s="1190"/>
      <c r="E326" s="1190"/>
      <c r="F326" s="512" t="s">
        <v>22</v>
      </c>
      <c r="G326" s="577" t="s">
        <v>111</v>
      </c>
      <c r="H326" s="577" t="s">
        <v>114</v>
      </c>
      <c r="I326" s="577" t="s">
        <v>113</v>
      </c>
      <c r="J326" s="577" t="s">
        <v>136</v>
      </c>
      <c r="K326" s="513" t="s">
        <v>25</v>
      </c>
      <c r="L326" s="503"/>
    </row>
    <row r="327" spans="2:12" hidden="1">
      <c r="B327" s="501"/>
      <c r="C327" s="1191"/>
      <c r="D327" s="1191"/>
      <c r="E327" s="1191"/>
      <c r="F327" s="514">
        <f>'[6]PLANILHA ORÇAMENTÁRIA'!G100</f>
        <v>1</v>
      </c>
      <c r="G327" s="514"/>
      <c r="H327" s="514"/>
      <c r="I327" s="514"/>
      <c r="J327" s="514"/>
      <c r="K327" s="578">
        <f>F327</f>
        <v>1</v>
      </c>
      <c r="L327" s="503"/>
    </row>
    <row r="328" spans="2:12" hidden="1">
      <c r="B328" s="501"/>
      <c r="C328" s="1192" t="s">
        <v>116</v>
      </c>
      <c r="D328" s="1192"/>
      <c r="E328" s="1192"/>
      <c r="F328" s="1192"/>
      <c r="G328" s="1192"/>
      <c r="H328" s="1192"/>
      <c r="I328" s="1192"/>
      <c r="J328" s="1192"/>
      <c r="K328" s="513">
        <f>SUM(K327:K327)</f>
        <v>1</v>
      </c>
      <c r="L328" s="503"/>
    </row>
    <row r="329" spans="2:12" hidden="1">
      <c r="B329" s="501"/>
      <c r="C329" s="517"/>
      <c r="D329" s="517"/>
      <c r="E329" s="517"/>
      <c r="F329" s="517"/>
      <c r="G329" s="517"/>
      <c r="H329" s="517"/>
      <c r="I329" s="517"/>
      <c r="J329" s="517"/>
      <c r="K329" s="519"/>
      <c r="L329" s="503"/>
    </row>
    <row r="330" spans="2:12" ht="15" hidden="1" customHeight="1">
      <c r="B330" s="497" t="str">
        <f>'[6]PLANILHA ORÇAMENTÁRIA'!D101</f>
        <v>12.8</v>
      </c>
      <c r="C330" s="1186" t="str">
        <f>'[6]PLANILHA ORÇAMENTÁRIA'!E101</f>
        <v>LUMINÁRIA TIPO PLAFON, DE SOBREPOR, COM 1 LÂMPADA LED - FORNECIMENTO E INSTALAÇÃO. AF_11/2017</v>
      </c>
      <c r="D330" s="1186"/>
      <c r="E330" s="1186"/>
      <c r="F330" s="1186"/>
      <c r="G330" s="1186"/>
      <c r="H330" s="1186"/>
      <c r="I330" s="1186"/>
      <c r="J330" s="1186"/>
      <c r="K330" s="510" t="str">
        <f>'[6]PLANILHA ORÇAMENTÁRIA'!F101</f>
        <v>UND</v>
      </c>
      <c r="L330" s="511">
        <f>K333</f>
        <v>3</v>
      </c>
    </row>
    <row r="331" spans="2:12" hidden="1">
      <c r="B331" s="501"/>
      <c r="C331" s="1190" t="s">
        <v>20</v>
      </c>
      <c r="D331" s="1190"/>
      <c r="E331" s="1190"/>
      <c r="F331" s="512" t="s">
        <v>22</v>
      </c>
      <c r="G331" s="577" t="s">
        <v>111</v>
      </c>
      <c r="H331" s="577" t="s">
        <v>114</v>
      </c>
      <c r="I331" s="577" t="s">
        <v>113</v>
      </c>
      <c r="J331" s="577" t="s">
        <v>136</v>
      </c>
      <c r="K331" s="513" t="s">
        <v>25</v>
      </c>
      <c r="L331" s="503"/>
    </row>
    <row r="332" spans="2:12" hidden="1">
      <c r="B332" s="501"/>
      <c r="C332" s="1191"/>
      <c r="D332" s="1191"/>
      <c r="E332" s="1191"/>
      <c r="F332" s="514">
        <f>'[6]PLANILHA ORÇAMENTÁRIA'!G101</f>
        <v>3</v>
      </c>
      <c r="G332" s="514"/>
      <c r="H332" s="514"/>
      <c r="I332" s="514"/>
      <c r="J332" s="514"/>
      <c r="K332" s="578">
        <f>F332</f>
        <v>3</v>
      </c>
      <c r="L332" s="503"/>
    </row>
    <row r="333" spans="2:12" hidden="1">
      <c r="B333" s="501"/>
      <c r="C333" s="1192" t="s">
        <v>116</v>
      </c>
      <c r="D333" s="1192"/>
      <c r="E333" s="1192"/>
      <c r="F333" s="1192"/>
      <c r="G333" s="1192"/>
      <c r="H333" s="1192"/>
      <c r="I333" s="1192"/>
      <c r="J333" s="1192"/>
      <c r="K333" s="513">
        <f>SUM(K332:K332)</f>
        <v>3</v>
      </c>
      <c r="L333" s="503"/>
    </row>
    <row r="334" spans="2:12" hidden="1">
      <c r="B334" s="493"/>
      <c r="C334" s="493"/>
      <c r="D334" s="493"/>
      <c r="E334" s="493"/>
      <c r="F334" s="493"/>
      <c r="G334" s="493"/>
      <c r="H334" s="493"/>
      <c r="I334" s="493"/>
      <c r="J334" s="493"/>
      <c r="K334" s="493"/>
      <c r="L334" s="493"/>
    </row>
    <row r="335" spans="2:12" ht="21.75" hidden="1" customHeight="1">
      <c r="B335" s="497" t="str">
        <f>'[6]PLANILHA ORÇAMENTÁRIA'!D102</f>
        <v>12.9</v>
      </c>
      <c r="C335" s="1186" t="str">
        <f>'[6]PLANILHA ORÇAMENTÁRIA'!E102</f>
        <v>LUMINÁRIAS TIPO CALHA, DE SOBREPOR E LÂMPADAS EM LED 2X2X18W, COMPLETAS, FORNECIMENTO E INSTALAÇÃO</v>
      </c>
      <c r="D335" s="1186"/>
      <c r="E335" s="1186"/>
      <c r="F335" s="1186"/>
      <c r="G335" s="1186"/>
      <c r="H335" s="1186"/>
      <c r="I335" s="1186"/>
      <c r="J335" s="1186"/>
      <c r="K335" s="510" t="str">
        <f>'[6]PLANILHA ORÇAMENTÁRIA'!F102</f>
        <v>UND</v>
      </c>
      <c r="L335" s="511">
        <f>K338</f>
        <v>4</v>
      </c>
    </row>
    <row r="336" spans="2:12" hidden="1">
      <c r="B336" s="501"/>
      <c r="C336" s="1190" t="s">
        <v>20</v>
      </c>
      <c r="D336" s="1190"/>
      <c r="E336" s="1190"/>
      <c r="F336" s="512" t="s">
        <v>22</v>
      </c>
      <c r="G336" s="577" t="s">
        <v>111</v>
      </c>
      <c r="H336" s="577" t="s">
        <v>114</v>
      </c>
      <c r="I336" s="577" t="s">
        <v>113</v>
      </c>
      <c r="J336" s="577" t="s">
        <v>136</v>
      </c>
      <c r="K336" s="513" t="s">
        <v>25</v>
      </c>
      <c r="L336" s="503"/>
    </row>
    <row r="337" spans="2:12" hidden="1">
      <c r="B337" s="501"/>
      <c r="C337" s="1191"/>
      <c r="D337" s="1191"/>
      <c r="E337" s="1191"/>
      <c r="F337" s="514">
        <f>'[6]PLANILHA ORÇAMENTÁRIA'!G102</f>
        <v>4</v>
      </c>
      <c r="G337" s="514"/>
      <c r="H337" s="514"/>
      <c r="I337" s="514"/>
      <c r="J337" s="514"/>
      <c r="K337" s="578">
        <f>F337</f>
        <v>4</v>
      </c>
      <c r="L337" s="503"/>
    </row>
    <row r="338" spans="2:12" hidden="1">
      <c r="B338" s="501"/>
      <c r="C338" s="1192" t="s">
        <v>116</v>
      </c>
      <c r="D338" s="1192"/>
      <c r="E338" s="1192"/>
      <c r="F338" s="1192"/>
      <c r="G338" s="1192"/>
      <c r="H338" s="1192"/>
      <c r="I338" s="1192"/>
      <c r="J338" s="1192"/>
      <c r="K338" s="513">
        <f>SUM(K337:K337)</f>
        <v>4</v>
      </c>
      <c r="L338" s="503"/>
    </row>
    <row r="339" spans="2:12" hidden="1">
      <c r="B339" s="493"/>
      <c r="C339" s="493"/>
      <c r="D339" s="493"/>
      <c r="E339" s="493"/>
      <c r="F339" s="493"/>
      <c r="G339" s="493"/>
      <c r="H339" s="493"/>
      <c r="I339" s="493"/>
      <c r="J339" s="493"/>
      <c r="K339" s="493"/>
      <c r="L339" s="493"/>
    </row>
    <row r="340" spans="2:12" ht="27.75" hidden="1" customHeight="1">
      <c r="B340" s="497" t="str">
        <f>'[6]PLANILHA ORÇAMENTÁRIA'!D103</f>
        <v>12.10</v>
      </c>
      <c r="C340" s="1186" t="str">
        <f>'[6]PLANILHA ORÇAMENTÁRIA'!E103</f>
        <v>RELE FOTOELETRICO P/ COMANDO DE ILUMINACAO EXTERNA 220V/1000W - FORNECIMENTO E INSTALACAO</v>
      </c>
      <c r="D340" s="1186"/>
      <c r="E340" s="1186"/>
      <c r="F340" s="1186"/>
      <c r="G340" s="1186"/>
      <c r="H340" s="1186"/>
      <c r="I340" s="1186"/>
      <c r="J340" s="1186"/>
      <c r="K340" s="510" t="str">
        <f>'[6]PLANILHA ORÇAMENTÁRIA'!F103</f>
        <v>UND</v>
      </c>
      <c r="L340" s="511">
        <f>K343</f>
        <v>1</v>
      </c>
    </row>
    <row r="341" spans="2:12" hidden="1">
      <c r="B341" s="501"/>
      <c r="C341" s="1190" t="s">
        <v>20</v>
      </c>
      <c r="D341" s="1190"/>
      <c r="E341" s="1190"/>
      <c r="F341" s="512" t="s">
        <v>22</v>
      </c>
      <c r="G341" s="577" t="s">
        <v>111</v>
      </c>
      <c r="H341" s="577" t="s">
        <v>114</v>
      </c>
      <c r="I341" s="577" t="s">
        <v>113</v>
      </c>
      <c r="J341" s="577" t="s">
        <v>136</v>
      </c>
      <c r="K341" s="513" t="s">
        <v>25</v>
      </c>
      <c r="L341" s="503"/>
    </row>
    <row r="342" spans="2:12" hidden="1">
      <c r="B342" s="501"/>
      <c r="C342" s="1191"/>
      <c r="D342" s="1191"/>
      <c r="E342" s="1191"/>
      <c r="F342" s="514">
        <f>'[6]PLANILHA ORÇAMENTÁRIA'!G103</f>
        <v>1</v>
      </c>
      <c r="G342" s="514"/>
      <c r="H342" s="514"/>
      <c r="I342" s="514"/>
      <c r="J342" s="514"/>
      <c r="K342" s="578">
        <f>F342</f>
        <v>1</v>
      </c>
      <c r="L342" s="503"/>
    </row>
    <row r="343" spans="2:12" hidden="1">
      <c r="B343" s="501"/>
      <c r="C343" s="1192" t="s">
        <v>116</v>
      </c>
      <c r="D343" s="1192"/>
      <c r="E343" s="1192"/>
      <c r="F343" s="1192"/>
      <c r="G343" s="1192"/>
      <c r="H343" s="1192"/>
      <c r="I343" s="1192"/>
      <c r="J343" s="1192"/>
      <c r="K343" s="513">
        <f>SUM(K342:K342)</f>
        <v>1</v>
      </c>
      <c r="L343" s="503"/>
    </row>
    <row r="344" spans="2:12" hidden="1">
      <c r="B344" s="493"/>
      <c r="C344" s="493"/>
      <c r="D344" s="493"/>
      <c r="E344" s="493"/>
      <c r="F344" s="493"/>
      <c r="G344" s="493"/>
      <c r="H344" s="493"/>
      <c r="I344" s="493"/>
      <c r="J344" s="493"/>
      <c r="K344" s="493"/>
      <c r="L344" s="493"/>
    </row>
    <row r="345" spans="2:12" ht="29.25" hidden="1" customHeight="1">
      <c r="B345" s="497" t="str">
        <f>'[6]PLANILHA ORÇAMENTÁRIA'!D104</f>
        <v>12.11</v>
      </c>
      <c r="C345" s="1186" t="str">
        <f>'[6]PLANILHA ORÇAMENTÁRIA'!E104</f>
        <v>ELETRODUTO RÍGIDO ROSCÁVEL, PVC, DN 32 MM (1"), PARA CIRCUITOS TERMINAIS, INSTALADO EM FORRO - FORNECIMENTO E INSTALAÇÃO. AF_12/2015</v>
      </c>
      <c r="D345" s="1186"/>
      <c r="E345" s="1186"/>
      <c r="F345" s="1186"/>
      <c r="G345" s="1186"/>
      <c r="H345" s="1186"/>
      <c r="I345" s="1186"/>
      <c r="J345" s="1186"/>
      <c r="K345" s="510" t="str">
        <f>'[6]PLANILHA ORÇAMENTÁRIA'!F104</f>
        <v>M</v>
      </c>
      <c r="L345" s="511">
        <f>K348</f>
        <v>70</v>
      </c>
    </row>
    <row r="346" spans="2:12" hidden="1">
      <c r="B346" s="501"/>
      <c r="C346" s="1190" t="s">
        <v>20</v>
      </c>
      <c r="D346" s="1190"/>
      <c r="E346" s="1190"/>
      <c r="F346" s="512" t="s">
        <v>22</v>
      </c>
      <c r="G346" s="577" t="s">
        <v>111</v>
      </c>
      <c r="H346" s="577" t="s">
        <v>114</v>
      </c>
      <c r="I346" s="577" t="s">
        <v>113</v>
      </c>
      <c r="J346" s="577" t="s">
        <v>136</v>
      </c>
      <c r="K346" s="513" t="s">
        <v>25</v>
      </c>
      <c r="L346" s="503"/>
    </row>
    <row r="347" spans="2:12" hidden="1">
      <c r="B347" s="501"/>
      <c r="C347" s="1191"/>
      <c r="D347" s="1191"/>
      <c r="E347" s="1191"/>
      <c r="F347" s="514"/>
      <c r="G347" s="514"/>
      <c r="H347" s="514"/>
      <c r="I347" s="514">
        <f>'[6]PLANILHA ORÇAMENTÁRIA'!G104</f>
        <v>70</v>
      </c>
      <c r="J347" s="514"/>
      <c r="K347" s="578">
        <f>I347</f>
        <v>70</v>
      </c>
      <c r="L347" s="503"/>
    </row>
    <row r="348" spans="2:12" hidden="1">
      <c r="B348" s="501"/>
      <c r="C348" s="1192" t="s">
        <v>116</v>
      </c>
      <c r="D348" s="1192"/>
      <c r="E348" s="1192"/>
      <c r="F348" s="1192"/>
      <c r="G348" s="1192"/>
      <c r="H348" s="1192"/>
      <c r="I348" s="1192"/>
      <c r="J348" s="1192"/>
      <c r="K348" s="513">
        <f>SUM(K347:K347)</f>
        <v>70</v>
      </c>
      <c r="L348" s="503"/>
    </row>
    <row r="349" spans="2:12" hidden="1">
      <c r="B349" s="493"/>
      <c r="C349" s="493"/>
      <c r="D349" s="493"/>
      <c r="E349" s="493"/>
      <c r="F349" s="493"/>
      <c r="G349" s="493"/>
      <c r="H349" s="493"/>
      <c r="I349" s="493"/>
      <c r="J349" s="493"/>
      <c r="K349" s="493"/>
      <c r="L349" s="493"/>
    </row>
    <row r="350" spans="2:12" ht="15" hidden="1" customHeight="1">
      <c r="B350" s="497" t="str">
        <f>'[6]PLANILHA ORÇAMENTÁRIA'!D105</f>
        <v>12.12</v>
      </c>
      <c r="C350" s="1186" t="str">
        <f>'[6]PLANILHA ORÇAMENTÁRIA'!E105</f>
        <v>REFLETOR SIMPLES LED 150W DE POTÊNCIA, BRANCO FRIO, 6500K, AUTOVOLT, MARCA G-LIGHT OU SIMILAR</v>
      </c>
      <c r="D350" s="1186"/>
      <c r="E350" s="1186"/>
      <c r="F350" s="1186"/>
      <c r="G350" s="1186"/>
      <c r="H350" s="1186"/>
      <c r="I350" s="1186"/>
      <c r="J350" s="1186"/>
      <c r="K350" s="510" t="str">
        <f>'[6]PLANILHA ORÇAMENTÁRIA'!F105</f>
        <v>UND</v>
      </c>
      <c r="L350" s="511">
        <f>K353</f>
        <v>8</v>
      </c>
    </row>
    <row r="351" spans="2:12" hidden="1">
      <c r="B351" s="501"/>
      <c r="C351" s="1190" t="s">
        <v>20</v>
      </c>
      <c r="D351" s="1190"/>
      <c r="E351" s="1190"/>
      <c r="F351" s="512" t="s">
        <v>22</v>
      </c>
      <c r="G351" s="577" t="s">
        <v>111</v>
      </c>
      <c r="H351" s="577" t="s">
        <v>114</v>
      </c>
      <c r="I351" s="577" t="s">
        <v>113</v>
      </c>
      <c r="J351" s="577" t="s">
        <v>136</v>
      </c>
      <c r="K351" s="513" t="s">
        <v>25</v>
      </c>
      <c r="L351" s="503"/>
    </row>
    <row r="352" spans="2:12" hidden="1">
      <c r="B352" s="501"/>
      <c r="C352" s="1191"/>
      <c r="D352" s="1191"/>
      <c r="E352" s="1191"/>
      <c r="F352" s="514">
        <f>'[6]PLANILHA ORÇAMENTÁRIA'!G105</f>
        <v>8</v>
      </c>
      <c r="G352" s="514"/>
      <c r="H352" s="514"/>
      <c r="I352" s="514"/>
      <c r="J352" s="514"/>
      <c r="K352" s="578">
        <f>F352</f>
        <v>8</v>
      </c>
      <c r="L352" s="503"/>
    </row>
    <row r="353" spans="2:12" hidden="1">
      <c r="B353" s="501"/>
      <c r="C353" s="1192" t="s">
        <v>116</v>
      </c>
      <c r="D353" s="1192"/>
      <c r="E353" s="1192"/>
      <c r="F353" s="1192"/>
      <c r="G353" s="1192"/>
      <c r="H353" s="1192"/>
      <c r="I353" s="1192"/>
      <c r="J353" s="1192"/>
      <c r="K353" s="513">
        <f>SUM(K352:K352)</f>
        <v>8</v>
      </c>
      <c r="L353" s="503"/>
    </row>
    <row r="354" spans="2:12" hidden="1">
      <c r="B354" s="493"/>
      <c r="C354" s="493"/>
      <c r="D354" s="493"/>
      <c r="E354" s="493"/>
      <c r="F354" s="493"/>
      <c r="G354" s="493"/>
      <c r="H354" s="493"/>
      <c r="I354" s="493"/>
      <c r="J354" s="493"/>
      <c r="K354" s="493"/>
      <c r="L354" s="493"/>
    </row>
    <row r="355" spans="2:12" ht="21.75" hidden="1" customHeight="1">
      <c r="B355" s="497" t="str">
        <f>'[6]PLANILHA ORÇAMENTÁRIA'!D106</f>
        <v>12.13</v>
      </c>
      <c r="C355" s="1186" t="str">
        <f>'[6]PLANILHA ORÇAMENTÁRIA'!E106</f>
        <v>CAIXA ENTERRADA ELÉTRICA RETANGULAR, EM ALVENARIA COM TIJOLOS CERÂMICOS MACIÇOS, FUNDO COM BRITA, DIMENSÕES INTERNAS: 0,3X0,3X0,3 M. AF_05/2018</v>
      </c>
      <c r="D355" s="1186"/>
      <c r="E355" s="1186"/>
      <c r="F355" s="1186"/>
      <c r="G355" s="1186"/>
      <c r="H355" s="1186"/>
      <c r="I355" s="1186"/>
      <c r="J355" s="1186"/>
      <c r="K355" s="510" t="str">
        <f>'[6]PLANILHA ORÇAMENTÁRIA'!F106</f>
        <v>UND</v>
      </c>
      <c r="L355" s="511">
        <f>K358</f>
        <v>0</v>
      </c>
    </row>
    <row r="356" spans="2:12" hidden="1">
      <c r="B356" s="501"/>
      <c r="C356" s="1190" t="s">
        <v>20</v>
      </c>
      <c r="D356" s="1190"/>
      <c r="E356" s="1190"/>
      <c r="F356" s="512" t="s">
        <v>22</v>
      </c>
      <c r="G356" s="577" t="s">
        <v>111</v>
      </c>
      <c r="H356" s="577" t="s">
        <v>114</v>
      </c>
      <c r="I356" s="577" t="s">
        <v>113</v>
      </c>
      <c r="J356" s="577" t="s">
        <v>136</v>
      </c>
      <c r="K356" s="513" t="s">
        <v>25</v>
      </c>
      <c r="L356" s="503"/>
    </row>
    <row r="357" spans="2:12" hidden="1">
      <c r="B357" s="501"/>
      <c r="C357" s="1191"/>
      <c r="D357" s="1191"/>
      <c r="E357" s="1191"/>
      <c r="F357" s="514">
        <f>'[6]PLANILHA ORÇAMENTÁRIA'!G106</f>
        <v>4</v>
      </c>
      <c r="G357" s="514"/>
      <c r="H357" s="514"/>
      <c r="I357" s="514"/>
      <c r="J357" s="514"/>
      <c r="K357" s="578">
        <f>I357</f>
        <v>0</v>
      </c>
      <c r="L357" s="503"/>
    </row>
    <row r="358" spans="2:12" hidden="1">
      <c r="B358" s="501"/>
      <c r="C358" s="1192" t="s">
        <v>116</v>
      </c>
      <c r="D358" s="1192"/>
      <c r="E358" s="1192"/>
      <c r="F358" s="1192"/>
      <c r="G358" s="1192"/>
      <c r="H358" s="1192"/>
      <c r="I358" s="1192"/>
      <c r="J358" s="1192"/>
      <c r="K358" s="513">
        <f>SUM(K357:K357)</f>
        <v>0</v>
      </c>
      <c r="L358" s="503"/>
    </row>
    <row r="359" spans="2:12" hidden="1">
      <c r="B359" s="493"/>
      <c r="C359" s="493"/>
      <c r="D359" s="493"/>
      <c r="E359" s="493"/>
      <c r="F359" s="493"/>
      <c r="G359" s="493"/>
      <c r="H359" s="493"/>
      <c r="I359" s="493"/>
      <c r="J359" s="493"/>
      <c r="K359" s="493"/>
      <c r="L359" s="493"/>
    </row>
    <row r="360" spans="2:12" ht="24.75" hidden="1" customHeight="1">
      <c r="B360" s="497" t="str">
        <f>'[6]PLANILHA ORÇAMENTÁRIA'!D107</f>
        <v>12.14</v>
      </c>
      <c r="C360" s="1186" t="str">
        <f>'[6]PLANILHA ORÇAMENTÁRIA'!E107</f>
        <v>CABO DE COBRE FLEXÍVEL ISOLADO, 4 MM², ANTI-CHAMA 450/750 V, PARA CIRCUITOS TERMINAIS - FORNECIMENTO E INSTALAÇÃO. AF_12/2015</v>
      </c>
      <c r="D360" s="1186"/>
      <c r="E360" s="1186"/>
      <c r="F360" s="1186"/>
      <c r="G360" s="1186"/>
      <c r="H360" s="1186"/>
      <c r="I360" s="1186"/>
      <c r="J360" s="1186"/>
      <c r="K360" s="510" t="str">
        <f>'[6]PLANILHA ORÇAMENTÁRIA'!F107</f>
        <v>M</v>
      </c>
      <c r="L360" s="511">
        <f>K363</f>
        <v>160</v>
      </c>
    </row>
    <row r="361" spans="2:12" hidden="1">
      <c r="B361" s="501"/>
      <c r="C361" s="1190" t="s">
        <v>20</v>
      </c>
      <c r="D361" s="1190"/>
      <c r="E361" s="1190"/>
      <c r="F361" s="512" t="s">
        <v>22</v>
      </c>
      <c r="G361" s="577" t="s">
        <v>111</v>
      </c>
      <c r="H361" s="577" t="s">
        <v>114</v>
      </c>
      <c r="I361" s="577" t="s">
        <v>113</v>
      </c>
      <c r="J361" s="577" t="s">
        <v>136</v>
      </c>
      <c r="K361" s="513" t="s">
        <v>25</v>
      </c>
      <c r="L361" s="503"/>
    </row>
    <row r="362" spans="2:12" hidden="1">
      <c r="B362" s="501"/>
      <c r="C362" s="1191"/>
      <c r="D362" s="1191"/>
      <c r="E362" s="1191"/>
      <c r="F362" s="514"/>
      <c r="G362" s="514"/>
      <c r="H362" s="514"/>
      <c r="I362" s="514">
        <f>'[6]PLANILHA ORÇAMENTÁRIA'!G107</f>
        <v>160</v>
      </c>
      <c r="J362" s="514"/>
      <c r="K362" s="578">
        <f>I362</f>
        <v>160</v>
      </c>
      <c r="L362" s="503"/>
    </row>
    <row r="363" spans="2:12" hidden="1">
      <c r="B363" s="501"/>
      <c r="C363" s="1192" t="s">
        <v>116</v>
      </c>
      <c r="D363" s="1192"/>
      <c r="E363" s="1192"/>
      <c r="F363" s="1192"/>
      <c r="G363" s="1192"/>
      <c r="H363" s="1192"/>
      <c r="I363" s="1192"/>
      <c r="J363" s="1192"/>
      <c r="K363" s="513">
        <f>SUM(K362:K362)</f>
        <v>160</v>
      </c>
      <c r="L363" s="503"/>
    </row>
    <row r="364" spans="2:12" hidden="1">
      <c r="B364" s="501"/>
      <c r="C364" s="517"/>
      <c r="D364" s="517"/>
      <c r="E364" s="517"/>
      <c r="F364" s="517"/>
      <c r="G364" s="517"/>
      <c r="H364" s="517"/>
      <c r="I364" s="517"/>
      <c r="J364" s="517"/>
      <c r="K364" s="519"/>
      <c r="L364" s="503"/>
    </row>
    <row r="365" spans="2:12" ht="32.25" hidden="1" customHeight="1">
      <c r="B365" s="497" t="str">
        <f>'[6]PLANILHA ORÇAMENTÁRIA'!D108</f>
        <v>12.15</v>
      </c>
      <c r="C365" s="1186" t="str">
        <f>'[6]PLANILHA ORÇAMENTÁRIA'!E108</f>
        <v>CABO DE COBRE FLEXÍVEL ISOLADO, 2,5 MM², ANTI-CHAMA 450/750 V, PARA CIRCUITOS TERMINAIS - FORNECIMENTO E INSTALAÇÃO. AF_12/2015</v>
      </c>
      <c r="D365" s="1186"/>
      <c r="E365" s="1186"/>
      <c r="F365" s="1186"/>
      <c r="G365" s="1186"/>
      <c r="H365" s="1186"/>
      <c r="I365" s="1186"/>
      <c r="J365" s="1186"/>
      <c r="K365" s="510" t="str">
        <f>'[6]PLANILHA ORÇAMENTÁRIA'!F108</f>
        <v>M</v>
      </c>
      <c r="L365" s="511">
        <f>K368</f>
        <v>160</v>
      </c>
    </row>
    <row r="366" spans="2:12" hidden="1">
      <c r="B366" s="501"/>
      <c r="C366" s="1190" t="s">
        <v>20</v>
      </c>
      <c r="D366" s="1190"/>
      <c r="E366" s="1190"/>
      <c r="F366" s="512" t="s">
        <v>22</v>
      </c>
      <c r="G366" s="577" t="s">
        <v>111</v>
      </c>
      <c r="H366" s="577" t="s">
        <v>114</v>
      </c>
      <c r="I366" s="577" t="s">
        <v>113</v>
      </c>
      <c r="J366" s="577" t="s">
        <v>136</v>
      </c>
      <c r="K366" s="513" t="s">
        <v>25</v>
      </c>
      <c r="L366" s="503"/>
    </row>
    <row r="367" spans="2:12" hidden="1">
      <c r="B367" s="501"/>
      <c r="C367" s="1191"/>
      <c r="D367" s="1191"/>
      <c r="E367" s="1191"/>
      <c r="F367" s="514"/>
      <c r="G367" s="514"/>
      <c r="H367" s="514"/>
      <c r="I367" s="514">
        <f>'[6]PLANILHA ORÇAMENTÁRIA'!G108</f>
        <v>160</v>
      </c>
      <c r="J367" s="514"/>
      <c r="K367" s="578">
        <f>I367</f>
        <v>160</v>
      </c>
      <c r="L367" s="503"/>
    </row>
    <row r="368" spans="2:12" hidden="1">
      <c r="B368" s="501"/>
      <c r="C368" s="1192" t="s">
        <v>116</v>
      </c>
      <c r="D368" s="1192"/>
      <c r="E368" s="1192"/>
      <c r="F368" s="1192"/>
      <c r="G368" s="1192"/>
      <c r="H368" s="1192"/>
      <c r="I368" s="1192"/>
      <c r="J368" s="1192"/>
      <c r="K368" s="513">
        <f>SUM(K367:K367)</f>
        <v>160</v>
      </c>
      <c r="L368" s="503"/>
    </row>
    <row r="369" spans="2:12" hidden="1">
      <c r="B369" s="493"/>
      <c r="C369" s="493"/>
      <c r="D369" s="493"/>
      <c r="E369" s="493"/>
      <c r="F369" s="493"/>
      <c r="G369" s="493"/>
      <c r="H369" s="493"/>
      <c r="I369" s="493"/>
      <c r="J369" s="493"/>
      <c r="K369" s="493"/>
      <c r="L369" s="493"/>
    </row>
    <row r="370" spans="2:12" hidden="1">
      <c r="B370" s="501" t="str">
        <f>'[6]PLANILHA ORÇAMENTÁRIA'!D109</f>
        <v>13.0</v>
      </c>
      <c r="C370" s="1193" t="str">
        <f>'[6]PLANILHA ORÇAMENTÁRIA'!E109</f>
        <v>PINTURA</v>
      </c>
      <c r="D370" s="1193"/>
      <c r="E370" s="1193"/>
      <c r="F370" s="1193"/>
      <c r="G370" s="1193"/>
      <c r="H370" s="1193"/>
      <c r="I370" s="1193"/>
      <c r="J370" s="1193"/>
      <c r="K370" s="497"/>
      <c r="L370" s="497"/>
    </row>
    <row r="371" spans="2:12" ht="15" hidden="1" customHeight="1">
      <c r="B371" s="497" t="str">
        <f>'[6]PLANILHA ORÇAMENTÁRIA'!D110</f>
        <v>13.1</v>
      </c>
      <c r="C371" s="1186" t="str">
        <f>'[6]PLANILHA ORÇAMENTÁRIA'!E110</f>
        <v>APLICAÇÃO DE FUNDO SELADOR LÁTEX PVA EM TETO, UMA DEMÃO. AF_06/2014</v>
      </c>
      <c r="D371" s="1186"/>
      <c r="E371" s="1186"/>
      <c r="F371" s="1186"/>
      <c r="G371" s="1186"/>
      <c r="H371" s="1186"/>
      <c r="I371" s="1186"/>
      <c r="J371" s="1186"/>
      <c r="K371" s="510" t="str">
        <f>'[6]PLANILHA ORÇAMENTÁRIA'!F110</f>
        <v>M2</v>
      </c>
      <c r="L371" s="511">
        <f>K378</f>
        <v>23.02</v>
      </c>
    </row>
    <row r="372" spans="2:12" hidden="1">
      <c r="B372" s="501"/>
      <c r="C372" s="1190" t="s">
        <v>20</v>
      </c>
      <c r="D372" s="1190"/>
      <c r="E372" s="1190"/>
      <c r="F372" s="512" t="s">
        <v>22</v>
      </c>
      <c r="G372" s="577" t="s">
        <v>111</v>
      </c>
      <c r="H372" s="512" t="s">
        <v>112</v>
      </c>
      <c r="I372" s="577" t="s">
        <v>113</v>
      </c>
      <c r="J372" s="577" t="s">
        <v>114</v>
      </c>
      <c r="K372" s="513" t="s">
        <v>25</v>
      </c>
      <c r="L372" s="503"/>
    </row>
    <row r="373" spans="2:12" hidden="1">
      <c r="B373" s="501"/>
      <c r="C373" s="1191" t="s">
        <v>167</v>
      </c>
      <c r="D373" s="1191"/>
      <c r="E373" s="1191"/>
      <c r="F373" s="514"/>
      <c r="G373" s="514"/>
      <c r="H373" s="514">
        <v>2</v>
      </c>
      <c r="I373" s="514">
        <v>4.2</v>
      </c>
      <c r="J373" s="514"/>
      <c r="K373" s="578">
        <f>TRUNC(H373*I373,2)</f>
        <v>8.4</v>
      </c>
      <c r="L373" s="503"/>
    </row>
    <row r="374" spans="2:12" hidden="1">
      <c r="B374" s="501"/>
      <c r="C374" s="1191" t="s">
        <v>168</v>
      </c>
      <c r="D374" s="1191"/>
      <c r="E374" s="1191"/>
      <c r="F374" s="514"/>
      <c r="G374" s="514"/>
      <c r="H374" s="514">
        <v>2</v>
      </c>
      <c r="I374" s="514">
        <v>3.13</v>
      </c>
      <c r="J374" s="514"/>
      <c r="K374" s="578">
        <f>TRUNC(H374*I374,2)</f>
        <v>6.26</v>
      </c>
      <c r="L374" s="503"/>
    </row>
    <row r="375" spans="2:12" hidden="1">
      <c r="B375" s="501"/>
      <c r="C375" s="1191" t="s">
        <v>169</v>
      </c>
      <c r="D375" s="1191"/>
      <c r="E375" s="1191"/>
      <c r="F375" s="514"/>
      <c r="G375" s="514"/>
      <c r="H375" s="514">
        <v>1</v>
      </c>
      <c r="I375" s="514">
        <v>1.05</v>
      </c>
      <c r="J375" s="514"/>
      <c r="K375" s="578">
        <f>TRUNC(H375*I375,2)</f>
        <v>1.05</v>
      </c>
      <c r="L375" s="503"/>
    </row>
    <row r="376" spans="2:12" hidden="1">
      <c r="B376" s="501"/>
      <c r="C376" s="1191" t="s">
        <v>170</v>
      </c>
      <c r="D376" s="1191"/>
      <c r="E376" s="1191"/>
      <c r="F376" s="514"/>
      <c r="G376" s="514"/>
      <c r="H376" s="514">
        <v>2</v>
      </c>
      <c r="I376" s="514">
        <v>3.13</v>
      </c>
      <c r="J376" s="514"/>
      <c r="K376" s="578">
        <f>TRUNC(H376*I376,2)</f>
        <v>6.26</v>
      </c>
      <c r="L376" s="503"/>
    </row>
    <row r="377" spans="2:12" hidden="1">
      <c r="B377" s="501"/>
      <c r="C377" s="1191" t="s">
        <v>171</v>
      </c>
      <c r="D377" s="1191"/>
      <c r="E377" s="1191"/>
      <c r="F377" s="514"/>
      <c r="G377" s="514"/>
      <c r="H377" s="514">
        <v>1</v>
      </c>
      <c r="I377" s="514">
        <v>1.05</v>
      </c>
      <c r="J377" s="514"/>
      <c r="K377" s="578">
        <f>TRUNC(H377*I377,2)</f>
        <v>1.05</v>
      </c>
      <c r="L377" s="503"/>
    </row>
    <row r="378" spans="2:12" hidden="1">
      <c r="B378" s="501"/>
      <c r="C378" s="1192" t="s">
        <v>116</v>
      </c>
      <c r="D378" s="1192"/>
      <c r="E378" s="1192"/>
      <c r="F378" s="1192"/>
      <c r="G378" s="1192"/>
      <c r="H378" s="1192"/>
      <c r="I378" s="1192"/>
      <c r="J378" s="1192"/>
      <c r="K378" s="513">
        <f>SUM(K373:K377)</f>
        <v>23.02</v>
      </c>
      <c r="L378" s="503"/>
    </row>
    <row r="379" spans="2:12" hidden="1">
      <c r="B379" s="493"/>
      <c r="C379" s="493"/>
      <c r="D379" s="493"/>
      <c r="E379" s="493"/>
      <c r="F379" s="493"/>
      <c r="G379" s="493"/>
      <c r="H379" s="493"/>
      <c r="I379" s="493"/>
      <c r="J379" s="493"/>
      <c r="K379" s="493"/>
      <c r="L379" s="493"/>
    </row>
    <row r="380" spans="2:12" ht="15" hidden="1" customHeight="1">
      <c r="B380" s="497" t="str">
        <f>'[6]PLANILHA ORÇAMENTÁRIA'!D111</f>
        <v>13.2</v>
      </c>
      <c r="C380" s="1186" t="str">
        <f>'[6]PLANILHA ORÇAMENTÁRIA'!E111</f>
        <v>APLICAÇÃO E LIXAMENTO DE MASSA LÁTEX EM TETO, DUAS DEMÃOS. AF_06/2014</v>
      </c>
      <c r="D380" s="1186"/>
      <c r="E380" s="1186"/>
      <c r="F380" s="1186"/>
      <c r="G380" s="1186"/>
      <c r="H380" s="1186"/>
      <c r="I380" s="1186"/>
      <c r="J380" s="1186"/>
      <c r="K380" s="510" t="str">
        <f>'[6]PLANILHA ORÇAMENTÁRIA'!F111</f>
        <v>M2</v>
      </c>
      <c r="L380" s="511">
        <f>K387</f>
        <v>23.02</v>
      </c>
    </row>
    <row r="381" spans="2:12" hidden="1">
      <c r="B381" s="501"/>
      <c r="C381" s="1190" t="s">
        <v>20</v>
      </c>
      <c r="D381" s="1190"/>
      <c r="E381" s="1190"/>
      <c r="F381" s="512" t="s">
        <v>22</v>
      </c>
      <c r="G381" s="577" t="s">
        <v>111</v>
      </c>
      <c r="H381" s="512" t="s">
        <v>112</v>
      </c>
      <c r="I381" s="577" t="s">
        <v>113</v>
      </c>
      <c r="J381" s="577" t="s">
        <v>114</v>
      </c>
      <c r="K381" s="513" t="s">
        <v>25</v>
      </c>
      <c r="L381" s="503"/>
    </row>
    <row r="382" spans="2:12" hidden="1">
      <c r="B382" s="501"/>
      <c r="C382" s="1191" t="s">
        <v>167</v>
      </c>
      <c r="D382" s="1191"/>
      <c r="E382" s="1191"/>
      <c r="F382" s="514"/>
      <c r="G382" s="514"/>
      <c r="H382" s="514">
        <v>2</v>
      </c>
      <c r="I382" s="514">
        <v>4.2</v>
      </c>
      <c r="J382" s="514"/>
      <c r="K382" s="578">
        <f>TRUNC(H382*I382,2)</f>
        <v>8.4</v>
      </c>
      <c r="L382" s="503"/>
    </row>
    <row r="383" spans="2:12" hidden="1">
      <c r="B383" s="501"/>
      <c r="C383" s="1191" t="s">
        <v>168</v>
      </c>
      <c r="D383" s="1191"/>
      <c r="E383" s="1191"/>
      <c r="F383" s="514"/>
      <c r="G383" s="514"/>
      <c r="H383" s="514">
        <v>2</v>
      </c>
      <c r="I383" s="514">
        <v>3.13</v>
      </c>
      <c r="J383" s="514"/>
      <c r="K383" s="578">
        <f>TRUNC(H383*I383,2)</f>
        <v>6.26</v>
      </c>
      <c r="L383" s="503"/>
    </row>
    <row r="384" spans="2:12" hidden="1">
      <c r="B384" s="501"/>
      <c r="C384" s="1191" t="s">
        <v>169</v>
      </c>
      <c r="D384" s="1191"/>
      <c r="E384" s="1191"/>
      <c r="F384" s="514"/>
      <c r="G384" s="514"/>
      <c r="H384" s="514">
        <v>1</v>
      </c>
      <c r="I384" s="514">
        <v>1.05</v>
      </c>
      <c r="J384" s="514"/>
      <c r="K384" s="578">
        <f>TRUNC(H384*I384,2)</f>
        <v>1.05</v>
      </c>
      <c r="L384" s="503"/>
    </row>
    <row r="385" spans="2:12" hidden="1">
      <c r="B385" s="501"/>
      <c r="C385" s="1191" t="s">
        <v>170</v>
      </c>
      <c r="D385" s="1191"/>
      <c r="E385" s="1191"/>
      <c r="F385" s="514"/>
      <c r="G385" s="514"/>
      <c r="H385" s="514">
        <v>2</v>
      </c>
      <c r="I385" s="514">
        <v>3.13</v>
      </c>
      <c r="J385" s="514"/>
      <c r="K385" s="578">
        <f>TRUNC(H385*I385,2)</f>
        <v>6.26</v>
      </c>
      <c r="L385" s="503"/>
    </row>
    <row r="386" spans="2:12" hidden="1">
      <c r="B386" s="501"/>
      <c r="C386" s="1191" t="s">
        <v>171</v>
      </c>
      <c r="D386" s="1191"/>
      <c r="E386" s="1191"/>
      <c r="F386" s="514"/>
      <c r="G386" s="514"/>
      <c r="H386" s="514">
        <v>1</v>
      </c>
      <c r="I386" s="514">
        <v>1.05</v>
      </c>
      <c r="J386" s="514"/>
      <c r="K386" s="578">
        <f>TRUNC(H386*I386,2)</f>
        <v>1.05</v>
      </c>
      <c r="L386" s="503"/>
    </row>
    <row r="387" spans="2:12" hidden="1">
      <c r="B387" s="501"/>
      <c r="C387" s="1192" t="s">
        <v>116</v>
      </c>
      <c r="D387" s="1192"/>
      <c r="E387" s="1192"/>
      <c r="F387" s="1192"/>
      <c r="G387" s="1192"/>
      <c r="H387" s="1192"/>
      <c r="I387" s="1192"/>
      <c r="J387" s="1192"/>
      <c r="K387" s="513">
        <f>SUM(K382:K386)</f>
        <v>23.02</v>
      </c>
      <c r="L387" s="503"/>
    </row>
    <row r="388" spans="2:12" hidden="1">
      <c r="B388" s="493"/>
      <c r="C388" s="493"/>
      <c r="D388" s="493"/>
      <c r="E388" s="493"/>
      <c r="F388" s="493"/>
      <c r="G388" s="493"/>
      <c r="H388" s="493"/>
      <c r="I388" s="493"/>
      <c r="J388" s="493"/>
      <c r="K388" s="493"/>
      <c r="L388" s="493"/>
    </row>
    <row r="389" spans="2:12" ht="15" hidden="1" customHeight="1">
      <c r="B389" s="497" t="str">
        <f>'[6]PLANILHA ORÇAMENTÁRIA'!D112</f>
        <v>13.3</v>
      </c>
      <c r="C389" s="1186" t="str">
        <f>'[6]PLANILHA ORÇAMENTÁRIA'!E112</f>
        <v>APLICAÇÃO MANUAL DE PINTURA COM TINTA LÁTEX PVA EM TETO, DUAS DEMÃOS. AF_06/2014</v>
      </c>
      <c r="D389" s="1186"/>
      <c r="E389" s="1186"/>
      <c r="F389" s="1186"/>
      <c r="G389" s="1186"/>
      <c r="H389" s="1186"/>
      <c r="I389" s="1186"/>
      <c r="J389" s="1186"/>
      <c r="K389" s="510" t="str">
        <f>'[6]PLANILHA ORÇAMENTÁRIA'!F112</f>
        <v>M2</v>
      </c>
      <c r="L389" s="511">
        <f>K396</f>
        <v>23.02</v>
      </c>
    </row>
    <row r="390" spans="2:12" hidden="1">
      <c r="B390" s="501"/>
      <c r="C390" s="1190" t="s">
        <v>20</v>
      </c>
      <c r="D390" s="1190"/>
      <c r="E390" s="1190"/>
      <c r="F390" s="512" t="s">
        <v>22</v>
      </c>
      <c r="G390" s="577" t="s">
        <v>111</v>
      </c>
      <c r="H390" s="512" t="s">
        <v>112</v>
      </c>
      <c r="I390" s="577" t="s">
        <v>113</v>
      </c>
      <c r="J390" s="577" t="s">
        <v>114</v>
      </c>
      <c r="K390" s="513" t="s">
        <v>25</v>
      </c>
      <c r="L390" s="503"/>
    </row>
    <row r="391" spans="2:12" hidden="1">
      <c r="B391" s="501"/>
      <c r="C391" s="1191" t="s">
        <v>167</v>
      </c>
      <c r="D391" s="1191"/>
      <c r="E391" s="1191"/>
      <c r="F391" s="514"/>
      <c r="G391" s="514"/>
      <c r="H391" s="514">
        <v>2</v>
      </c>
      <c r="I391" s="514">
        <v>4.2</v>
      </c>
      <c r="J391" s="514"/>
      <c r="K391" s="578">
        <f>TRUNC(H391*I391,2)</f>
        <v>8.4</v>
      </c>
      <c r="L391" s="503"/>
    </row>
    <row r="392" spans="2:12" hidden="1">
      <c r="B392" s="501"/>
      <c r="C392" s="1191" t="s">
        <v>168</v>
      </c>
      <c r="D392" s="1191"/>
      <c r="E392" s="1191"/>
      <c r="F392" s="514"/>
      <c r="G392" s="514"/>
      <c r="H392" s="514">
        <v>2</v>
      </c>
      <c r="I392" s="514">
        <v>3.13</v>
      </c>
      <c r="J392" s="514"/>
      <c r="K392" s="578">
        <f>TRUNC(H392*I392,2)</f>
        <v>6.26</v>
      </c>
      <c r="L392" s="503"/>
    </row>
    <row r="393" spans="2:12" hidden="1">
      <c r="B393" s="501"/>
      <c r="C393" s="1191" t="s">
        <v>169</v>
      </c>
      <c r="D393" s="1191"/>
      <c r="E393" s="1191"/>
      <c r="F393" s="514"/>
      <c r="G393" s="514"/>
      <c r="H393" s="514">
        <v>1</v>
      </c>
      <c r="I393" s="514">
        <v>1.05</v>
      </c>
      <c r="J393" s="514"/>
      <c r="K393" s="578">
        <f>TRUNC(H393*I393,2)</f>
        <v>1.05</v>
      </c>
      <c r="L393" s="503"/>
    </row>
    <row r="394" spans="2:12" hidden="1">
      <c r="B394" s="501"/>
      <c r="C394" s="1191" t="s">
        <v>170</v>
      </c>
      <c r="D394" s="1191"/>
      <c r="E394" s="1191"/>
      <c r="F394" s="514"/>
      <c r="G394" s="514"/>
      <c r="H394" s="514">
        <v>2</v>
      </c>
      <c r="I394" s="514">
        <v>3.13</v>
      </c>
      <c r="J394" s="514"/>
      <c r="K394" s="578">
        <f>TRUNC(H394*I394,2)</f>
        <v>6.26</v>
      </c>
      <c r="L394" s="503"/>
    </row>
    <row r="395" spans="2:12" hidden="1">
      <c r="B395" s="501"/>
      <c r="C395" s="1191" t="s">
        <v>171</v>
      </c>
      <c r="D395" s="1191"/>
      <c r="E395" s="1191"/>
      <c r="F395" s="514"/>
      <c r="G395" s="514"/>
      <c r="H395" s="514">
        <v>1</v>
      </c>
      <c r="I395" s="514">
        <v>1.05</v>
      </c>
      <c r="J395" s="514"/>
      <c r="K395" s="578">
        <f>TRUNC(H395*I395,2)</f>
        <v>1.05</v>
      </c>
      <c r="L395" s="503"/>
    </row>
    <row r="396" spans="2:12" hidden="1">
      <c r="B396" s="501"/>
      <c r="C396" s="1192" t="s">
        <v>116</v>
      </c>
      <c r="D396" s="1192"/>
      <c r="E396" s="1192"/>
      <c r="F396" s="1192"/>
      <c r="G396" s="1192"/>
      <c r="H396" s="1192"/>
      <c r="I396" s="1192"/>
      <c r="J396" s="1192"/>
      <c r="K396" s="513">
        <f>SUM(K391:K395)</f>
        <v>23.02</v>
      </c>
      <c r="L396" s="503"/>
    </row>
    <row r="397" spans="2:12" hidden="1">
      <c r="B397" s="493"/>
      <c r="C397" s="493"/>
      <c r="D397" s="493"/>
      <c r="E397" s="493"/>
      <c r="F397" s="493"/>
      <c r="G397" s="493"/>
      <c r="H397" s="493"/>
      <c r="I397" s="493"/>
      <c r="J397" s="493"/>
      <c r="K397" s="493"/>
      <c r="L397" s="493"/>
    </row>
    <row r="398" spans="2:12" hidden="1">
      <c r="B398" s="497" t="str">
        <f>'[6]PLANILHA ORÇAMENTÁRIA'!D113</f>
        <v>13.4</v>
      </c>
      <c r="C398" s="1186" t="str">
        <f>'[6]PLANILHA ORÇAMENTÁRIA'!E113</f>
        <v>APLICAÇÃO DE FUNDO SELADOR ACRÍLICO EM PAREDES, UMA DEMÃO. AF_06/2014</v>
      </c>
      <c r="D398" s="1186"/>
      <c r="E398" s="1186"/>
      <c r="F398" s="1186"/>
      <c r="G398" s="1186"/>
      <c r="H398" s="1186"/>
      <c r="I398" s="1186"/>
      <c r="J398" s="1186"/>
      <c r="K398" s="510" t="str">
        <f>'[6]PLANILHA ORÇAMENTÁRIA'!F113</f>
        <v>M2</v>
      </c>
      <c r="L398" s="511">
        <f>K402</f>
        <v>50.4</v>
      </c>
    </row>
    <row r="399" spans="2:12" hidden="1">
      <c r="B399" s="501"/>
      <c r="C399" s="1190" t="s">
        <v>20</v>
      </c>
      <c r="D399" s="1190"/>
      <c r="E399" s="1190"/>
      <c r="F399" s="512" t="s">
        <v>22</v>
      </c>
      <c r="G399" s="577" t="s">
        <v>111</v>
      </c>
      <c r="H399" s="512" t="s">
        <v>112</v>
      </c>
      <c r="I399" s="577" t="s">
        <v>154</v>
      </c>
      <c r="J399" s="577" t="s">
        <v>114</v>
      </c>
      <c r="K399" s="513" t="s">
        <v>25</v>
      </c>
      <c r="L399" s="503"/>
    </row>
    <row r="400" spans="2:12" ht="25.5" hidden="1" customHeight="1">
      <c r="B400" s="501"/>
      <c r="C400" s="1191" t="s">
        <v>172</v>
      </c>
      <c r="D400" s="1191"/>
      <c r="E400" s="1191"/>
      <c r="F400" s="514">
        <v>1</v>
      </c>
      <c r="G400" s="514">
        <v>2.4</v>
      </c>
      <c r="H400" s="514"/>
      <c r="I400" s="514">
        <v>12.6</v>
      </c>
      <c r="J400" s="514"/>
      <c r="K400" s="578">
        <f>TRUNC(((G400*I400)*F400)-J400,2)</f>
        <v>30.24</v>
      </c>
      <c r="L400" s="503"/>
    </row>
    <row r="401" spans="2:12" hidden="1">
      <c r="B401" s="501"/>
      <c r="C401" s="1191" t="s">
        <v>173</v>
      </c>
      <c r="D401" s="1191"/>
      <c r="E401" s="1191"/>
      <c r="F401" s="514">
        <v>1</v>
      </c>
      <c r="G401" s="514">
        <v>2.4</v>
      </c>
      <c r="H401" s="514"/>
      <c r="I401" s="514">
        <v>8.4</v>
      </c>
      <c r="J401" s="514"/>
      <c r="K401" s="578">
        <f>TRUNC(((G401*I401)*F401),2)</f>
        <v>20.16</v>
      </c>
      <c r="L401" s="503"/>
    </row>
    <row r="402" spans="2:12" hidden="1">
      <c r="B402" s="493"/>
      <c r="C402" s="1192" t="s">
        <v>116</v>
      </c>
      <c r="D402" s="1192"/>
      <c r="E402" s="1192"/>
      <c r="F402" s="1192"/>
      <c r="G402" s="1192"/>
      <c r="H402" s="1192"/>
      <c r="I402" s="1192"/>
      <c r="J402" s="1192"/>
      <c r="K402" s="513">
        <f>SUM(K400:K401)</f>
        <v>50.4</v>
      </c>
      <c r="L402" s="493"/>
    </row>
    <row r="403" spans="2:12" hidden="1">
      <c r="B403" s="493"/>
      <c r="C403" s="493"/>
      <c r="D403" s="493"/>
      <c r="E403" s="493"/>
      <c r="F403" s="493"/>
      <c r="G403" s="493"/>
      <c r="H403" s="493"/>
      <c r="I403" s="493"/>
      <c r="J403" s="493"/>
      <c r="K403" s="493"/>
      <c r="L403" s="493"/>
    </row>
    <row r="404" spans="2:12" hidden="1">
      <c r="B404" s="497" t="str">
        <f>'[6]PLANILHA ORÇAMENTÁRIA'!D114</f>
        <v>13.5</v>
      </c>
      <c r="C404" s="1186" t="str">
        <f>'[6]PLANILHA ORÇAMENTÁRIA'!E114</f>
        <v>APLICAÇÃO E LIXAMENTO DE MASSA LÁTEX EM PAREDES, UMA DEMÃO. AF_06/2014</v>
      </c>
      <c r="D404" s="1186"/>
      <c r="E404" s="1186"/>
      <c r="F404" s="1186"/>
      <c r="G404" s="1186"/>
      <c r="H404" s="1186"/>
      <c r="I404" s="1186"/>
      <c r="J404" s="1186"/>
      <c r="K404" s="510" t="str">
        <f>'[6]PLANILHA ORÇAMENTÁRIA'!F114</f>
        <v>M2</v>
      </c>
      <c r="L404" s="511">
        <f>K408</f>
        <v>50.4</v>
      </c>
    </row>
    <row r="405" spans="2:12" hidden="1">
      <c r="B405" s="501"/>
      <c r="C405" s="1190" t="s">
        <v>20</v>
      </c>
      <c r="D405" s="1190"/>
      <c r="E405" s="1190"/>
      <c r="F405" s="512" t="s">
        <v>22</v>
      </c>
      <c r="G405" s="577" t="s">
        <v>111</v>
      </c>
      <c r="H405" s="512" t="s">
        <v>112</v>
      </c>
      <c r="I405" s="577" t="s">
        <v>154</v>
      </c>
      <c r="J405" s="577" t="s">
        <v>114</v>
      </c>
      <c r="K405" s="513" t="s">
        <v>25</v>
      </c>
      <c r="L405" s="503"/>
    </row>
    <row r="406" spans="2:12" hidden="1">
      <c r="B406" s="501"/>
      <c r="C406" s="1191" t="s">
        <v>172</v>
      </c>
      <c r="D406" s="1191"/>
      <c r="E406" s="1191"/>
      <c r="F406" s="514">
        <v>1</v>
      </c>
      <c r="G406" s="514">
        <v>2.4</v>
      </c>
      <c r="H406" s="514"/>
      <c r="I406" s="514">
        <v>12.6</v>
      </c>
      <c r="J406" s="514"/>
      <c r="K406" s="578">
        <f>TRUNC(((G406*I406)*F406)-J406,2)</f>
        <v>30.24</v>
      </c>
      <c r="L406" s="503"/>
    </row>
    <row r="407" spans="2:12" hidden="1">
      <c r="B407" s="501"/>
      <c r="C407" s="1191" t="s">
        <v>173</v>
      </c>
      <c r="D407" s="1191"/>
      <c r="E407" s="1191"/>
      <c r="F407" s="514">
        <v>1</v>
      </c>
      <c r="G407" s="514">
        <v>2.4</v>
      </c>
      <c r="H407" s="514"/>
      <c r="I407" s="514">
        <v>8.4</v>
      </c>
      <c r="J407" s="514"/>
      <c r="K407" s="578">
        <f>TRUNC(((G407*I407)*F407),2)</f>
        <v>20.16</v>
      </c>
      <c r="L407" s="503"/>
    </row>
    <row r="408" spans="2:12" hidden="1">
      <c r="B408" s="493"/>
      <c r="C408" s="1192" t="s">
        <v>116</v>
      </c>
      <c r="D408" s="1192"/>
      <c r="E408" s="1192"/>
      <c r="F408" s="1192"/>
      <c r="G408" s="1192"/>
      <c r="H408" s="1192"/>
      <c r="I408" s="1192"/>
      <c r="J408" s="1192"/>
      <c r="K408" s="513">
        <f>SUM(K406:K407)</f>
        <v>50.4</v>
      </c>
      <c r="L408" s="493"/>
    </row>
    <row r="409" spans="2:12" hidden="1">
      <c r="B409" s="493"/>
      <c r="C409" s="493"/>
      <c r="D409" s="493"/>
      <c r="E409" s="493"/>
      <c r="F409" s="493"/>
      <c r="G409" s="493"/>
      <c r="H409" s="493"/>
      <c r="I409" s="493"/>
      <c r="J409" s="493"/>
      <c r="K409" s="493"/>
      <c r="L409" s="493"/>
    </row>
    <row r="410" spans="2:12" hidden="1">
      <c r="B410" s="497" t="str">
        <f>'[6]PLANILHA ORÇAMENTÁRIA'!D115</f>
        <v>13.6</v>
      </c>
      <c r="C410" s="1186" t="str">
        <f>'[6]PLANILHA ORÇAMENTÁRIA'!E115</f>
        <v>APLICAÇÃO MANUAL DE PINTURA COM TINTA LÁTEX ACRÍLICA EM PAREDES, DUAS DEMÃOS. AF_06/2014</v>
      </c>
      <c r="D410" s="1186"/>
      <c r="E410" s="1186"/>
      <c r="F410" s="1186"/>
      <c r="G410" s="1186"/>
      <c r="H410" s="1186"/>
      <c r="I410" s="1186"/>
      <c r="J410" s="1186"/>
      <c r="K410" s="510" t="str">
        <f>'[6]PLANILHA ORÇAMENTÁRIA'!F115</f>
        <v>M2</v>
      </c>
      <c r="L410" s="511">
        <f>K414</f>
        <v>50.4</v>
      </c>
    </row>
    <row r="411" spans="2:12" hidden="1">
      <c r="B411" s="501"/>
      <c r="C411" s="1190" t="s">
        <v>20</v>
      </c>
      <c r="D411" s="1190"/>
      <c r="E411" s="1190"/>
      <c r="F411" s="512" t="s">
        <v>22</v>
      </c>
      <c r="G411" s="577" t="s">
        <v>111</v>
      </c>
      <c r="H411" s="512" t="s">
        <v>112</v>
      </c>
      <c r="I411" s="577" t="s">
        <v>154</v>
      </c>
      <c r="J411" s="577" t="s">
        <v>114</v>
      </c>
      <c r="K411" s="513" t="s">
        <v>25</v>
      </c>
      <c r="L411" s="503"/>
    </row>
    <row r="412" spans="2:12" hidden="1">
      <c r="B412" s="501"/>
      <c r="C412" s="1191" t="s">
        <v>172</v>
      </c>
      <c r="D412" s="1191"/>
      <c r="E412" s="1191"/>
      <c r="F412" s="514">
        <v>1</v>
      </c>
      <c r="G412" s="514">
        <v>2.4</v>
      </c>
      <c r="H412" s="514"/>
      <c r="I412" s="514">
        <v>12.6</v>
      </c>
      <c r="J412" s="514"/>
      <c r="K412" s="578">
        <f>TRUNC(((G412*I412)*F412)-J412,2)</f>
        <v>30.24</v>
      </c>
      <c r="L412" s="503"/>
    </row>
    <row r="413" spans="2:12" hidden="1">
      <c r="B413" s="501"/>
      <c r="C413" s="1191" t="s">
        <v>173</v>
      </c>
      <c r="D413" s="1191"/>
      <c r="E413" s="1191"/>
      <c r="F413" s="514">
        <v>1</v>
      </c>
      <c r="G413" s="514">
        <v>2.4</v>
      </c>
      <c r="H413" s="514"/>
      <c r="I413" s="514">
        <v>8.4</v>
      </c>
      <c r="J413" s="514"/>
      <c r="K413" s="578">
        <f>TRUNC(((G413*I413)*F413),2)</f>
        <v>20.16</v>
      </c>
      <c r="L413" s="503"/>
    </row>
    <row r="414" spans="2:12" hidden="1">
      <c r="B414" s="493"/>
      <c r="C414" s="1192" t="s">
        <v>116</v>
      </c>
      <c r="D414" s="1192"/>
      <c r="E414" s="1192"/>
      <c r="F414" s="1192"/>
      <c r="G414" s="1192"/>
      <c r="H414" s="1192"/>
      <c r="I414" s="1192"/>
      <c r="J414" s="1192"/>
      <c r="K414" s="513">
        <f>SUM(K412:K413)</f>
        <v>50.4</v>
      </c>
      <c r="L414" s="493"/>
    </row>
    <row r="415" spans="2:12" hidden="1">
      <c r="B415" s="493"/>
      <c r="C415" s="493"/>
      <c r="D415" s="493"/>
      <c r="E415" s="493"/>
      <c r="F415" s="493"/>
      <c r="G415" s="493"/>
      <c r="H415" s="493"/>
      <c r="I415" s="493"/>
      <c r="J415" s="493"/>
      <c r="K415" s="493"/>
      <c r="L415" s="493"/>
    </row>
    <row r="416" spans="2:12" hidden="1">
      <c r="B416" s="501" t="str">
        <f>'[6]PLANILHA ORÇAMENTÁRIA'!D116</f>
        <v>14.0</v>
      </c>
      <c r="C416" s="1193" t="str">
        <f>'[6]PLANILHA ORÇAMENTÁRIA'!E116</f>
        <v>APARELHOS DA ACADEMIA</v>
      </c>
      <c r="D416" s="1193"/>
      <c r="E416" s="1193"/>
      <c r="F416" s="1193"/>
      <c r="G416" s="1193"/>
      <c r="H416" s="1193"/>
      <c r="I416" s="1193"/>
      <c r="J416" s="1193"/>
      <c r="K416" s="497"/>
      <c r="L416" s="497"/>
    </row>
    <row r="417" spans="2:12" hidden="1">
      <c r="B417" s="501" t="str">
        <f>'[6]PLANILHA ORÇAMENTÁRIA'!D117</f>
        <v>14.1</v>
      </c>
      <c r="C417" s="1193" t="str">
        <f>'[6]PLANILHA ORÇAMENTÁRIA'!E117</f>
        <v>BARRA PARALELA</v>
      </c>
      <c r="D417" s="1193"/>
      <c r="E417" s="1193"/>
      <c r="F417" s="1193"/>
      <c r="G417" s="1193"/>
      <c r="H417" s="1193"/>
      <c r="I417" s="1193"/>
      <c r="J417" s="1193"/>
      <c r="K417" s="497"/>
      <c r="L417" s="497"/>
    </row>
    <row r="418" spans="2:12" ht="15" hidden="1" customHeight="1">
      <c r="B418" s="497" t="str">
        <f>'[6]PLANILHA ORÇAMENTÁRIA'!D118</f>
        <v>14.1.1</v>
      </c>
      <c r="C418" s="1186" t="str">
        <f>'[6]PLANILHA ORÇAMENTÁRIA'!E118</f>
        <v>ESCAVAÇÃO MANUAL DE VALA COM PROFUNDIDADE MENOR OU IGUAL A 1,30 M</v>
      </c>
      <c r="D418" s="1186"/>
      <c r="E418" s="1186"/>
      <c r="F418" s="1186"/>
      <c r="G418" s="1186"/>
      <c r="H418" s="1186"/>
      <c r="I418" s="1186"/>
      <c r="J418" s="1186"/>
      <c r="K418" s="510" t="str">
        <f>'[6]PLANILHA ORÇAMENTÁRIA'!F118</f>
        <v>M3</v>
      </c>
      <c r="L418" s="511">
        <f>K421</f>
        <v>9.9000000000000005E-2</v>
      </c>
    </row>
    <row r="419" spans="2:12" hidden="1">
      <c r="B419" s="501"/>
      <c r="C419" s="1190" t="s">
        <v>20</v>
      </c>
      <c r="D419" s="1190"/>
      <c r="E419" s="1190"/>
      <c r="F419" s="512" t="s">
        <v>22</v>
      </c>
      <c r="G419" s="577" t="s">
        <v>111</v>
      </c>
      <c r="H419" s="512" t="s">
        <v>112</v>
      </c>
      <c r="I419" s="577" t="s">
        <v>113</v>
      </c>
      <c r="J419" s="577" t="s">
        <v>114</v>
      </c>
      <c r="K419" s="513" t="s">
        <v>25</v>
      </c>
      <c r="L419" s="503"/>
    </row>
    <row r="420" spans="2:12" hidden="1">
      <c r="B420" s="501"/>
      <c r="C420" s="1191" t="s">
        <v>174</v>
      </c>
      <c r="D420" s="1191"/>
      <c r="E420" s="1191"/>
      <c r="F420" s="514">
        <v>8</v>
      </c>
      <c r="G420" s="514">
        <v>0.55000000000000004</v>
      </c>
      <c r="H420" s="514">
        <v>0.15</v>
      </c>
      <c r="I420" s="514">
        <v>0.15</v>
      </c>
      <c r="J420" s="514"/>
      <c r="K420" s="515">
        <f>PRODUCT(F420:I420)</f>
        <v>9.9000000000000005E-2</v>
      </c>
      <c r="L420" s="503"/>
    </row>
    <row r="421" spans="2:12" hidden="1">
      <c r="B421" s="501"/>
      <c r="C421" s="1192" t="s">
        <v>116</v>
      </c>
      <c r="D421" s="1192"/>
      <c r="E421" s="1192"/>
      <c r="F421" s="1192"/>
      <c r="G421" s="1192"/>
      <c r="H421" s="1192"/>
      <c r="I421" s="1192"/>
      <c r="J421" s="1192"/>
      <c r="K421" s="516">
        <f>SUM(K420:K420)</f>
        <v>9.9000000000000005E-2</v>
      </c>
      <c r="L421" s="503"/>
    </row>
    <row r="422" spans="2:12" hidden="1">
      <c r="B422" s="501"/>
      <c r="C422" s="517"/>
      <c r="D422" s="517"/>
      <c r="E422" s="517"/>
      <c r="F422" s="517"/>
      <c r="G422" s="517"/>
      <c r="H422" s="517"/>
      <c r="I422" s="517"/>
      <c r="J422" s="517"/>
      <c r="K422" s="518"/>
      <c r="L422" s="503"/>
    </row>
    <row r="423" spans="2:12" ht="22.5" hidden="1" customHeight="1">
      <c r="B423" s="497" t="str">
        <f>'[6]PLANILHA ORÇAMENTÁRIA'!D119</f>
        <v>14.1.2</v>
      </c>
      <c r="C423" s="1186" t="str">
        <f>'[6]PLANILHA ORÇAMENTÁRIA'!E119</f>
        <v>LASTRO DE CONCRETO MAGRO, APLICADO EM PISOS OU RADIERS, ESPESSURA DE 5CM. AF_07_2016</v>
      </c>
      <c r="D423" s="1186"/>
      <c r="E423" s="1186"/>
      <c r="F423" s="1186"/>
      <c r="G423" s="1186"/>
      <c r="H423" s="1186"/>
      <c r="I423" s="1186"/>
      <c r="J423" s="1186"/>
      <c r="K423" s="510" t="str">
        <f>'[6]PLANILHA ORÇAMENTÁRIA'!F119</f>
        <v>M2</v>
      </c>
      <c r="L423" s="511">
        <f>K426</f>
        <v>0.18</v>
      </c>
    </row>
    <row r="424" spans="2:12" hidden="1">
      <c r="B424" s="501"/>
      <c r="C424" s="1190" t="s">
        <v>20</v>
      </c>
      <c r="D424" s="1190"/>
      <c r="E424" s="1190"/>
      <c r="F424" s="512" t="s">
        <v>22</v>
      </c>
      <c r="G424" s="577" t="s">
        <v>111</v>
      </c>
      <c r="H424" s="512" t="s">
        <v>112</v>
      </c>
      <c r="I424" s="577" t="s">
        <v>113</v>
      </c>
      <c r="J424" s="577" t="s">
        <v>114</v>
      </c>
      <c r="K424" s="513" t="s">
        <v>25</v>
      </c>
      <c r="L424" s="503"/>
    </row>
    <row r="425" spans="2:12" hidden="1">
      <c r="B425" s="501"/>
      <c r="C425" s="1191"/>
      <c r="D425" s="1191"/>
      <c r="E425" s="1191"/>
      <c r="F425" s="514">
        <v>8</v>
      </c>
      <c r="G425" s="514"/>
      <c r="H425" s="514">
        <v>0.15</v>
      </c>
      <c r="I425" s="514">
        <v>0.15</v>
      </c>
      <c r="J425" s="514"/>
      <c r="K425" s="515">
        <f>PRODUCT(F425:I425)</f>
        <v>0.18</v>
      </c>
      <c r="L425" s="503"/>
    </row>
    <row r="426" spans="2:12" hidden="1">
      <c r="B426" s="501"/>
      <c r="C426" s="1192" t="s">
        <v>116</v>
      </c>
      <c r="D426" s="1192"/>
      <c r="E426" s="1192"/>
      <c r="F426" s="1192"/>
      <c r="G426" s="1192"/>
      <c r="H426" s="1192"/>
      <c r="I426" s="1192"/>
      <c r="J426" s="1192"/>
      <c r="K426" s="516">
        <f>SUM(K425:K425)</f>
        <v>0.18</v>
      </c>
      <c r="L426" s="503"/>
    </row>
    <row r="427" spans="2:12" hidden="1">
      <c r="B427" s="501"/>
      <c r="C427" s="517"/>
      <c r="D427" s="517"/>
      <c r="E427" s="517"/>
      <c r="F427" s="517"/>
      <c r="G427" s="517"/>
      <c r="H427" s="517"/>
      <c r="I427" s="517"/>
      <c r="J427" s="517"/>
      <c r="K427" s="518"/>
      <c r="L427" s="503"/>
    </row>
    <row r="428" spans="2:12" ht="24" hidden="1" customHeight="1">
      <c r="B428" s="497" t="str">
        <f>'[6]PLANILHA ORÇAMENTÁRIA'!D120</f>
        <v>14.1.3</v>
      </c>
      <c r="C428" s="1186" t="str">
        <f>'[6]PLANILHA ORÇAMENTÁRIA'!E120</f>
        <v>CONCRETAGEM DE BLOCOS DE COROAMENTO E VIGAS BALDRAMES, FCK 30 MPA, COM USO DE BOMBA LANÇAMENTO, ADENSAMENTO E ACABAMENTO. AF_06/2017</v>
      </c>
      <c r="D428" s="1186"/>
      <c r="E428" s="1186"/>
      <c r="F428" s="1186"/>
      <c r="G428" s="1186"/>
      <c r="H428" s="1186"/>
      <c r="I428" s="1186"/>
      <c r="J428" s="1186"/>
      <c r="K428" s="510" t="str">
        <f>'[6]PLANILHA ORÇAMENTÁRIA'!F120</f>
        <v>M3</v>
      </c>
      <c r="L428" s="511">
        <f>K431</f>
        <v>7.0000000000000007E-2</v>
      </c>
    </row>
    <row r="429" spans="2:12" hidden="1">
      <c r="B429" s="501"/>
      <c r="C429" s="1190" t="s">
        <v>20</v>
      </c>
      <c r="D429" s="1190"/>
      <c r="E429" s="1190"/>
      <c r="F429" s="512" t="s">
        <v>22</v>
      </c>
      <c r="G429" s="577" t="s">
        <v>111</v>
      </c>
      <c r="H429" s="512" t="s">
        <v>112</v>
      </c>
      <c r="I429" s="577" t="s">
        <v>113</v>
      </c>
      <c r="J429" s="577" t="s">
        <v>114</v>
      </c>
      <c r="K429" s="513" t="s">
        <v>25</v>
      </c>
      <c r="L429" s="503"/>
    </row>
    <row r="430" spans="2:12" hidden="1">
      <c r="B430" s="501"/>
      <c r="C430" s="1191" t="s">
        <v>175</v>
      </c>
      <c r="D430" s="1191"/>
      <c r="E430" s="1191"/>
      <c r="F430" s="514">
        <v>8</v>
      </c>
      <c r="G430" s="514">
        <v>0.4</v>
      </c>
      <c r="H430" s="514">
        <v>0.15</v>
      </c>
      <c r="I430" s="514">
        <v>0.15</v>
      </c>
      <c r="J430" s="514"/>
      <c r="K430" s="578">
        <f>TRUNC(G430*H430*F430*I430,2)</f>
        <v>7.0000000000000007E-2</v>
      </c>
      <c r="L430" s="503"/>
    </row>
    <row r="431" spans="2:12" hidden="1">
      <c r="B431" s="501"/>
      <c r="C431" s="1192" t="s">
        <v>116</v>
      </c>
      <c r="D431" s="1192"/>
      <c r="E431" s="1192"/>
      <c r="F431" s="1192"/>
      <c r="G431" s="1192"/>
      <c r="H431" s="1192"/>
      <c r="I431" s="1192"/>
      <c r="J431" s="1192"/>
      <c r="K431" s="513">
        <f>SUM(K430:K430)</f>
        <v>7.0000000000000007E-2</v>
      </c>
      <c r="L431" s="503"/>
    </row>
    <row r="432" spans="2:12" hidden="1">
      <c r="B432" s="493"/>
      <c r="C432" s="493"/>
      <c r="D432" s="493"/>
      <c r="E432" s="493"/>
      <c r="F432" s="493"/>
      <c r="G432" s="493"/>
      <c r="H432" s="493"/>
      <c r="I432" s="493"/>
      <c r="J432" s="493"/>
      <c r="K432" s="493"/>
      <c r="L432" s="493"/>
    </row>
    <row r="433" spans="2:12" ht="15" hidden="1" customHeight="1">
      <c r="B433" s="497" t="str">
        <f>'[6]PLANILHA ORÇAMENTÁRIA'!D121</f>
        <v>14.1.4</v>
      </c>
      <c r="C433" s="1186" t="str">
        <f>'[6]PLANILHA ORÇAMENTÁRIA'!E121</f>
        <v>TUBO DE AÇO GALVANIZADO COM COSTURA 2" - FORNECIMENTO E INSTALACAO.</v>
      </c>
      <c r="D433" s="1186"/>
      <c r="E433" s="1186"/>
      <c r="F433" s="1186"/>
      <c r="G433" s="1186"/>
      <c r="H433" s="1186"/>
      <c r="I433" s="1186"/>
      <c r="J433" s="1186"/>
      <c r="K433" s="510" t="str">
        <f>'[6]PLANILHA ORÇAMENTÁRIA'!F121</f>
        <v>M</v>
      </c>
      <c r="L433" s="511">
        <f>K437</f>
        <v>21.2</v>
      </c>
    </row>
    <row r="434" spans="2:12" hidden="1">
      <c r="B434" s="501"/>
      <c r="C434" s="1190" t="s">
        <v>20</v>
      </c>
      <c r="D434" s="1190"/>
      <c r="E434" s="1190"/>
      <c r="F434" s="512" t="s">
        <v>22</v>
      </c>
      <c r="G434" s="577" t="s">
        <v>111</v>
      </c>
      <c r="H434" s="512" t="s">
        <v>112</v>
      </c>
      <c r="I434" s="577" t="s">
        <v>113</v>
      </c>
      <c r="J434" s="577" t="s">
        <v>114</v>
      </c>
      <c r="K434" s="513" t="s">
        <v>25</v>
      </c>
      <c r="L434" s="503"/>
    </row>
    <row r="435" spans="2:12" hidden="1">
      <c r="B435" s="501"/>
      <c r="C435" s="1191" t="s">
        <v>176</v>
      </c>
      <c r="D435" s="1191"/>
      <c r="E435" s="1191"/>
      <c r="F435" s="514">
        <v>8</v>
      </c>
      <c r="G435" s="514"/>
      <c r="H435" s="514"/>
      <c r="I435" s="514">
        <v>1.65</v>
      </c>
      <c r="J435" s="514"/>
      <c r="K435" s="578">
        <f>F435*I435</f>
        <v>13.2</v>
      </c>
      <c r="L435" s="503"/>
    </row>
    <row r="436" spans="2:12" hidden="1">
      <c r="B436" s="501"/>
      <c r="C436" s="1180" t="s">
        <v>177</v>
      </c>
      <c r="D436" s="1181"/>
      <c r="E436" s="1182"/>
      <c r="F436" s="514">
        <v>4</v>
      </c>
      <c r="G436" s="514"/>
      <c r="H436" s="514"/>
      <c r="I436" s="514">
        <v>2</v>
      </c>
      <c r="J436" s="514"/>
      <c r="K436" s="578">
        <f>F436*I436</f>
        <v>8</v>
      </c>
      <c r="L436" s="503"/>
    </row>
    <row r="437" spans="2:12" hidden="1">
      <c r="B437" s="501"/>
      <c r="C437" s="1192" t="s">
        <v>116</v>
      </c>
      <c r="D437" s="1192"/>
      <c r="E437" s="1192"/>
      <c r="F437" s="1192"/>
      <c r="G437" s="1192"/>
      <c r="H437" s="1192"/>
      <c r="I437" s="1192"/>
      <c r="J437" s="1192"/>
      <c r="K437" s="513">
        <f>SUM(K435:K436)</f>
        <v>21.2</v>
      </c>
      <c r="L437" s="503"/>
    </row>
    <row r="438" spans="2:12" hidden="1">
      <c r="B438" s="501"/>
      <c r="C438" s="517"/>
      <c r="D438" s="517"/>
      <c r="E438" s="517"/>
      <c r="F438" s="517"/>
      <c r="G438" s="517"/>
      <c r="H438" s="517"/>
      <c r="I438" s="517"/>
      <c r="J438" s="517"/>
      <c r="K438" s="519"/>
      <c r="L438" s="503"/>
    </row>
    <row r="439" spans="2:12" ht="15" hidden="1" customHeight="1">
      <c r="B439" s="497" t="str">
        <f>'[6]PLANILHA ORÇAMENTÁRIA'!D122</f>
        <v>14.1.5</v>
      </c>
      <c r="C439" s="1186" t="str">
        <f>'[6]PLANILHA ORÇAMENTÁRIA'!E122</f>
        <v>PINTURA ESMALTE ALTO BRILHO, DUAS DEMAOS, SOBRE SUPERFICIE METALICA</v>
      </c>
      <c r="D439" s="1186"/>
      <c r="E439" s="1186"/>
      <c r="F439" s="1186"/>
      <c r="G439" s="1186"/>
      <c r="H439" s="1186"/>
      <c r="I439" s="1186"/>
      <c r="J439" s="1186"/>
      <c r="K439" s="510" t="str">
        <f>'[6]PLANILHA ORÇAMENTÁRIA'!F122</f>
        <v>M2</v>
      </c>
      <c r="L439" s="511">
        <f>K444</f>
        <v>2.76</v>
      </c>
    </row>
    <row r="440" spans="2:12" hidden="1">
      <c r="B440" s="501"/>
      <c r="C440" s="1190" t="s">
        <v>20</v>
      </c>
      <c r="D440" s="1190"/>
      <c r="E440" s="1190"/>
      <c r="F440" s="512" t="s">
        <v>22</v>
      </c>
      <c r="G440" s="577" t="s">
        <v>111</v>
      </c>
      <c r="H440" s="512" t="s">
        <v>178</v>
      </c>
      <c r="I440" s="577" t="s">
        <v>113</v>
      </c>
      <c r="J440" s="577" t="s">
        <v>114</v>
      </c>
      <c r="K440" s="513" t="s">
        <v>25</v>
      </c>
      <c r="L440" s="503"/>
    </row>
    <row r="441" spans="2:12" hidden="1">
      <c r="B441" s="501"/>
      <c r="C441" s="1191" t="s">
        <v>176</v>
      </c>
      <c r="D441" s="1191"/>
      <c r="E441" s="1191"/>
      <c r="F441" s="514">
        <v>8</v>
      </c>
      <c r="G441" s="514"/>
      <c r="H441" s="527">
        <v>2.5000000000000001E-2</v>
      </c>
      <c r="I441" s="514">
        <v>1.2</v>
      </c>
      <c r="J441" s="514"/>
      <c r="K441" s="578">
        <f>TRUNC((2*3.14*H441*I441)*F441,2)</f>
        <v>1.5</v>
      </c>
      <c r="L441" s="503"/>
    </row>
    <row r="442" spans="2:12" hidden="1">
      <c r="B442" s="501"/>
      <c r="C442" s="1180" t="s">
        <v>177</v>
      </c>
      <c r="D442" s="1181"/>
      <c r="E442" s="1182"/>
      <c r="F442" s="514">
        <v>4</v>
      </c>
      <c r="G442" s="514"/>
      <c r="H442" s="527">
        <v>2.5000000000000001E-2</v>
      </c>
      <c r="I442" s="514">
        <v>2</v>
      </c>
      <c r="J442" s="514"/>
      <c r="K442" s="578">
        <f>TRUNC((2*3.14*H442*I442)*F442,2)</f>
        <v>1.25</v>
      </c>
      <c r="L442" s="503"/>
    </row>
    <row r="443" spans="2:12" hidden="1">
      <c r="B443" s="501"/>
      <c r="C443" s="1180" t="s">
        <v>179</v>
      </c>
      <c r="D443" s="1181"/>
      <c r="E443" s="1182"/>
      <c r="F443" s="514">
        <v>8</v>
      </c>
      <c r="G443" s="514"/>
      <c r="H443" s="527">
        <v>2.5000000000000001E-2</v>
      </c>
      <c r="I443" s="514"/>
      <c r="J443" s="514"/>
      <c r="K443" s="578">
        <f>TRUNC((3.14*H443^2)*F443,2)</f>
        <v>0.01</v>
      </c>
      <c r="L443" s="503"/>
    </row>
    <row r="444" spans="2:12" hidden="1">
      <c r="B444" s="501"/>
      <c r="C444" s="1192" t="s">
        <v>116</v>
      </c>
      <c r="D444" s="1192"/>
      <c r="E444" s="1192"/>
      <c r="F444" s="1192"/>
      <c r="G444" s="1192"/>
      <c r="H444" s="1192"/>
      <c r="I444" s="1192"/>
      <c r="J444" s="1192"/>
      <c r="K444" s="513">
        <f>SUM(K441:K443)</f>
        <v>2.76</v>
      </c>
      <c r="L444" s="503"/>
    </row>
    <row r="445" spans="2:12" hidden="1">
      <c r="B445" s="501"/>
      <c r="C445" s="517"/>
      <c r="D445" s="517"/>
      <c r="E445" s="517"/>
      <c r="F445" s="517"/>
      <c r="G445" s="517"/>
      <c r="H445" s="517"/>
      <c r="I445" s="517"/>
      <c r="J445" s="517"/>
      <c r="K445" s="519"/>
      <c r="L445" s="503"/>
    </row>
    <row r="446" spans="2:12" hidden="1">
      <c r="B446" s="501" t="str">
        <f>'[6]PLANILHA ORÇAMENTÁRIA'!D123</f>
        <v>14.2</v>
      </c>
      <c r="C446" s="1193" t="str">
        <f>'[6]PLANILHA ORÇAMENTÁRIA'!E123</f>
        <v>BARRAS MARINHEIRO</v>
      </c>
      <c r="D446" s="1193"/>
      <c r="E446" s="1193"/>
      <c r="F446" s="1193"/>
      <c r="G446" s="1193"/>
      <c r="H446" s="1193"/>
      <c r="I446" s="1193"/>
      <c r="J446" s="1193"/>
      <c r="K446" s="497"/>
      <c r="L446" s="497"/>
    </row>
    <row r="447" spans="2:12" ht="15" hidden="1" customHeight="1">
      <c r="B447" s="497" t="str">
        <f>'[6]PLANILHA ORÇAMENTÁRIA'!D124</f>
        <v>14.2.1</v>
      </c>
      <c r="C447" s="1186" t="str">
        <f>'[6]PLANILHA ORÇAMENTÁRIA'!E124</f>
        <v>ESCAVAÇÃO MANUAL DE VALA COM PROFUNDIDADE MENOR OU IGUAL A 1,30 M</v>
      </c>
      <c r="D447" s="1186"/>
      <c r="E447" s="1186"/>
      <c r="F447" s="1186"/>
      <c r="G447" s="1186"/>
      <c r="H447" s="1186"/>
      <c r="I447" s="1186"/>
      <c r="J447" s="1186"/>
      <c r="K447" s="510" t="str">
        <f>'[6]PLANILHA ORÇAMENTÁRIA'!F124</f>
        <v>M3</v>
      </c>
      <c r="L447" s="511">
        <f>K450</f>
        <v>0.14849999999999999</v>
      </c>
    </row>
    <row r="448" spans="2:12" hidden="1">
      <c r="B448" s="501"/>
      <c r="C448" s="1190" t="s">
        <v>20</v>
      </c>
      <c r="D448" s="1190"/>
      <c r="E448" s="1190"/>
      <c r="F448" s="512" t="s">
        <v>22</v>
      </c>
      <c r="G448" s="577" t="s">
        <v>111</v>
      </c>
      <c r="H448" s="512" t="s">
        <v>112</v>
      </c>
      <c r="I448" s="577" t="s">
        <v>113</v>
      </c>
      <c r="J448" s="577" t="s">
        <v>114</v>
      </c>
      <c r="K448" s="513" t="s">
        <v>25</v>
      </c>
      <c r="L448" s="503"/>
    </row>
    <row r="449" spans="2:12" hidden="1">
      <c r="B449" s="501"/>
      <c r="C449" s="1191" t="s">
        <v>174</v>
      </c>
      <c r="D449" s="1191"/>
      <c r="E449" s="1191"/>
      <c r="F449" s="514">
        <v>12</v>
      </c>
      <c r="G449" s="514">
        <v>0.55000000000000004</v>
      </c>
      <c r="H449" s="514">
        <v>0.15</v>
      </c>
      <c r="I449" s="514">
        <v>0.15</v>
      </c>
      <c r="J449" s="514"/>
      <c r="K449" s="515">
        <f>PRODUCT(F449:I449)</f>
        <v>0.14849999999999999</v>
      </c>
      <c r="L449" s="503"/>
    </row>
    <row r="450" spans="2:12" hidden="1">
      <c r="B450" s="501"/>
      <c r="C450" s="1192" t="s">
        <v>116</v>
      </c>
      <c r="D450" s="1192"/>
      <c r="E450" s="1192"/>
      <c r="F450" s="1192"/>
      <c r="G450" s="1192"/>
      <c r="H450" s="1192"/>
      <c r="I450" s="1192"/>
      <c r="J450" s="1192"/>
      <c r="K450" s="516">
        <f>SUM(K449:K449)</f>
        <v>0.14849999999999999</v>
      </c>
      <c r="L450" s="503"/>
    </row>
    <row r="451" spans="2:12" hidden="1">
      <c r="B451" s="501"/>
      <c r="C451" s="517"/>
      <c r="D451" s="517"/>
      <c r="E451" s="517"/>
      <c r="F451" s="517"/>
      <c r="G451" s="517"/>
      <c r="H451" s="517"/>
      <c r="I451" s="517"/>
      <c r="J451" s="517"/>
      <c r="K451" s="518"/>
      <c r="L451" s="503"/>
    </row>
    <row r="452" spans="2:12" ht="15" hidden="1" customHeight="1">
      <c r="B452" s="497" t="str">
        <f>'[6]PLANILHA ORÇAMENTÁRIA'!D125</f>
        <v>14.2.2</v>
      </c>
      <c r="C452" s="1186" t="str">
        <f>'[6]PLANILHA ORÇAMENTÁRIA'!E125</f>
        <v>LASTRO DE CONCRETO MAGRO, APLICADO EM PISOS OU RADIERS, ESPESSURA DE 5CM. AF_07_2016</v>
      </c>
      <c r="D452" s="1186"/>
      <c r="E452" s="1186"/>
      <c r="F452" s="1186"/>
      <c r="G452" s="1186"/>
      <c r="H452" s="1186"/>
      <c r="I452" s="1186"/>
      <c r="J452" s="1186"/>
      <c r="K452" s="510" t="str">
        <f>'[6]PLANILHA ORÇAMENTÁRIA'!F125</f>
        <v>M2</v>
      </c>
      <c r="L452" s="511">
        <f>K455</f>
        <v>0.26999999999999996</v>
      </c>
    </row>
    <row r="453" spans="2:12" hidden="1">
      <c r="B453" s="501"/>
      <c r="C453" s="1190" t="s">
        <v>20</v>
      </c>
      <c r="D453" s="1190"/>
      <c r="E453" s="1190"/>
      <c r="F453" s="512" t="s">
        <v>22</v>
      </c>
      <c r="G453" s="577" t="s">
        <v>111</v>
      </c>
      <c r="H453" s="512" t="s">
        <v>112</v>
      </c>
      <c r="I453" s="577" t="s">
        <v>113</v>
      </c>
      <c r="J453" s="577" t="s">
        <v>114</v>
      </c>
      <c r="K453" s="513" t="s">
        <v>25</v>
      </c>
      <c r="L453" s="503"/>
    </row>
    <row r="454" spans="2:12" hidden="1">
      <c r="B454" s="501"/>
      <c r="C454" s="1191"/>
      <c r="D454" s="1191"/>
      <c r="E454" s="1191"/>
      <c r="F454" s="514">
        <v>12</v>
      </c>
      <c r="G454" s="514"/>
      <c r="H454" s="514">
        <v>0.15</v>
      </c>
      <c r="I454" s="514">
        <v>0.15</v>
      </c>
      <c r="J454" s="514"/>
      <c r="K454" s="515">
        <f>PRODUCT(F454:I454)</f>
        <v>0.26999999999999996</v>
      </c>
      <c r="L454" s="503"/>
    </row>
    <row r="455" spans="2:12" hidden="1">
      <c r="B455" s="501"/>
      <c r="C455" s="1192" t="s">
        <v>116</v>
      </c>
      <c r="D455" s="1192"/>
      <c r="E455" s="1192"/>
      <c r="F455" s="1192"/>
      <c r="G455" s="1192"/>
      <c r="H455" s="1192"/>
      <c r="I455" s="1192"/>
      <c r="J455" s="1192"/>
      <c r="K455" s="516">
        <f>SUM(K454:K454)</f>
        <v>0.26999999999999996</v>
      </c>
      <c r="L455" s="503"/>
    </row>
    <row r="456" spans="2:12" hidden="1">
      <c r="B456" s="501"/>
      <c r="C456" s="517"/>
      <c r="D456" s="517"/>
      <c r="E456" s="517"/>
      <c r="F456" s="517"/>
      <c r="G456" s="517"/>
      <c r="H456" s="517"/>
      <c r="I456" s="517"/>
      <c r="J456" s="517"/>
      <c r="K456" s="518"/>
      <c r="L456" s="503"/>
    </row>
    <row r="457" spans="2:12" ht="22.5" hidden="1" customHeight="1">
      <c r="B457" s="497" t="str">
        <f>'[6]PLANILHA ORÇAMENTÁRIA'!D126</f>
        <v>14.2.3</v>
      </c>
      <c r="C457" s="1186" t="str">
        <f>'[6]PLANILHA ORÇAMENTÁRIA'!E126</f>
        <v>CONCRETAGEM DE BLOCOS DE COROAMENTO E VIGAS BALDRAMES, FCK 30 MPA, COM USO DE BOMBA LANÇAMENTO, ADENSAMENTO E ACABAMENTO. AF_06/2017</v>
      </c>
      <c r="D457" s="1186"/>
      <c r="E457" s="1186"/>
      <c r="F457" s="1186"/>
      <c r="G457" s="1186"/>
      <c r="H457" s="1186"/>
      <c r="I457" s="1186"/>
      <c r="J457" s="1186"/>
      <c r="K457" s="510" t="str">
        <f>'[6]PLANILHA ORÇAMENTÁRIA'!F126</f>
        <v>M3</v>
      </c>
      <c r="L457" s="511">
        <f>K460</f>
        <v>0.1</v>
      </c>
    </row>
    <row r="458" spans="2:12" hidden="1">
      <c r="B458" s="501"/>
      <c r="C458" s="1190" t="s">
        <v>20</v>
      </c>
      <c r="D458" s="1190"/>
      <c r="E458" s="1190"/>
      <c r="F458" s="512" t="s">
        <v>22</v>
      </c>
      <c r="G458" s="577" t="s">
        <v>111</v>
      </c>
      <c r="H458" s="512" t="s">
        <v>112</v>
      </c>
      <c r="I458" s="577" t="s">
        <v>113</v>
      </c>
      <c r="J458" s="577" t="s">
        <v>114</v>
      </c>
      <c r="K458" s="513" t="s">
        <v>25</v>
      </c>
      <c r="L458" s="503"/>
    </row>
    <row r="459" spans="2:12" hidden="1">
      <c r="B459" s="501"/>
      <c r="C459" s="1191" t="s">
        <v>175</v>
      </c>
      <c r="D459" s="1191"/>
      <c r="E459" s="1191"/>
      <c r="F459" s="514">
        <v>12</v>
      </c>
      <c r="G459" s="514">
        <v>0.4</v>
      </c>
      <c r="H459" s="514">
        <v>0.15</v>
      </c>
      <c r="I459" s="514">
        <v>0.15</v>
      </c>
      <c r="J459" s="514"/>
      <c r="K459" s="578">
        <f>TRUNC(G459*H459*F459*I459,2)</f>
        <v>0.1</v>
      </c>
      <c r="L459" s="503"/>
    </row>
    <row r="460" spans="2:12" hidden="1">
      <c r="B460" s="501"/>
      <c r="C460" s="1192" t="s">
        <v>116</v>
      </c>
      <c r="D460" s="1192"/>
      <c r="E460" s="1192"/>
      <c r="F460" s="1192"/>
      <c r="G460" s="1192"/>
      <c r="H460" s="1192"/>
      <c r="I460" s="1192"/>
      <c r="J460" s="1192"/>
      <c r="K460" s="513">
        <f>SUM(K459:K459)</f>
        <v>0.1</v>
      </c>
      <c r="L460" s="503"/>
    </row>
    <row r="461" spans="2:12" hidden="1">
      <c r="B461" s="493"/>
      <c r="C461" s="493"/>
      <c r="D461" s="493"/>
      <c r="E461" s="493"/>
      <c r="F461" s="493"/>
      <c r="G461" s="493"/>
      <c r="H461" s="493"/>
      <c r="I461" s="493"/>
      <c r="J461" s="493"/>
      <c r="K461" s="493"/>
      <c r="L461" s="493"/>
    </row>
    <row r="462" spans="2:12" ht="15" hidden="1" customHeight="1">
      <c r="B462" s="497" t="str">
        <f>'[6]PLANILHA ORÇAMENTÁRIA'!D127</f>
        <v>14.2.4</v>
      </c>
      <c r="C462" s="1186" t="str">
        <f>'[6]PLANILHA ORÇAMENTÁRIA'!E127</f>
        <v>TUBO DE AÇO GALVANIZADO COM COSTURA 2" - FORNECIMENTO E INSTALACAO. - M</v>
      </c>
      <c r="D462" s="1186"/>
      <c r="E462" s="1186"/>
      <c r="F462" s="1186"/>
      <c r="G462" s="1186"/>
      <c r="H462" s="1186"/>
      <c r="I462" s="1186"/>
      <c r="J462" s="1186"/>
      <c r="K462" s="510" t="str">
        <f>'[6]PLANILHA ORÇAMENTÁRIA'!F127</f>
        <v>M</v>
      </c>
      <c r="L462" s="511">
        <f>K467</f>
        <v>19.100000000000001</v>
      </c>
    </row>
    <row r="463" spans="2:12" hidden="1">
      <c r="B463" s="501"/>
      <c r="C463" s="1190" t="s">
        <v>20</v>
      </c>
      <c r="D463" s="1190"/>
      <c r="E463" s="1190"/>
      <c r="F463" s="512" t="s">
        <v>22</v>
      </c>
      <c r="G463" s="577" t="s">
        <v>111</v>
      </c>
      <c r="H463" s="512" t="s">
        <v>112</v>
      </c>
      <c r="I463" s="577" t="s">
        <v>113</v>
      </c>
      <c r="J463" s="577" t="s">
        <v>114</v>
      </c>
      <c r="K463" s="513" t="s">
        <v>25</v>
      </c>
      <c r="L463" s="503"/>
    </row>
    <row r="464" spans="2:12" hidden="1">
      <c r="B464" s="501"/>
      <c r="C464" s="1191" t="s">
        <v>180</v>
      </c>
      <c r="D464" s="1191"/>
      <c r="E464" s="1191"/>
      <c r="F464" s="514">
        <v>2</v>
      </c>
      <c r="G464" s="514"/>
      <c r="H464" s="514"/>
      <c r="I464" s="514">
        <v>3.56</v>
      </c>
      <c r="J464" s="514"/>
      <c r="K464" s="578">
        <f>F464*I464</f>
        <v>7.12</v>
      </c>
      <c r="L464" s="503"/>
    </row>
    <row r="465" spans="2:12" hidden="1">
      <c r="B465" s="501"/>
      <c r="C465" s="1180" t="s">
        <v>181</v>
      </c>
      <c r="D465" s="1181"/>
      <c r="E465" s="1182"/>
      <c r="F465" s="514">
        <v>2</v>
      </c>
      <c r="G465" s="514"/>
      <c r="H465" s="514"/>
      <c r="I465" s="514">
        <v>3.16</v>
      </c>
      <c r="J465" s="514"/>
      <c r="K465" s="578">
        <f>F465*I465</f>
        <v>6.32</v>
      </c>
      <c r="L465" s="503"/>
    </row>
    <row r="466" spans="2:12" hidden="1">
      <c r="B466" s="501"/>
      <c r="C466" s="1180" t="s">
        <v>182</v>
      </c>
      <c r="D466" s="1181"/>
      <c r="E466" s="1182"/>
      <c r="F466" s="514">
        <v>2</v>
      </c>
      <c r="G466" s="514"/>
      <c r="H466" s="514"/>
      <c r="I466" s="514">
        <v>2.83</v>
      </c>
      <c r="J466" s="514"/>
      <c r="K466" s="578">
        <f>F466*I466</f>
        <v>5.66</v>
      </c>
      <c r="L466" s="503"/>
    </row>
    <row r="467" spans="2:12" hidden="1">
      <c r="B467" s="501"/>
      <c r="C467" s="1192" t="s">
        <v>116</v>
      </c>
      <c r="D467" s="1192"/>
      <c r="E467" s="1192"/>
      <c r="F467" s="1192"/>
      <c r="G467" s="1192"/>
      <c r="H467" s="1192"/>
      <c r="I467" s="1192"/>
      <c r="J467" s="1192"/>
      <c r="K467" s="513">
        <f>SUM(K464:K466)</f>
        <v>19.100000000000001</v>
      </c>
      <c r="L467" s="503"/>
    </row>
    <row r="468" spans="2:12" hidden="1">
      <c r="B468" s="501"/>
      <c r="C468" s="517"/>
      <c r="D468" s="517"/>
      <c r="E468" s="517"/>
      <c r="F468" s="517"/>
      <c r="G468" s="517"/>
      <c r="H468" s="517"/>
      <c r="I468" s="517"/>
      <c r="J468" s="517"/>
      <c r="K468" s="519"/>
      <c r="L468" s="503"/>
    </row>
    <row r="469" spans="2:12" ht="15" hidden="1" customHeight="1">
      <c r="B469" s="497" t="str">
        <f>'[6]PLANILHA ORÇAMENTÁRIA'!D128</f>
        <v>14.2.5</v>
      </c>
      <c r="C469" s="1186" t="str">
        <f>'[6]PLANILHA ORÇAMENTÁRIA'!E128</f>
        <v>PINTURA ESMALTE ALTO BRILHO, DUAS DEMAOS, SOBRE SUPERFICIE METALICA</v>
      </c>
      <c r="D469" s="1186"/>
      <c r="E469" s="1186"/>
      <c r="F469" s="1186"/>
      <c r="G469" s="1186"/>
      <c r="H469" s="1186"/>
      <c r="I469" s="1186"/>
      <c r="J469" s="1186"/>
      <c r="K469" s="510" t="str">
        <f>'[6]PLANILHA ORÇAMENTÁRIA'!F128</f>
        <v>M2</v>
      </c>
      <c r="L469" s="511">
        <f>K474</f>
        <v>2.13</v>
      </c>
    </row>
    <row r="470" spans="2:12" hidden="1">
      <c r="B470" s="501"/>
      <c r="C470" s="1190" t="s">
        <v>20</v>
      </c>
      <c r="D470" s="1190"/>
      <c r="E470" s="1190"/>
      <c r="F470" s="512" t="s">
        <v>22</v>
      </c>
      <c r="G470" s="577" t="s">
        <v>111</v>
      </c>
      <c r="H470" s="512" t="s">
        <v>178</v>
      </c>
      <c r="I470" s="577" t="s">
        <v>113</v>
      </c>
      <c r="J470" s="577" t="s">
        <v>114</v>
      </c>
      <c r="K470" s="513" t="s">
        <v>25</v>
      </c>
      <c r="L470" s="503"/>
    </row>
    <row r="471" spans="2:12" hidden="1">
      <c r="B471" s="501"/>
      <c r="C471" s="1191" t="s">
        <v>180</v>
      </c>
      <c r="D471" s="1191"/>
      <c r="E471" s="1191"/>
      <c r="F471" s="514">
        <v>2</v>
      </c>
      <c r="G471" s="514"/>
      <c r="H471" s="527">
        <v>2.5000000000000001E-2</v>
      </c>
      <c r="I471" s="514">
        <f>I464-0.9</f>
        <v>2.66</v>
      </c>
      <c r="J471" s="514"/>
      <c r="K471" s="578">
        <f>TRUNC((2*3.14*H471*I471)*F471,2)</f>
        <v>0.83</v>
      </c>
      <c r="L471" s="503"/>
    </row>
    <row r="472" spans="2:12" hidden="1">
      <c r="B472" s="501"/>
      <c r="C472" s="1180" t="s">
        <v>181</v>
      </c>
      <c r="D472" s="1181"/>
      <c r="E472" s="1182"/>
      <c r="F472" s="514">
        <v>2</v>
      </c>
      <c r="G472" s="514"/>
      <c r="H472" s="527">
        <v>2.5000000000000001E-2</v>
      </c>
      <c r="I472" s="514">
        <f>I465-0.9</f>
        <v>2.2600000000000002</v>
      </c>
      <c r="J472" s="514"/>
      <c r="K472" s="578">
        <f>TRUNC((2*3.14*H472*I472)*F472,2)</f>
        <v>0.7</v>
      </c>
      <c r="L472" s="503"/>
    </row>
    <row r="473" spans="2:12" hidden="1">
      <c r="B473" s="501"/>
      <c r="C473" s="1180" t="s">
        <v>182</v>
      </c>
      <c r="D473" s="1181"/>
      <c r="E473" s="1182"/>
      <c r="F473" s="514">
        <v>2</v>
      </c>
      <c r="G473" s="514"/>
      <c r="H473" s="527">
        <v>2.5000000000000001E-2</v>
      </c>
      <c r="I473" s="514">
        <f>I466-0.9</f>
        <v>1.9300000000000002</v>
      </c>
      <c r="J473" s="514"/>
      <c r="K473" s="578">
        <f>TRUNC((2*3.14*H473*I473)*F473,2)</f>
        <v>0.6</v>
      </c>
      <c r="L473" s="503"/>
    </row>
    <row r="474" spans="2:12" hidden="1">
      <c r="B474" s="501"/>
      <c r="C474" s="1192" t="s">
        <v>116</v>
      </c>
      <c r="D474" s="1192"/>
      <c r="E474" s="1192"/>
      <c r="F474" s="1192"/>
      <c r="G474" s="1192"/>
      <c r="H474" s="1192"/>
      <c r="I474" s="1192"/>
      <c r="J474" s="1192"/>
      <c r="K474" s="513">
        <f>SUM(K471:K473)</f>
        <v>2.13</v>
      </c>
      <c r="L474" s="503"/>
    </row>
    <row r="475" spans="2:12" hidden="1">
      <c r="B475" s="493"/>
      <c r="C475" s="493"/>
      <c r="D475" s="493"/>
      <c r="E475" s="493"/>
      <c r="F475" s="493"/>
      <c r="G475" s="493"/>
      <c r="H475" s="493"/>
      <c r="I475" s="493"/>
      <c r="J475" s="493"/>
      <c r="K475" s="493"/>
      <c r="L475" s="493"/>
    </row>
    <row r="476" spans="2:12" hidden="1">
      <c r="B476" s="501" t="str">
        <f>'[6]PLANILHA ORÇAMENTÁRIA'!D129</f>
        <v>14.3</v>
      </c>
      <c r="C476" s="1193" t="str">
        <f>'[6]PLANILHA ORÇAMENTÁRIA'!E129</f>
        <v>BARRA HORIZONTAL TRIPLA</v>
      </c>
      <c r="D476" s="1193"/>
      <c r="E476" s="1193"/>
      <c r="F476" s="1193"/>
      <c r="G476" s="1193"/>
      <c r="H476" s="1193"/>
      <c r="I476" s="1193"/>
      <c r="J476" s="1193"/>
      <c r="K476" s="497"/>
      <c r="L476" s="497"/>
    </row>
    <row r="477" spans="2:12" ht="15" hidden="1" customHeight="1">
      <c r="B477" s="497" t="str">
        <f>'[6]PLANILHA ORÇAMENTÁRIA'!D130</f>
        <v>14.3.1</v>
      </c>
      <c r="C477" s="1186" t="str">
        <f>'[6]PLANILHA ORÇAMENTÁRIA'!E130</f>
        <v>ESCAVAÇÃO MANUAL DE VALA COM PROFUNDIDADE MENOR OU IGUAL A 1,30 M</v>
      </c>
      <c r="D477" s="1186"/>
      <c r="E477" s="1186"/>
      <c r="F477" s="1186"/>
      <c r="G477" s="1186"/>
      <c r="H477" s="1186"/>
      <c r="I477" s="1186"/>
      <c r="J477" s="1186"/>
      <c r="K477" s="510" t="str">
        <f>'[6]PLANILHA ORÇAMENTÁRIA'!F130</f>
        <v>M3</v>
      </c>
      <c r="L477" s="511">
        <f>K482</f>
        <v>7.5374999999999998E-2</v>
      </c>
    </row>
    <row r="478" spans="2:12" hidden="1">
      <c r="B478" s="501"/>
      <c r="C478" s="1190" t="s">
        <v>20</v>
      </c>
      <c r="D478" s="1190"/>
      <c r="E478" s="1190"/>
      <c r="F478" s="512" t="s">
        <v>22</v>
      </c>
      <c r="G478" s="577" t="s">
        <v>111</v>
      </c>
      <c r="H478" s="512" t="s">
        <v>112</v>
      </c>
      <c r="I478" s="577" t="s">
        <v>113</v>
      </c>
      <c r="J478" s="577" t="s">
        <v>114</v>
      </c>
      <c r="K478" s="513" t="s">
        <v>25</v>
      </c>
      <c r="L478" s="503"/>
    </row>
    <row r="479" spans="2:12" hidden="1">
      <c r="B479" s="501"/>
      <c r="C479" s="1191" t="s">
        <v>183</v>
      </c>
      <c r="D479" s="1191"/>
      <c r="E479" s="1191"/>
      <c r="F479" s="514">
        <v>2</v>
      </c>
      <c r="G479" s="514">
        <v>0.9</v>
      </c>
      <c r="H479" s="514">
        <v>0.15</v>
      </c>
      <c r="I479" s="514">
        <v>0.15</v>
      </c>
      <c r="J479" s="514"/>
      <c r="K479" s="515">
        <f>PRODUCT(F479:I479)</f>
        <v>4.0500000000000001E-2</v>
      </c>
      <c r="L479" s="503"/>
    </row>
    <row r="480" spans="2:12" hidden="1">
      <c r="B480" s="501"/>
      <c r="C480" s="1191" t="s">
        <v>184</v>
      </c>
      <c r="D480" s="1191"/>
      <c r="E480" s="1191"/>
      <c r="F480" s="514">
        <v>1</v>
      </c>
      <c r="G480" s="514">
        <v>0.8</v>
      </c>
      <c r="H480" s="514">
        <v>0.15</v>
      </c>
      <c r="I480" s="514">
        <v>0.15</v>
      </c>
      <c r="J480" s="514"/>
      <c r="K480" s="515">
        <f>PRODUCT(F480:I480)</f>
        <v>1.7999999999999999E-2</v>
      </c>
      <c r="L480" s="503"/>
    </row>
    <row r="481" spans="2:12" hidden="1">
      <c r="B481" s="501"/>
      <c r="C481" s="1191" t="s">
        <v>185</v>
      </c>
      <c r="D481" s="1191"/>
      <c r="E481" s="1191"/>
      <c r="F481" s="514">
        <v>1</v>
      </c>
      <c r="G481" s="514">
        <v>0.75</v>
      </c>
      <c r="H481" s="514">
        <v>0.15</v>
      </c>
      <c r="I481" s="514">
        <v>0.15</v>
      </c>
      <c r="J481" s="514"/>
      <c r="K481" s="515">
        <f>PRODUCT(F481:I481)</f>
        <v>1.6874999999999998E-2</v>
      </c>
      <c r="L481" s="503"/>
    </row>
    <row r="482" spans="2:12" hidden="1">
      <c r="B482" s="501"/>
      <c r="C482" s="1192" t="s">
        <v>116</v>
      </c>
      <c r="D482" s="1192"/>
      <c r="E482" s="1192"/>
      <c r="F482" s="1192"/>
      <c r="G482" s="1192"/>
      <c r="H482" s="1192"/>
      <c r="I482" s="1192"/>
      <c r="J482" s="1192"/>
      <c r="K482" s="516">
        <f>SUM(K479:K481)</f>
        <v>7.5374999999999998E-2</v>
      </c>
      <c r="L482" s="503"/>
    </row>
    <row r="483" spans="2:12" hidden="1">
      <c r="B483" s="501"/>
      <c r="C483" s="517"/>
      <c r="D483" s="517"/>
      <c r="E483" s="517"/>
      <c r="F483" s="517"/>
      <c r="G483" s="517"/>
      <c r="H483" s="517"/>
      <c r="I483" s="517"/>
      <c r="J483" s="517"/>
      <c r="K483" s="518"/>
      <c r="L483" s="503"/>
    </row>
    <row r="484" spans="2:12" ht="15" hidden="1" customHeight="1">
      <c r="B484" s="497" t="str">
        <f>'[6]PLANILHA ORÇAMENTÁRIA'!D131</f>
        <v>14.3.2</v>
      </c>
      <c r="C484" s="1186" t="str">
        <f>'[6]PLANILHA ORÇAMENTÁRIA'!E131</f>
        <v>LASTRO DE CONCRETO MAGRO, APLICADO EM PISOS OU RADIERS, ESPESSURA DE 5CM. AF_07_2016</v>
      </c>
      <c r="D484" s="1186"/>
      <c r="E484" s="1186"/>
      <c r="F484" s="1186"/>
      <c r="G484" s="1186"/>
      <c r="H484" s="1186"/>
      <c r="I484" s="1186"/>
      <c r="J484" s="1186"/>
      <c r="K484" s="510" t="str">
        <f>'[6]PLANILHA ORÇAMENTÁRIA'!F131</f>
        <v>M2</v>
      </c>
      <c r="L484" s="511">
        <f>K487</f>
        <v>0.09</v>
      </c>
    </row>
    <row r="485" spans="2:12" hidden="1">
      <c r="B485" s="501"/>
      <c r="C485" s="1190" t="s">
        <v>20</v>
      </c>
      <c r="D485" s="1190"/>
      <c r="E485" s="1190"/>
      <c r="F485" s="512" t="s">
        <v>22</v>
      </c>
      <c r="G485" s="577" t="s">
        <v>111</v>
      </c>
      <c r="H485" s="512" t="s">
        <v>112</v>
      </c>
      <c r="I485" s="577" t="s">
        <v>113</v>
      </c>
      <c r="J485" s="577" t="s">
        <v>114</v>
      </c>
      <c r="K485" s="513" t="s">
        <v>25</v>
      </c>
      <c r="L485" s="503"/>
    </row>
    <row r="486" spans="2:12" hidden="1">
      <c r="B486" s="501"/>
      <c r="C486" s="1191"/>
      <c r="D486" s="1191"/>
      <c r="E486" s="1191"/>
      <c r="F486" s="514">
        <v>4</v>
      </c>
      <c r="G486" s="514"/>
      <c r="H486" s="514">
        <v>0.15</v>
      </c>
      <c r="I486" s="514">
        <v>0.15</v>
      </c>
      <c r="J486" s="514"/>
      <c r="K486" s="515">
        <f>PRODUCT(F486:I486)</f>
        <v>0.09</v>
      </c>
      <c r="L486" s="503"/>
    </row>
    <row r="487" spans="2:12" hidden="1">
      <c r="B487" s="501"/>
      <c r="C487" s="1192" t="s">
        <v>116</v>
      </c>
      <c r="D487" s="1192"/>
      <c r="E487" s="1192"/>
      <c r="F487" s="1192"/>
      <c r="G487" s="1192"/>
      <c r="H487" s="1192"/>
      <c r="I487" s="1192"/>
      <c r="J487" s="1192"/>
      <c r="K487" s="516">
        <f>SUM(K486:K486)</f>
        <v>0.09</v>
      </c>
      <c r="L487" s="503"/>
    </row>
    <row r="488" spans="2:12" hidden="1">
      <c r="B488" s="501"/>
      <c r="C488" s="517"/>
      <c r="D488" s="517"/>
      <c r="E488" s="517"/>
      <c r="F488" s="517"/>
      <c r="G488" s="517"/>
      <c r="H488" s="517"/>
      <c r="I488" s="517"/>
      <c r="J488" s="517"/>
      <c r="K488" s="518"/>
      <c r="L488" s="503"/>
    </row>
    <row r="489" spans="2:12" ht="27" hidden="1" customHeight="1">
      <c r="B489" s="497" t="str">
        <f>'[6]PLANILHA ORÇAMENTÁRIA'!D132</f>
        <v>14.3.3</v>
      </c>
      <c r="C489" s="1186" t="str">
        <f>'[6]PLANILHA ORÇAMENTÁRIA'!E132</f>
        <v>CONCRETAGEM DE BLOCOS DE COROAMENTO E VIGAS BALDRAMES, FCK 30 MPA, COM USO DE BOMBA LANÇAMENTO, ADENSAMENTO E ACABAMENTO. AF_06/2017</v>
      </c>
      <c r="D489" s="1186"/>
      <c r="E489" s="1186"/>
      <c r="F489" s="1186"/>
      <c r="G489" s="1186"/>
      <c r="H489" s="1186"/>
      <c r="I489" s="1186"/>
      <c r="J489" s="1186"/>
      <c r="K489" s="510" t="str">
        <f>'[6]PLANILHA ORÇAMENTÁRIA'!F132</f>
        <v>M3</v>
      </c>
      <c r="L489" s="511">
        <f>K494</f>
        <v>0.05</v>
      </c>
    </row>
    <row r="490" spans="2:12" hidden="1">
      <c r="B490" s="501"/>
      <c r="C490" s="1190" t="s">
        <v>20</v>
      </c>
      <c r="D490" s="1190"/>
      <c r="E490" s="1190"/>
      <c r="F490" s="512" t="s">
        <v>22</v>
      </c>
      <c r="G490" s="577" t="s">
        <v>111</v>
      </c>
      <c r="H490" s="512" t="s">
        <v>112</v>
      </c>
      <c r="I490" s="577" t="s">
        <v>113</v>
      </c>
      <c r="J490" s="577" t="s">
        <v>114</v>
      </c>
      <c r="K490" s="513" t="s">
        <v>25</v>
      </c>
      <c r="L490" s="503"/>
    </row>
    <row r="491" spans="2:12" hidden="1">
      <c r="B491" s="501"/>
      <c r="C491" s="1191" t="s">
        <v>186</v>
      </c>
      <c r="D491" s="1191"/>
      <c r="E491" s="1191"/>
      <c r="F491" s="514">
        <v>2</v>
      </c>
      <c r="G491" s="514">
        <v>0.75</v>
      </c>
      <c r="H491" s="514">
        <v>0.15</v>
      </c>
      <c r="I491" s="514">
        <v>0.15</v>
      </c>
      <c r="J491" s="514"/>
      <c r="K491" s="578">
        <f>TRUNC(G491*H491*F491*I491,2)</f>
        <v>0.03</v>
      </c>
      <c r="L491" s="503"/>
    </row>
    <row r="492" spans="2:12" hidden="1">
      <c r="B492" s="501"/>
      <c r="C492" s="1191" t="s">
        <v>187</v>
      </c>
      <c r="D492" s="1191"/>
      <c r="E492" s="1191"/>
      <c r="F492" s="514">
        <v>1</v>
      </c>
      <c r="G492" s="514">
        <v>0.65</v>
      </c>
      <c r="H492" s="514">
        <v>0.15</v>
      </c>
      <c r="I492" s="514">
        <v>0.15</v>
      </c>
      <c r="J492" s="514"/>
      <c r="K492" s="578">
        <f>TRUNC(G492*H492*F492*I492,2)</f>
        <v>0.01</v>
      </c>
      <c r="L492" s="503"/>
    </row>
    <row r="493" spans="2:12" hidden="1">
      <c r="B493" s="501"/>
      <c r="C493" s="1191" t="s">
        <v>188</v>
      </c>
      <c r="D493" s="1191"/>
      <c r="E493" s="1191"/>
      <c r="F493" s="514">
        <v>1</v>
      </c>
      <c r="G493" s="514">
        <v>0.6</v>
      </c>
      <c r="H493" s="514">
        <v>0.15</v>
      </c>
      <c r="I493" s="514">
        <v>0.15</v>
      </c>
      <c r="J493" s="514"/>
      <c r="K493" s="578">
        <f>TRUNC(G493*H493*F493*I493,2)</f>
        <v>0.01</v>
      </c>
      <c r="L493" s="503"/>
    </row>
    <row r="494" spans="2:12" hidden="1">
      <c r="B494" s="501"/>
      <c r="C494" s="1192" t="s">
        <v>116</v>
      </c>
      <c r="D494" s="1192"/>
      <c r="E494" s="1192"/>
      <c r="F494" s="1192"/>
      <c r="G494" s="1192"/>
      <c r="H494" s="1192"/>
      <c r="I494" s="1192"/>
      <c r="J494" s="1192"/>
      <c r="K494" s="513">
        <f>SUM(K491:K493)</f>
        <v>0.05</v>
      </c>
      <c r="L494" s="503"/>
    </row>
    <row r="495" spans="2:12" hidden="1">
      <c r="B495" s="493"/>
      <c r="C495" s="493"/>
      <c r="D495" s="493"/>
      <c r="E495" s="493"/>
      <c r="F495" s="493"/>
      <c r="G495" s="493"/>
      <c r="H495" s="493"/>
      <c r="I495" s="493"/>
      <c r="J495" s="493"/>
      <c r="K495" s="493"/>
      <c r="L495" s="493"/>
    </row>
    <row r="496" spans="2:12" ht="15" hidden="1" customHeight="1">
      <c r="B496" s="497" t="str">
        <f>'[6]PLANILHA ORÇAMENTÁRIA'!D133</f>
        <v>14.3.4</v>
      </c>
      <c r="C496" s="1186" t="str">
        <f>'[6]PLANILHA ORÇAMENTÁRIA'!E133</f>
        <v>TUBO DE AÇO GALVANIZADO COM COSTURA 2" - FORNECIMENTO E INSTALACAO. - M</v>
      </c>
      <c r="D496" s="1186"/>
      <c r="E496" s="1186"/>
      <c r="F496" s="1186"/>
      <c r="G496" s="1186"/>
      <c r="H496" s="1186"/>
      <c r="I496" s="1186"/>
      <c r="J496" s="1186"/>
      <c r="K496" s="510" t="str">
        <f>'[6]PLANILHA ORÇAMENTÁRIA'!F133</f>
        <v>M</v>
      </c>
      <c r="L496" s="511">
        <f>K500</f>
        <v>13.2</v>
      </c>
    </row>
    <row r="497" spans="2:12" hidden="1">
      <c r="B497" s="501"/>
      <c r="C497" s="1190" t="s">
        <v>20</v>
      </c>
      <c r="D497" s="1190"/>
      <c r="E497" s="1190"/>
      <c r="F497" s="512" t="s">
        <v>22</v>
      </c>
      <c r="G497" s="577" t="s">
        <v>111</v>
      </c>
      <c r="H497" s="512" t="s">
        <v>112</v>
      </c>
      <c r="I497" s="577" t="s">
        <v>113</v>
      </c>
      <c r="J497" s="577" t="s">
        <v>114</v>
      </c>
      <c r="K497" s="513" t="s">
        <v>25</v>
      </c>
      <c r="L497" s="503"/>
    </row>
    <row r="498" spans="2:12" hidden="1">
      <c r="B498" s="501"/>
      <c r="C498" s="1191" t="s">
        <v>189</v>
      </c>
      <c r="D498" s="1191"/>
      <c r="E498" s="1191"/>
      <c r="F498" s="514">
        <v>1</v>
      </c>
      <c r="G498" s="514"/>
      <c r="H498" s="514"/>
      <c r="I498" s="514">
        <v>10.199999999999999</v>
      </c>
      <c r="J498" s="514"/>
      <c r="K498" s="578">
        <f>F498*I498</f>
        <v>10.199999999999999</v>
      </c>
      <c r="L498" s="503"/>
    </row>
    <row r="499" spans="2:12" hidden="1">
      <c r="B499" s="501"/>
      <c r="C499" s="1180" t="s">
        <v>190</v>
      </c>
      <c r="D499" s="1181"/>
      <c r="E499" s="1182"/>
      <c r="F499" s="514">
        <v>3</v>
      </c>
      <c r="G499" s="514"/>
      <c r="H499" s="514"/>
      <c r="I499" s="514">
        <v>1</v>
      </c>
      <c r="J499" s="514"/>
      <c r="K499" s="578">
        <f>F499*I499</f>
        <v>3</v>
      </c>
      <c r="L499" s="503"/>
    </row>
    <row r="500" spans="2:12" hidden="1">
      <c r="B500" s="501"/>
      <c r="C500" s="1192" t="s">
        <v>116</v>
      </c>
      <c r="D500" s="1192"/>
      <c r="E500" s="1192"/>
      <c r="F500" s="1192"/>
      <c r="G500" s="1192"/>
      <c r="H500" s="1192"/>
      <c r="I500" s="1192"/>
      <c r="J500" s="1192"/>
      <c r="K500" s="513">
        <f>SUM(K498:K499)</f>
        <v>13.2</v>
      </c>
      <c r="L500" s="503"/>
    </row>
    <row r="501" spans="2:12" hidden="1">
      <c r="B501" s="501"/>
      <c r="C501" s="517"/>
      <c r="D501" s="517"/>
      <c r="E501" s="517"/>
      <c r="F501" s="517"/>
      <c r="G501" s="517"/>
      <c r="H501" s="517"/>
      <c r="I501" s="517"/>
      <c r="J501" s="517"/>
      <c r="K501" s="519"/>
      <c r="L501" s="503"/>
    </row>
    <row r="502" spans="2:12" ht="15" hidden="1" customHeight="1">
      <c r="B502" s="497" t="str">
        <f>'[6]PLANILHA ORÇAMENTÁRIA'!D134</f>
        <v>14.3.5</v>
      </c>
      <c r="C502" s="1186" t="str">
        <f>'[6]PLANILHA ORÇAMENTÁRIA'!E134</f>
        <v>PINTURA ESMALTE ALTO BRILHO, DUAS DEMAOS, SOBRE SUPERFICIE METALICA</v>
      </c>
      <c r="D502" s="1186"/>
      <c r="E502" s="1186"/>
      <c r="F502" s="1186"/>
      <c r="G502" s="1186"/>
      <c r="H502" s="1186"/>
      <c r="I502" s="1186"/>
      <c r="J502" s="1186"/>
      <c r="K502" s="510" t="str">
        <f>'[6]PLANILHA ORÇAMENTÁRIA'!F134</f>
        <v>M2</v>
      </c>
      <c r="L502" s="511">
        <f>K506</f>
        <v>1.63</v>
      </c>
    </row>
    <row r="503" spans="2:12" hidden="1">
      <c r="B503" s="501"/>
      <c r="C503" s="1190" t="s">
        <v>20</v>
      </c>
      <c r="D503" s="1190"/>
      <c r="E503" s="1190"/>
      <c r="F503" s="512" t="s">
        <v>22</v>
      </c>
      <c r="G503" s="577" t="s">
        <v>111</v>
      </c>
      <c r="H503" s="512" t="s">
        <v>178</v>
      </c>
      <c r="I503" s="577" t="s">
        <v>113</v>
      </c>
      <c r="J503" s="577" t="s">
        <v>114</v>
      </c>
      <c r="K503" s="513" t="s">
        <v>25</v>
      </c>
      <c r="L503" s="503"/>
    </row>
    <row r="504" spans="2:12" hidden="1">
      <c r="B504" s="501"/>
      <c r="C504" s="1191" t="s">
        <v>189</v>
      </c>
      <c r="D504" s="1191"/>
      <c r="E504" s="1191"/>
      <c r="F504" s="514">
        <v>1</v>
      </c>
      <c r="G504" s="514"/>
      <c r="H504" s="527">
        <v>2.5000000000000001E-2</v>
      </c>
      <c r="I504" s="514">
        <v>7.45</v>
      </c>
      <c r="J504" s="514"/>
      <c r="K504" s="578">
        <f>TRUNC((2*3.14*H504*I504)*F504,2)</f>
        <v>1.1599999999999999</v>
      </c>
      <c r="L504" s="503"/>
    </row>
    <row r="505" spans="2:12" hidden="1">
      <c r="B505" s="501"/>
      <c r="C505" s="1180" t="s">
        <v>190</v>
      </c>
      <c r="D505" s="1181"/>
      <c r="E505" s="1182"/>
      <c r="F505" s="514">
        <v>3</v>
      </c>
      <c r="G505" s="514"/>
      <c r="H505" s="527">
        <v>2.5000000000000001E-2</v>
      </c>
      <c r="I505" s="514">
        <v>1</v>
      </c>
      <c r="J505" s="514"/>
      <c r="K505" s="578">
        <f>TRUNC((2*3.14*H505*I505)*F505,2)</f>
        <v>0.47</v>
      </c>
      <c r="L505" s="503"/>
    </row>
    <row r="506" spans="2:12" hidden="1">
      <c r="B506" s="501"/>
      <c r="C506" s="1192" t="s">
        <v>116</v>
      </c>
      <c r="D506" s="1192"/>
      <c r="E506" s="1192"/>
      <c r="F506" s="1192"/>
      <c r="G506" s="1192"/>
      <c r="H506" s="1192"/>
      <c r="I506" s="1192"/>
      <c r="J506" s="1192"/>
      <c r="K506" s="513">
        <f>SUM(K504:K505)</f>
        <v>1.63</v>
      </c>
      <c r="L506" s="503"/>
    </row>
    <row r="507" spans="2:12" hidden="1">
      <c r="B507" s="493"/>
      <c r="C507" s="493"/>
      <c r="D507" s="493"/>
      <c r="E507" s="493"/>
      <c r="F507" s="493"/>
      <c r="G507" s="493"/>
      <c r="H507" s="493"/>
      <c r="I507" s="493"/>
      <c r="J507" s="493"/>
      <c r="K507" s="493"/>
      <c r="L507" s="493"/>
    </row>
    <row r="508" spans="2:12" hidden="1">
      <c r="B508" s="501" t="str">
        <f>'[6]PLANILHA ORÇAMENTÁRIA'!D135</f>
        <v>14.4</v>
      </c>
      <c r="C508" s="1193" t="str">
        <f>'[6]PLANILHA ORÇAMENTÁRIA'!E135</f>
        <v>ESPALDAR SIMPLES</v>
      </c>
      <c r="D508" s="1193"/>
      <c r="E508" s="1193"/>
      <c r="F508" s="1193"/>
      <c r="G508" s="1193"/>
      <c r="H508" s="1193"/>
      <c r="I508" s="1193"/>
      <c r="J508" s="1193"/>
      <c r="K508" s="497"/>
      <c r="L508" s="497"/>
    </row>
    <row r="509" spans="2:12" ht="15" hidden="1" customHeight="1">
      <c r="B509" s="497" t="str">
        <f>'[6]PLANILHA ORÇAMENTÁRIA'!D136</f>
        <v>14.4.1</v>
      </c>
      <c r="C509" s="1186" t="str">
        <f>'[6]PLANILHA ORÇAMENTÁRIA'!E136</f>
        <v>ESCAVAÇÃO MANUAL DE VALA COM PROFUNDIDADE MENOR OU IGUAL A 1,30 M</v>
      </c>
      <c r="D509" s="1186"/>
      <c r="E509" s="1186"/>
      <c r="F509" s="1186"/>
      <c r="G509" s="1186"/>
      <c r="H509" s="1186"/>
      <c r="I509" s="1186"/>
      <c r="J509" s="1186"/>
      <c r="K509" s="510" t="str">
        <f>'[6]PLANILHA ORÇAMENTÁRIA'!F136</f>
        <v>M3</v>
      </c>
      <c r="L509" s="511">
        <f>K512</f>
        <v>3.5999999999999997E-2</v>
      </c>
    </row>
    <row r="510" spans="2:12" hidden="1">
      <c r="B510" s="501"/>
      <c r="C510" s="1190" t="s">
        <v>20</v>
      </c>
      <c r="D510" s="1190"/>
      <c r="E510" s="1190"/>
      <c r="F510" s="512" t="s">
        <v>22</v>
      </c>
      <c r="G510" s="577" t="s">
        <v>111</v>
      </c>
      <c r="H510" s="512" t="s">
        <v>112</v>
      </c>
      <c r="I510" s="577" t="s">
        <v>113</v>
      </c>
      <c r="J510" s="577" t="s">
        <v>114</v>
      </c>
      <c r="K510" s="513" t="s">
        <v>25</v>
      </c>
      <c r="L510" s="503"/>
    </row>
    <row r="511" spans="2:12" hidden="1">
      <c r="B511" s="501"/>
      <c r="C511" s="1191" t="s">
        <v>174</v>
      </c>
      <c r="D511" s="1191"/>
      <c r="E511" s="1191"/>
      <c r="F511" s="514">
        <v>2</v>
      </c>
      <c r="G511" s="514">
        <v>0.8</v>
      </c>
      <c r="H511" s="514">
        <v>0.15</v>
      </c>
      <c r="I511" s="514">
        <v>0.15</v>
      </c>
      <c r="J511" s="514"/>
      <c r="K511" s="515">
        <f>PRODUCT(F511:I511)</f>
        <v>3.5999999999999997E-2</v>
      </c>
      <c r="L511" s="503"/>
    </row>
    <row r="512" spans="2:12" hidden="1">
      <c r="B512" s="501"/>
      <c r="C512" s="1192" t="s">
        <v>116</v>
      </c>
      <c r="D512" s="1192"/>
      <c r="E512" s="1192"/>
      <c r="F512" s="1192"/>
      <c r="G512" s="1192"/>
      <c r="H512" s="1192"/>
      <c r="I512" s="1192"/>
      <c r="J512" s="1192"/>
      <c r="K512" s="516">
        <f>SUM(K511:K511)</f>
        <v>3.5999999999999997E-2</v>
      </c>
      <c r="L512" s="503"/>
    </row>
    <row r="513" spans="2:12" hidden="1">
      <c r="B513" s="501"/>
      <c r="C513" s="517"/>
      <c r="D513" s="517"/>
      <c r="E513" s="517"/>
      <c r="F513" s="517"/>
      <c r="G513" s="517"/>
      <c r="H513" s="517"/>
      <c r="I513" s="517"/>
      <c r="J513" s="517"/>
      <c r="K513" s="518"/>
      <c r="L513" s="503"/>
    </row>
    <row r="514" spans="2:12" ht="15" hidden="1" customHeight="1">
      <c r="B514" s="497" t="str">
        <f>'[6]PLANILHA ORÇAMENTÁRIA'!D137</f>
        <v>14.4.2</v>
      </c>
      <c r="C514" s="1186" t="str">
        <f>'[6]PLANILHA ORÇAMENTÁRIA'!E137</f>
        <v>LASTRO DE CONCRETO MAGRO, APLICADO EM PISOS OU RADIERS, ESPESSURA DE 5CM. AF_07_2016</v>
      </c>
      <c r="D514" s="1186"/>
      <c r="E514" s="1186"/>
      <c r="F514" s="1186"/>
      <c r="G514" s="1186"/>
      <c r="H514" s="1186"/>
      <c r="I514" s="1186"/>
      <c r="J514" s="1186"/>
      <c r="K514" s="510" t="str">
        <f>'[6]PLANILHA ORÇAMENTÁRIA'!F137</f>
        <v>M2</v>
      </c>
      <c r="L514" s="511">
        <f>K517</f>
        <v>4.4999999999999998E-2</v>
      </c>
    </row>
    <row r="515" spans="2:12" hidden="1">
      <c r="B515" s="501"/>
      <c r="C515" s="1190" t="s">
        <v>20</v>
      </c>
      <c r="D515" s="1190"/>
      <c r="E515" s="1190"/>
      <c r="F515" s="512" t="s">
        <v>22</v>
      </c>
      <c r="G515" s="577" t="s">
        <v>111</v>
      </c>
      <c r="H515" s="512" t="s">
        <v>112</v>
      </c>
      <c r="I515" s="577" t="s">
        <v>113</v>
      </c>
      <c r="J515" s="577" t="s">
        <v>114</v>
      </c>
      <c r="K515" s="513" t="s">
        <v>25</v>
      </c>
      <c r="L515" s="503"/>
    </row>
    <row r="516" spans="2:12" hidden="1">
      <c r="B516" s="501"/>
      <c r="C516" s="1191"/>
      <c r="D516" s="1191"/>
      <c r="E516" s="1191"/>
      <c r="F516" s="514">
        <v>2</v>
      </c>
      <c r="G516" s="514"/>
      <c r="H516" s="514">
        <v>0.15</v>
      </c>
      <c r="I516" s="514">
        <v>0.15</v>
      </c>
      <c r="J516" s="514"/>
      <c r="K516" s="515">
        <f>PRODUCT(F516:I516)</f>
        <v>4.4999999999999998E-2</v>
      </c>
      <c r="L516" s="503"/>
    </row>
    <row r="517" spans="2:12" hidden="1">
      <c r="B517" s="501"/>
      <c r="C517" s="1192" t="s">
        <v>116</v>
      </c>
      <c r="D517" s="1192"/>
      <c r="E517" s="1192"/>
      <c r="F517" s="1192"/>
      <c r="G517" s="1192"/>
      <c r="H517" s="1192"/>
      <c r="I517" s="1192"/>
      <c r="J517" s="1192"/>
      <c r="K517" s="516">
        <f>SUM(K516:K516)</f>
        <v>4.4999999999999998E-2</v>
      </c>
      <c r="L517" s="503"/>
    </row>
    <row r="518" spans="2:12" hidden="1">
      <c r="B518" s="501"/>
      <c r="C518" s="517"/>
      <c r="D518" s="517"/>
      <c r="E518" s="517"/>
      <c r="F518" s="517"/>
      <c r="G518" s="517"/>
      <c r="H518" s="517"/>
      <c r="I518" s="517"/>
      <c r="J518" s="517"/>
      <c r="K518" s="518"/>
      <c r="L518" s="503"/>
    </row>
    <row r="519" spans="2:12" ht="21.75" hidden="1" customHeight="1">
      <c r="B519" s="497" t="str">
        <f>'[6]PLANILHA ORÇAMENTÁRIA'!D138</f>
        <v>14.4.3</v>
      </c>
      <c r="C519" s="1186" t="str">
        <f>'[6]PLANILHA ORÇAMENTÁRIA'!E138</f>
        <v>CONCRETAGEM DE BLOCOS DE COROAMENTO E VIGAS BALDRAMES, FCK 30 MPA, COM USO DE BOMBA LANÇAMENTO, ADENSAMENTO E ACABAMENTO. AF_06/2017</v>
      </c>
      <c r="D519" s="1186"/>
      <c r="E519" s="1186"/>
      <c r="F519" s="1186"/>
      <c r="G519" s="1186"/>
      <c r="H519" s="1186"/>
      <c r="I519" s="1186"/>
      <c r="J519" s="1186"/>
      <c r="K519" s="510" t="str">
        <f>'[6]PLANILHA ORÇAMENTÁRIA'!F138</f>
        <v>M3</v>
      </c>
      <c r="L519" s="511">
        <f>K522</f>
        <v>0.02</v>
      </c>
    </row>
    <row r="520" spans="2:12" hidden="1">
      <c r="B520" s="501"/>
      <c r="C520" s="1190" t="s">
        <v>20</v>
      </c>
      <c r="D520" s="1190"/>
      <c r="E520" s="1190"/>
      <c r="F520" s="512" t="s">
        <v>22</v>
      </c>
      <c r="G520" s="577" t="s">
        <v>111</v>
      </c>
      <c r="H520" s="512" t="s">
        <v>112</v>
      </c>
      <c r="I520" s="577" t="s">
        <v>113</v>
      </c>
      <c r="J520" s="577" t="s">
        <v>114</v>
      </c>
      <c r="K520" s="513" t="s">
        <v>25</v>
      </c>
      <c r="L520" s="503"/>
    </row>
    <row r="521" spans="2:12" hidden="1">
      <c r="B521" s="501"/>
      <c r="C521" s="1191" t="s">
        <v>191</v>
      </c>
      <c r="D521" s="1191"/>
      <c r="E521" s="1191"/>
      <c r="F521" s="514">
        <v>2</v>
      </c>
      <c r="G521" s="514">
        <v>0.65</v>
      </c>
      <c r="H521" s="514">
        <v>0.15</v>
      </c>
      <c r="I521" s="514">
        <v>0.15</v>
      </c>
      <c r="J521" s="514"/>
      <c r="K521" s="578">
        <f>TRUNC(G521*H521*F521*I521,2)</f>
        <v>0.02</v>
      </c>
      <c r="L521" s="503"/>
    </row>
    <row r="522" spans="2:12" hidden="1">
      <c r="B522" s="501"/>
      <c r="C522" s="1192" t="s">
        <v>116</v>
      </c>
      <c r="D522" s="1192"/>
      <c r="E522" s="1192"/>
      <c r="F522" s="1192"/>
      <c r="G522" s="1192"/>
      <c r="H522" s="1192"/>
      <c r="I522" s="1192"/>
      <c r="J522" s="1192"/>
      <c r="K522" s="513">
        <f>SUM(K521:K521)</f>
        <v>0.02</v>
      </c>
      <c r="L522" s="503"/>
    </row>
    <row r="523" spans="2:12" hidden="1">
      <c r="B523" s="493"/>
      <c r="C523" s="493"/>
      <c r="D523" s="493"/>
      <c r="E523" s="493"/>
      <c r="F523" s="493"/>
      <c r="G523" s="493"/>
      <c r="H523" s="493"/>
      <c r="I523" s="493"/>
      <c r="J523" s="493"/>
      <c r="K523" s="493"/>
      <c r="L523" s="493"/>
    </row>
    <row r="524" spans="2:12" ht="15" hidden="1" customHeight="1">
      <c r="B524" s="497" t="str">
        <f>'[6]PLANILHA ORÇAMENTÁRIA'!D139</f>
        <v>14.4.4</v>
      </c>
      <c r="C524" s="1186" t="str">
        <f>'[6]PLANILHA ORÇAMENTÁRIA'!E139</f>
        <v>TUBO DE AÇO GALVANIZADO COM COSTURA 2" - FORNECIMENTO E INSTALACAO. - M</v>
      </c>
      <c r="D524" s="1186"/>
      <c r="E524" s="1186"/>
      <c r="F524" s="1186"/>
      <c r="G524" s="1186"/>
      <c r="H524" s="1186"/>
      <c r="I524" s="1186"/>
      <c r="J524" s="1186"/>
      <c r="K524" s="510" t="str">
        <f>'[6]PLANILHA ORÇAMENTÁRIA'!F139</f>
        <v>M</v>
      </c>
      <c r="L524" s="511">
        <f>K528</f>
        <v>12.2</v>
      </c>
    </row>
    <row r="525" spans="2:12" hidden="1">
      <c r="B525" s="501"/>
      <c r="C525" s="1190" t="s">
        <v>20</v>
      </c>
      <c r="D525" s="1190"/>
      <c r="E525" s="1190"/>
      <c r="F525" s="512" t="s">
        <v>22</v>
      </c>
      <c r="G525" s="577" t="s">
        <v>111</v>
      </c>
      <c r="H525" s="512" t="s">
        <v>112</v>
      </c>
      <c r="I525" s="577" t="s">
        <v>113</v>
      </c>
      <c r="J525" s="577" t="s">
        <v>114</v>
      </c>
      <c r="K525" s="513" t="s">
        <v>25</v>
      </c>
      <c r="L525" s="503"/>
    </row>
    <row r="526" spans="2:12" hidden="1">
      <c r="B526" s="501"/>
      <c r="C526" s="1191" t="s">
        <v>189</v>
      </c>
      <c r="D526" s="1191"/>
      <c r="E526" s="1191"/>
      <c r="F526" s="514">
        <v>2</v>
      </c>
      <c r="G526" s="514"/>
      <c r="H526" s="514"/>
      <c r="I526" s="514">
        <v>2.6</v>
      </c>
      <c r="J526" s="514"/>
      <c r="K526" s="578">
        <f>F526*I526</f>
        <v>5.2</v>
      </c>
      <c r="L526" s="503"/>
    </row>
    <row r="527" spans="2:12" hidden="1">
      <c r="B527" s="501"/>
      <c r="C527" s="1180" t="s">
        <v>190</v>
      </c>
      <c r="D527" s="1181"/>
      <c r="E527" s="1182"/>
      <c r="F527" s="514">
        <v>7</v>
      </c>
      <c r="G527" s="514"/>
      <c r="H527" s="514"/>
      <c r="I527" s="514">
        <v>1</v>
      </c>
      <c r="J527" s="514"/>
      <c r="K527" s="578">
        <f>F527*I527</f>
        <v>7</v>
      </c>
      <c r="L527" s="503"/>
    </row>
    <row r="528" spans="2:12" hidden="1">
      <c r="B528" s="501"/>
      <c r="C528" s="1192" t="s">
        <v>116</v>
      </c>
      <c r="D528" s="1192"/>
      <c r="E528" s="1192"/>
      <c r="F528" s="1192"/>
      <c r="G528" s="1192"/>
      <c r="H528" s="1192"/>
      <c r="I528" s="1192"/>
      <c r="J528" s="1192"/>
      <c r="K528" s="513">
        <f>SUM(K526:K527)</f>
        <v>12.2</v>
      </c>
      <c r="L528" s="503"/>
    </row>
    <row r="529" spans="2:12" hidden="1">
      <c r="B529" s="501"/>
      <c r="C529" s="517"/>
      <c r="D529" s="517"/>
      <c r="E529" s="517"/>
      <c r="F529" s="517"/>
      <c r="G529" s="517"/>
      <c r="H529" s="517"/>
      <c r="I529" s="517"/>
      <c r="J529" s="517"/>
      <c r="K529" s="519"/>
      <c r="L529" s="503"/>
    </row>
    <row r="530" spans="2:12" ht="15" hidden="1" customHeight="1">
      <c r="B530" s="497" t="str">
        <f>'[6]PLANILHA ORÇAMENTÁRIA'!D140</f>
        <v>14.4.5</v>
      </c>
      <c r="C530" s="1186" t="str">
        <f>'[6]PLANILHA ORÇAMENTÁRIA'!E140</f>
        <v>PINTURA ESMALTE ALTO BRILHO, DUAS DEMAOS, SOBRE SUPERFICIE METALICA</v>
      </c>
      <c r="D530" s="1186"/>
      <c r="E530" s="1186"/>
      <c r="F530" s="1186"/>
      <c r="G530" s="1186"/>
      <c r="H530" s="1186"/>
      <c r="I530" s="1186"/>
      <c r="J530" s="1186"/>
      <c r="K530" s="510" t="str">
        <f>'[6]PLANILHA ORÇAMENTÁRIA'!F140</f>
        <v>M2</v>
      </c>
      <c r="L530" s="511">
        <f>K534</f>
        <v>1.7000000000000002</v>
      </c>
    </row>
    <row r="531" spans="2:12" hidden="1">
      <c r="B531" s="501"/>
      <c r="C531" s="1190" t="s">
        <v>20</v>
      </c>
      <c r="D531" s="1190"/>
      <c r="E531" s="1190"/>
      <c r="F531" s="512" t="s">
        <v>22</v>
      </c>
      <c r="G531" s="577" t="s">
        <v>111</v>
      </c>
      <c r="H531" s="512" t="s">
        <v>178</v>
      </c>
      <c r="I531" s="577" t="s">
        <v>113</v>
      </c>
      <c r="J531" s="577" t="s">
        <v>114</v>
      </c>
      <c r="K531" s="513" t="s">
        <v>25</v>
      </c>
      <c r="L531" s="503"/>
    </row>
    <row r="532" spans="2:12" hidden="1">
      <c r="B532" s="501"/>
      <c r="C532" s="1191" t="s">
        <v>189</v>
      </c>
      <c r="D532" s="1191"/>
      <c r="E532" s="1191"/>
      <c r="F532" s="514">
        <v>2</v>
      </c>
      <c r="G532" s="514"/>
      <c r="H532" s="527">
        <v>2.5000000000000001E-2</v>
      </c>
      <c r="I532" s="514">
        <v>1.95</v>
      </c>
      <c r="J532" s="514"/>
      <c r="K532" s="578">
        <f>TRUNC((2*3.14*H532*I532)*F532,2)</f>
        <v>0.61</v>
      </c>
      <c r="L532" s="503"/>
    </row>
    <row r="533" spans="2:12" hidden="1">
      <c r="B533" s="501"/>
      <c r="C533" s="1180" t="s">
        <v>190</v>
      </c>
      <c r="D533" s="1181"/>
      <c r="E533" s="1182"/>
      <c r="F533" s="514">
        <v>7</v>
      </c>
      <c r="G533" s="514"/>
      <c r="H533" s="527">
        <v>2.5000000000000001E-2</v>
      </c>
      <c r="I533" s="514">
        <v>1</v>
      </c>
      <c r="J533" s="514"/>
      <c r="K533" s="578">
        <f>TRUNC((2*3.14*H533*I533)*F533,2)</f>
        <v>1.0900000000000001</v>
      </c>
      <c r="L533" s="503"/>
    </row>
    <row r="534" spans="2:12" hidden="1">
      <c r="B534" s="501"/>
      <c r="C534" s="1192" t="s">
        <v>116</v>
      </c>
      <c r="D534" s="1192"/>
      <c r="E534" s="1192"/>
      <c r="F534" s="1192"/>
      <c r="G534" s="1192"/>
      <c r="H534" s="1192"/>
      <c r="I534" s="1192"/>
      <c r="J534" s="1192"/>
      <c r="K534" s="513">
        <f>SUM(K532:K533)</f>
        <v>1.7000000000000002</v>
      </c>
      <c r="L534" s="503"/>
    </row>
    <row r="535" spans="2:12" hidden="1">
      <c r="B535" s="493"/>
      <c r="C535" s="493"/>
      <c r="D535" s="493"/>
      <c r="E535" s="493"/>
      <c r="F535" s="493"/>
      <c r="G535" s="493"/>
      <c r="H535" s="493"/>
      <c r="I535" s="493"/>
      <c r="J535" s="493"/>
      <c r="K535" s="493"/>
      <c r="L535" s="493"/>
    </row>
    <row r="536" spans="2:12" hidden="1">
      <c r="B536" s="501" t="str">
        <f>'[6]PLANILHA ORÇAMENTÁRIA'!D141</f>
        <v>14.5</v>
      </c>
      <c r="C536" s="1193" t="str">
        <f>'[6]PLANILHA ORÇAMENTÁRIA'!E141</f>
        <v>BARRA DE APOIO</v>
      </c>
      <c r="D536" s="1193"/>
      <c r="E536" s="1193"/>
      <c r="F536" s="1193"/>
      <c r="G536" s="1193"/>
      <c r="H536" s="1193"/>
      <c r="I536" s="1193"/>
      <c r="J536" s="1193"/>
      <c r="K536" s="497"/>
      <c r="L536" s="497"/>
    </row>
    <row r="537" spans="2:12" ht="15" hidden="1" customHeight="1">
      <c r="B537" s="497" t="str">
        <f>'[6]PLANILHA ORÇAMENTÁRIA'!D142</f>
        <v>14.5.1</v>
      </c>
      <c r="C537" s="1186" t="str">
        <f>'[6]PLANILHA ORÇAMENTÁRIA'!E142</f>
        <v>ESCAVAÇÃO MANUAL DE VALA COM PROFUNDIDADE MENOR OU IGUAL A 1,30 M</v>
      </c>
      <c r="D537" s="1186"/>
      <c r="E537" s="1186"/>
      <c r="F537" s="1186"/>
      <c r="G537" s="1186"/>
      <c r="H537" s="1186"/>
      <c r="I537" s="1186"/>
      <c r="J537" s="1186"/>
      <c r="K537" s="510" t="str">
        <f>'[6]PLANILHA ORÇAMENTÁRIA'!F142</f>
        <v>M3</v>
      </c>
      <c r="L537" s="511">
        <f>K540</f>
        <v>4.9500000000000002E-2</v>
      </c>
    </row>
    <row r="538" spans="2:12" hidden="1">
      <c r="B538" s="501"/>
      <c r="C538" s="1190" t="s">
        <v>20</v>
      </c>
      <c r="D538" s="1190"/>
      <c r="E538" s="1190"/>
      <c r="F538" s="512" t="s">
        <v>22</v>
      </c>
      <c r="G538" s="577" t="s">
        <v>111</v>
      </c>
      <c r="H538" s="512" t="s">
        <v>112</v>
      </c>
      <c r="I538" s="577" t="s">
        <v>113</v>
      </c>
      <c r="J538" s="577" t="s">
        <v>114</v>
      </c>
      <c r="K538" s="513" t="s">
        <v>25</v>
      </c>
      <c r="L538" s="503"/>
    </row>
    <row r="539" spans="2:12" hidden="1">
      <c r="B539" s="501"/>
      <c r="C539" s="1191" t="s">
        <v>174</v>
      </c>
      <c r="D539" s="1191"/>
      <c r="E539" s="1191"/>
      <c r="F539" s="514">
        <v>4</v>
      </c>
      <c r="G539" s="514">
        <v>0.55000000000000004</v>
      </c>
      <c r="H539" s="514">
        <v>0.15</v>
      </c>
      <c r="I539" s="514">
        <v>0.15</v>
      </c>
      <c r="J539" s="514"/>
      <c r="K539" s="515">
        <f>PRODUCT(F539:I539)</f>
        <v>4.9500000000000002E-2</v>
      </c>
      <c r="L539" s="503"/>
    </row>
    <row r="540" spans="2:12" hidden="1">
      <c r="B540" s="501"/>
      <c r="C540" s="1192" t="s">
        <v>116</v>
      </c>
      <c r="D540" s="1192"/>
      <c r="E540" s="1192"/>
      <c r="F540" s="1192"/>
      <c r="G540" s="1192"/>
      <c r="H540" s="1192"/>
      <c r="I540" s="1192"/>
      <c r="J540" s="1192"/>
      <c r="K540" s="516">
        <f>SUM(K539:K539)</f>
        <v>4.9500000000000002E-2</v>
      </c>
      <c r="L540" s="503"/>
    </row>
    <row r="541" spans="2:12" hidden="1">
      <c r="B541" s="501"/>
      <c r="C541" s="517"/>
      <c r="D541" s="517"/>
      <c r="E541" s="517"/>
      <c r="F541" s="517"/>
      <c r="G541" s="517"/>
      <c r="H541" s="517"/>
      <c r="I541" s="517"/>
      <c r="J541" s="517"/>
      <c r="K541" s="518"/>
      <c r="L541" s="503"/>
    </row>
    <row r="542" spans="2:12" ht="15" hidden="1" customHeight="1">
      <c r="B542" s="497" t="str">
        <f>'[6]PLANILHA ORÇAMENTÁRIA'!D143</f>
        <v>14.5.2</v>
      </c>
      <c r="C542" s="1186" t="str">
        <f>'[6]PLANILHA ORÇAMENTÁRIA'!E143</f>
        <v>LASTRO DE CONCRETO MAGRO, APLICADO EM PISOS OU RADIERS, ESPESSURA DE 5CM. AF_07_2016</v>
      </c>
      <c r="D542" s="1186"/>
      <c r="E542" s="1186"/>
      <c r="F542" s="1186"/>
      <c r="G542" s="1186"/>
      <c r="H542" s="1186"/>
      <c r="I542" s="1186"/>
      <c r="J542" s="1186"/>
      <c r="K542" s="510" t="str">
        <f>'[6]PLANILHA ORÇAMENTÁRIA'!F143</f>
        <v>M2</v>
      </c>
      <c r="L542" s="511">
        <f>K545</f>
        <v>0.09</v>
      </c>
    </row>
    <row r="543" spans="2:12" hidden="1">
      <c r="B543" s="501"/>
      <c r="C543" s="1190" t="s">
        <v>20</v>
      </c>
      <c r="D543" s="1190"/>
      <c r="E543" s="1190"/>
      <c r="F543" s="512" t="s">
        <v>22</v>
      </c>
      <c r="G543" s="577" t="s">
        <v>111</v>
      </c>
      <c r="H543" s="512" t="s">
        <v>112</v>
      </c>
      <c r="I543" s="577" t="s">
        <v>113</v>
      </c>
      <c r="J543" s="577" t="s">
        <v>114</v>
      </c>
      <c r="K543" s="513" t="s">
        <v>25</v>
      </c>
      <c r="L543" s="503"/>
    </row>
    <row r="544" spans="2:12" hidden="1">
      <c r="B544" s="501"/>
      <c r="C544" s="1191"/>
      <c r="D544" s="1191"/>
      <c r="E544" s="1191"/>
      <c r="F544" s="514">
        <v>4</v>
      </c>
      <c r="G544" s="514"/>
      <c r="H544" s="514">
        <v>0.15</v>
      </c>
      <c r="I544" s="514">
        <v>0.15</v>
      </c>
      <c r="J544" s="514"/>
      <c r="K544" s="515">
        <f>PRODUCT(F544:I544)</f>
        <v>0.09</v>
      </c>
      <c r="L544" s="503"/>
    </row>
    <row r="545" spans="2:12" hidden="1">
      <c r="B545" s="501"/>
      <c r="C545" s="1192" t="s">
        <v>116</v>
      </c>
      <c r="D545" s="1192"/>
      <c r="E545" s="1192"/>
      <c r="F545" s="1192"/>
      <c r="G545" s="1192"/>
      <c r="H545" s="1192"/>
      <c r="I545" s="1192"/>
      <c r="J545" s="1192"/>
      <c r="K545" s="516">
        <f>SUM(K544:K544)</f>
        <v>0.09</v>
      </c>
      <c r="L545" s="503"/>
    </row>
    <row r="546" spans="2:12" ht="17.25" hidden="1" customHeight="1">
      <c r="B546" s="501"/>
      <c r="C546" s="517"/>
      <c r="D546" s="517"/>
      <c r="E546" s="517"/>
      <c r="F546" s="517"/>
      <c r="G546" s="517"/>
      <c r="H546" s="517"/>
      <c r="I546" s="517"/>
      <c r="J546" s="517"/>
      <c r="K546" s="518"/>
      <c r="L546" s="503"/>
    </row>
    <row r="547" spans="2:12" ht="22.5" hidden="1" customHeight="1">
      <c r="B547" s="497" t="str">
        <f>'[6]PLANILHA ORÇAMENTÁRIA'!D144</f>
        <v>14.5.3</v>
      </c>
      <c r="C547" s="1186" t="str">
        <f>'[6]PLANILHA ORÇAMENTÁRIA'!E144</f>
        <v>CONCRETAGEM DE BLOCOS DE COROAMENTO E VIGAS BALDRAMES, FCK 30 MPA, COM USO DE BOMBA LANÇAMENTO, ADENSAMENTO E ACABAMENTO. AF_06/2017</v>
      </c>
      <c r="D547" s="1186"/>
      <c r="E547" s="1186"/>
      <c r="F547" s="1186"/>
      <c r="G547" s="1186"/>
      <c r="H547" s="1186"/>
      <c r="I547" s="1186"/>
      <c r="J547" s="1186"/>
      <c r="K547" s="510" t="str">
        <f>'[6]PLANILHA ORÇAMENTÁRIA'!F144</f>
        <v>M3</v>
      </c>
      <c r="L547" s="511">
        <f>K550</f>
        <v>0.03</v>
      </c>
    </row>
    <row r="548" spans="2:12" hidden="1">
      <c r="B548" s="501"/>
      <c r="C548" s="1190" t="s">
        <v>20</v>
      </c>
      <c r="D548" s="1190"/>
      <c r="E548" s="1190"/>
      <c r="F548" s="512" t="s">
        <v>22</v>
      </c>
      <c r="G548" s="577" t="s">
        <v>111</v>
      </c>
      <c r="H548" s="512" t="s">
        <v>112</v>
      </c>
      <c r="I548" s="577" t="s">
        <v>113</v>
      </c>
      <c r="J548" s="577" t="s">
        <v>114</v>
      </c>
      <c r="K548" s="513" t="s">
        <v>25</v>
      </c>
      <c r="L548" s="503"/>
    </row>
    <row r="549" spans="2:12" hidden="1">
      <c r="B549" s="501"/>
      <c r="C549" s="1191" t="s">
        <v>191</v>
      </c>
      <c r="D549" s="1191"/>
      <c r="E549" s="1191"/>
      <c r="F549" s="514">
        <v>4</v>
      </c>
      <c r="G549" s="514">
        <v>0.4</v>
      </c>
      <c r="H549" s="514">
        <v>0.15</v>
      </c>
      <c r="I549" s="514">
        <v>0.15</v>
      </c>
      <c r="J549" s="514"/>
      <c r="K549" s="578">
        <f>TRUNC(G549*H549*F549*I549,2)</f>
        <v>0.03</v>
      </c>
      <c r="L549" s="503"/>
    </row>
    <row r="550" spans="2:12" hidden="1">
      <c r="B550" s="501"/>
      <c r="C550" s="1192" t="s">
        <v>116</v>
      </c>
      <c r="D550" s="1192"/>
      <c r="E550" s="1192"/>
      <c r="F550" s="1192"/>
      <c r="G550" s="1192"/>
      <c r="H550" s="1192"/>
      <c r="I550" s="1192"/>
      <c r="J550" s="1192"/>
      <c r="K550" s="513">
        <f>SUM(K549:K549)</f>
        <v>0.03</v>
      </c>
      <c r="L550" s="503"/>
    </row>
    <row r="551" spans="2:12" ht="18" hidden="1" customHeight="1">
      <c r="B551" s="493"/>
      <c r="C551" s="493"/>
      <c r="D551" s="493"/>
      <c r="E551" s="493"/>
      <c r="F551" s="493"/>
      <c r="G551" s="493"/>
      <c r="H551" s="493"/>
      <c r="I551" s="493"/>
      <c r="J551" s="493"/>
      <c r="K551" s="493"/>
      <c r="L551" s="493"/>
    </row>
    <row r="552" spans="2:12" ht="15" hidden="1" customHeight="1">
      <c r="B552" s="497" t="str">
        <f>'[6]PLANILHA ORÇAMENTÁRIA'!D145</f>
        <v>14.5.4</v>
      </c>
      <c r="C552" s="1186" t="str">
        <f>'[6]PLANILHA ORÇAMENTÁRIA'!E145</f>
        <v>TUBO DE AÇO GALVANIZADO COM COSTURA 2" - FORNECIMENTO E INSTALACAO. - M</v>
      </c>
      <c r="D552" s="1186"/>
      <c r="E552" s="1186"/>
      <c r="F552" s="1186"/>
      <c r="G552" s="1186"/>
      <c r="H552" s="1186"/>
      <c r="I552" s="1186"/>
      <c r="J552" s="1186"/>
      <c r="K552" s="510" t="str">
        <f>'[6]PLANILHA ORÇAMENTÁRIA'!F145</f>
        <v>M</v>
      </c>
      <c r="L552" s="511">
        <f>K556</f>
        <v>14</v>
      </c>
    </row>
    <row r="553" spans="2:12" hidden="1">
      <c r="B553" s="501"/>
      <c r="C553" s="1190" t="s">
        <v>20</v>
      </c>
      <c r="D553" s="1190"/>
      <c r="E553" s="1190"/>
      <c r="F553" s="512" t="s">
        <v>22</v>
      </c>
      <c r="G553" s="577" t="s">
        <v>111</v>
      </c>
      <c r="H553" s="512" t="s">
        <v>112</v>
      </c>
      <c r="I553" s="577" t="s">
        <v>113</v>
      </c>
      <c r="J553" s="577" t="s">
        <v>114</v>
      </c>
      <c r="K553" s="513" t="s">
        <v>25</v>
      </c>
      <c r="L553" s="503"/>
    </row>
    <row r="554" spans="2:12" hidden="1">
      <c r="B554" s="501"/>
      <c r="C554" s="1191" t="s">
        <v>189</v>
      </c>
      <c r="D554" s="1191"/>
      <c r="E554" s="1191"/>
      <c r="F554" s="514">
        <v>4</v>
      </c>
      <c r="G554" s="514"/>
      <c r="H554" s="514"/>
      <c r="I554" s="514">
        <v>1.6</v>
      </c>
      <c r="J554" s="514"/>
      <c r="K554" s="578">
        <f>F554*I554</f>
        <v>6.4</v>
      </c>
      <c r="L554" s="503"/>
    </row>
    <row r="555" spans="2:12" hidden="1">
      <c r="B555" s="501"/>
      <c r="C555" s="1180" t="s">
        <v>190</v>
      </c>
      <c r="D555" s="1181"/>
      <c r="E555" s="1182"/>
      <c r="F555" s="514">
        <v>4</v>
      </c>
      <c r="G555" s="514"/>
      <c r="H555" s="514"/>
      <c r="I555" s="514">
        <v>1.9</v>
      </c>
      <c r="J555" s="514"/>
      <c r="K555" s="578">
        <f>F555*I555</f>
        <v>7.6</v>
      </c>
      <c r="L555" s="503"/>
    </row>
    <row r="556" spans="2:12" hidden="1">
      <c r="B556" s="501"/>
      <c r="C556" s="1192" t="s">
        <v>116</v>
      </c>
      <c r="D556" s="1192"/>
      <c r="E556" s="1192"/>
      <c r="F556" s="1192"/>
      <c r="G556" s="1192"/>
      <c r="H556" s="1192"/>
      <c r="I556" s="1192"/>
      <c r="J556" s="1192"/>
      <c r="K556" s="513">
        <f>SUM(K554:K555)</f>
        <v>14</v>
      </c>
      <c r="L556" s="503"/>
    </row>
    <row r="557" spans="2:12" hidden="1">
      <c r="B557" s="501"/>
      <c r="C557" s="517"/>
      <c r="D557" s="517"/>
      <c r="E557" s="517"/>
      <c r="F557" s="517"/>
      <c r="G557" s="517"/>
      <c r="H557" s="517"/>
      <c r="I557" s="517"/>
      <c r="J557" s="517"/>
      <c r="K557" s="519"/>
      <c r="L557" s="503"/>
    </row>
    <row r="558" spans="2:12" ht="15" hidden="1" customHeight="1">
      <c r="B558" s="497" t="str">
        <f>'[6]PLANILHA ORÇAMENTÁRIA'!D146</f>
        <v>14.5.5</v>
      </c>
      <c r="C558" s="1186" t="str">
        <f>'[6]PLANILHA ORÇAMENTÁRIA'!E146</f>
        <v>PINTURA ESMALTE ALTO BRILHO, DUAS DEMAOS, SOBRE SUPERFICIE METALICA</v>
      </c>
      <c r="D558" s="1186"/>
      <c r="E558" s="1186"/>
      <c r="F558" s="1186"/>
      <c r="G558" s="1186"/>
      <c r="H558" s="1186"/>
      <c r="I558" s="1186"/>
      <c r="J558" s="1186"/>
      <c r="K558" s="510" t="str">
        <f>'[6]PLANILHA ORÇAMENTÁRIA'!F146</f>
        <v>M2</v>
      </c>
      <c r="L558" s="511">
        <f>K562</f>
        <v>1.94</v>
      </c>
    </row>
    <row r="559" spans="2:12" hidden="1">
      <c r="B559" s="501"/>
      <c r="C559" s="1190" t="s">
        <v>20</v>
      </c>
      <c r="D559" s="1190"/>
      <c r="E559" s="1190"/>
      <c r="F559" s="512" t="s">
        <v>22</v>
      </c>
      <c r="G559" s="577" t="s">
        <v>111</v>
      </c>
      <c r="H559" s="512" t="s">
        <v>178</v>
      </c>
      <c r="I559" s="577" t="s">
        <v>113</v>
      </c>
      <c r="J559" s="577" t="s">
        <v>114</v>
      </c>
      <c r="K559" s="513" t="s">
        <v>25</v>
      </c>
      <c r="L559" s="503"/>
    </row>
    <row r="560" spans="2:12" hidden="1">
      <c r="B560" s="501"/>
      <c r="C560" s="1191" t="s">
        <v>189</v>
      </c>
      <c r="D560" s="1191"/>
      <c r="E560" s="1191"/>
      <c r="F560" s="514">
        <v>4</v>
      </c>
      <c r="G560" s="514"/>
      <c r="H560" s="527">
        <v>2.5000000000000001E-2</v>
      </c>
      <c r="I560" s="514">
        <v>1.2</v>
      </c>
      <c r="J560" s="514"/>
      <c r="K560" s="578">
        <f>TRUNC((2*3.14*H560*I560)*F560,2)</f>
        <v>0.75</v>
      </c>
      <c r="L560" s="503"/>
    </row>
    <row r="561" spans="2:12" hidden="1">
      <c r="B561" s="501"/>
      <c r="C561" s="1180" t="s">
        <v>190</v>
      </c>
      <c r="D561" s="1181"/>
      <c r="E561" s="1182"/>
      <c r="F561" s="514">
        <v>4</v>
      </c>
      <c r="G561" s="514"/>
      <c r="H561" s="527">
        <v>2.5000000000000001E-2</v>
      </c>
      <c r="I561" s="514">
        <v>1.9</v>
      </c>
      <c r="J561" s="514"/>
      <c r="K561" s="578">
        <f>TRUNC((2*3.14*H561*I561)*F561,2)</f>
        <v>1.19</v>
      </c>
      <c r="L561" s="503"/>
    </row>
    <row r="562" spans="2:12" hidden="1">
      <c r="B562" s="501"/>
      <c r="C562" s="1192" t="s">
        <v>116</v>
      </c>
      <c r="D562" s="1192"/>
      <c r="E562" s="1192"/>
      <c r="F562" s="1192"/>
      <c r="G562" s="1192"/>
      <c r="H562" s="1192"/>
      <c r="I562" s="1192"/>
      <c r="J562" s="1192"/>
      <c r="K562" s="513">
        <f>SUM(K560:K561)</f>
        <v>1.94</v>
      </c>
      <c r="L562" s="503"/>
    </row>
    <row r="563" spans="2:12" hidden="1">
      <c r="B563" s="493"/>
      <c r="C563" s="493"/>
      <c r="D563" s="493"/>
      <c r="E563" s="493"/>
      <c r="F563" s="493"/>
      <c r="G563" s="493"/>
      <c r="H563" s="493"/>
      <c r="I563" s="493"/>
      <c r="J563" s="493"/>
      <c r="K563" s="493"/>
      <c r="L563" s="493"/>
    </row>
    <row r="564" spans="2:12" hidden="1">
      <c r="B564" s="501" t="str">
        <f>'[6]PLANILHA ORÇAMENTÁRIA'!D147</f>
        <v>14.6</v>
      </c>
      <c r="C564" s="1193" t="str">
        <f>'[6]PLANILHA ORÇAMENTÁRIA'!E147</f>
        <v>BANCOS DE APOIO</v>
      </c>
      <c r="D564" s="1193"/>
      <c r="E564" s="1193"/>
      <c r="F564" s="1193"/>
      <c r="G564" s="1193"/>
      <c r="H564" s="1193"/>
      <c r="I564" s="1193"/>
      <c r="J564" s="1193"/>
      <c r="K564" s="497"/>
      <c r="L564" s="497"/>
    </row>
    <row r="565" spans="2:12" ht="15" hidden="1" customHeight="1">
      <c r="B565" s="497" t="str">
        <f>'[6]PLANILHA ORÇAMENTÁRIA'!D148</f>
        <v>14.6.1</v>
      </c>
      <c r="C565" s="1186" t="str">
        <f>'[6]PLANILHA ORÇAMENTÁRIA'!E148</f>
        <v>CONJUNTO DE BANCOS, TAMPO EM CONCRETO SIMPLES, DESEMPOLADA H=5OCM, 40CM E 30CM</v>
      </c>
      <c r="D565" s="1186"/>
      <c r="E565" s="1186"/>
      <c r="F565" s="1186"/>
      <c r="G565" s="1186"/>
      <c r="H565" s="1186"/>
      <c r="I565" s="1186"/>
      <c r="J565" s="1186"/>
      <c r="K565" s="510" t="str">
        <f>'[6]PLANILHA ORÇAMENTÁRIA'!F148</f>
        <v>CJ</v>
      </c>
      <c r="L565" s="511">
        <f>K568</f>
        <v>1</v>
      </c>
    </row>
    <row r="566" spans="2:12" hidden="1">
      <c r="B566" s="501"/>
      <c r="C566" s="1190" t="s">
        <v>20</v>
      </c>
      <c r="D566" s="1190"/>
      <c r="E566" s="1190"/>
      <c r="F566" s="512" t="s">
        <v>22</v>
      </c>
      <c r="G566" s="577" t="s">
        <v>111</v>
      </c>
      <c r="H566" s="512" t="s">
        <v>112</v>
      </c>
      <c r="I566" s="577" t="s">
        <v>113</v>
      </c>
      <c r="J566" s="577" t="s">
        <v>114</v>
      </c>
      <c r="K566" s="513" t="s">
        <v>25</v>
      </c>
      <c r="L566" s="503"/>
    </row>
    <row r="567" spans="2:12" hidden="1">
      <c r="B567" s="501"/>
      <c r="C567" s="1191" t="s">
        <v>192</v>
      </c>
      <c r="D567" s="1191"/>
      <c r="E567" s="1191"/>
      <c r="F567" s="514">
        <v>1</v>
      </c>
      <c r="G567" s="514"/>
      <c r="H567" s="514"/>
      <c r="I567" s="514"/>
      <c r="J567" s="514"/>
      <c r="K567" s="515">
        <f>PRODUCT(F567:I567)</f>
        <v>1</v>
      </c>
      <c r="L567" s="503"/>
    </row>
    <row r="568" spans="2:12" hidden="1">
      <c r="B568" s="501"/>
      <c r="C568" s="1192" t="s">
        <v>116</v>
      </c>
      <c r="D568" s="1192"/>
      <c r="E568" s="1192"/>
      <c r="F568" s="1192"/>
      <c r="G568" s="1192"/>
      <c r="H568" s="1192"/>
      <c r="I568" s="1192"/>
      <c r="J568" s="1192"/>
      <c r="K568" s="516">
        <f>SUM(K567:K567)</f>
        <v>1</v>
      </c>
      <c r="L568" s="503"/>
    </row>
    <row r="569" spans="2:12" ht="15" hidden="1" customHeight="1">
      <c r="B569" s="493"/>
      <c r="C569" s="493"/>
      <c r="D569" s="493"/>
      <c r="E569" s="493"/>
      <c r="F569" s="493"/>
      <c r="G569" s="493"/>
      <c r="H569" s="493"/>
      <c r="I569" s="493"/>
      <c r="J569" s="493"/>
      <c r="K569" s="493"/>
      <c r="L569" s="493"/>
    </row>
    <row r="570" spans="2:12" hidden="1">
      <c r="B570" s="501" t="str">
        <f>'[6]PLANILHA ORÇAMENTÁRIA'!D149</f>
        <v>14.7</v>
      </c>
      <c r="C570" s="1193" t="str">
        <f>'[6]PLANILHA ORÇAMENTÁRIA'!E149</f>
        <v>PRANCHAS PARA EXERCICIOS ABDOMINAIS</v>
      </c>
      <c r="D570" s="1193"/>
      <c r="E570" s="1193"/>
      <c r="F570" s="1193"/>
      <c r="G570" s="1193"/>
      <c r="H570" s="1193"/>
      <c r="I570" s="1193"/>
      <c r="J570" s="1193"/>
      <c r="K570" s="497"/>
      <c r="L570" s="497"/>
    </row>
    <row r="571" spans="2:12" ht="26.25" hidden="1" customHeight="1">
      <c r="B571" s="497" t="str">
        <f>'[6]PLANILHA ORÇAMENTÁRIA'!D150</f>
        <v>14.7.1</v>
      </c>
      <c r="C571" s="1186" t="str">
        <f>'[6]PLANILHA ORÇAMENTÁRIA'!E150</f>
        <v>CONJUNTO DE PRANCHAS P/ EXERCICIOS ABDOMINAIS, TAMPO EM CONCRETO SIMPLES, DESEMPOLADA H=80CM, H=5OCM E 40CM</v>
      </c>
      <c r="D571" s="1186"/>
      <c r="E571" s="1186"/>
      <c r="F571" s="1186"/>
      <c r="G571" s="1186"/>
      <c r="H571" s="1186"/>
      <c r="I571" s="1186"/>
      <c r="J571" s="1186"/>
      <c r="K571" s="510" t="str">
        <f>'[6]PLANILHA ORÇAMENTÁRIA'!F150</f>
        <v>CJ</v>
      </c>
      <c r="L571" s="511">
        <f>K574</f>
        <v>1</v>
      </c>
    </row>
    <row r="572" spans="2:12" hidden="1">
      <c r="B572" s="501"/>
      <c r="C572" s="1190" t="s">
        <v>20</v>
      </c>
      <c r="D572" s="1190"/>
      <c r="E572" s="1190"/>
      <c r="F572" s="512" t="s">
        <v>22</v>
      </c>
      <c r="G572" s="577" t="s">
        <v>111</v>
      </c>
      <c r="H572" s="512" t="s">
        <v>112</v>
      </c>
      <c r="I572" s="577" t="s">
        <v>113</v>
      </c>
      <c r="J572" s="577" t="s">
        <v>114</v>
      </c>
      <c r="K572" s="513" t="s">
        <v>25</v>
      </c>
      <c r="L572" s="503"/>
    </row>
    <row r="573" spans="2:12" hidden="1">
      <c r="B573" s="501"/>
      <c r="C573" s="1191" t="s">
        <v>193</v>
      </c>
      <c r="D573" s="1191"/>
      <c r="E573" s="1191"/>
      <c r="F573" s="514">
        <v>1</v>
      </c>
      <c r="G573" s="514"/>
      <c r="H573" s="514"/>
      <c r="I573" s="514"/>
      <c r="J573" s="514"/>
      <c r="K573" s="515">
        <f>PRODUCT(F573:I573)</f>
        <v>1</v>
      </c>
      <c r="L573" s="503"/>
    </row>
    <row r="574" spans="2:12" hidden="1">
      <c r="B574" s="501"/>
      <c r="C574" s="1192" t="s">
        <v>116</v>
      </c>
      <c r="D574" s="1192"/>
      <c r="E574" s="1192"/>
      <c r="F574" s="1192"/>
      <c r="G574" s="1192"/>
      <c r="H574" s="1192"/>
      <c r="I574" s="1192"/>
      <c r="J574" s="1192"/>
      <c r="K574" s="516">
        <f>SUM(K573:K573)</f>
        <v>1</v>
      </c>
      <c r="L574" s="503"/>
    </row>
    <row r="575" spans="2:12" hidden="1">
      <c r="B575" s="501"/>
      <c r="C575" s="517"/>
      <c r="D575" s="517"/>
      <c r="E575" s="517"/>
      <c r="F575" s="517"/>
      <c r="G575" s="517"/>
      <c r="H575" s="517"/>
      <c r="I575" s="517"/>
      <c r="J575" s="517"/>
      <c r="K575" s="518"/>
      <c r="L575" s="503"/>
    </row>
    <row r="576" spans="2:12" hidden="1">
      <c r="B576" s="501"/>
      <c r="C576" s="517"/>
      <c r="D576" s="517"/>
      <c r="E576" s="517"/>
      <c r="F576" s="517"/>
      <c r="G576" s="517"/>
      <c r="H576" s="517"/>
      <c r="I576" s="517"/>
      <c r="J576" s="517"/>
      <c r="K576" s="519"/>
      <c r="L576" s="503"/>
    </row>
    <row r="577" spans="2:12" ht="15" hidden="1" customHeight="1">
      <c r="B577" s="497" t="str">
        <f>'[6]PLANILHA ORÇAMENTÁRIA'!D153</f>
        <v>15.2</v>
      </c>
      <c r="C577" s="1186" t="str">
        <f>'[6]PLANILHA ORÇAMENTÁRIA'!E153</f>
        <v>BARRA DE APOIO RETA, EM ACO INOX POLIDO, COMPRIMENTO 60CM, DIAMETRO MINIMO 3CM</v>
      </c>
      <c r="D577" s="1186"/>
      <c r="E577" s="1186"/>
      <c r="F577" s="1186"/>
      <c r="G577" s="1186"/>
      <c r="H577" s="1186"/>
      <c r="I577" s="1186"/>
      <c r="J577" s="1186"/>
      <c r="K577" s="510" t="str">
        <f>'[6]PLANILHA ORÇAMENTÁRIA'!F153</f>
        <v>UND</v>
      </c>
      <c r="L577" s="511">
        <f>K581</f>
        <v>2</v>
      </c>
    </row>
    <row r="578" spans="2:12" hidden="1">
      <c r="B578" s="501"/>
      <c r="C578" s="1187" t="s">
        <v>20</v>
      </c>
      <c r="D578" s="1188"/>
      <c r="E578" s="1189"/>
      <c r="F578" s="512" t="s">
        <v>22</v>
      </c>
      <c r="G578" s="577" t="s">
        <v>111</v>
      </c>
      <c r="H578" s="577" t="s">
        <v>114</v>
      </c>
      <c r="I578" s="577" t="s">
        <v>113</v>
      </c>
      <c r="J578" s="577" t="s">
        <v>136</v>
      </c>
      <c r="K578" s="513" t="s">
        <v>25</v>
      </c>
      <c r="L578" s="503"/>
    </row>
    <row r="579" spans="2:12" ht="15" hidden="1" customHeight="1">
      <c r="B579" s="501"/>
      <c r="C579" s="1180" t="s">
        <v>170</v>
      </c>
      <c r="D579" s="1181"/>
      <c r="E579" s="1182"/>
      <c r="F579" s="514">
        <v>1</v>
      </c>
      <c r="G579" s="514"/>
      <c r="H579" s="514"/>
      <c r="I579" s="514"/>
      <c r="J579" s="514"/>
      <c r="K579" s="578">
        <f>F579</f>
        <v>1</v>
      </c>
      <c r="L579" s="503"/>
    </row>
    <row r="580" spans="2:12" ht="15" hidden="1" customHeight="1">
      <c r="B580" s="501"/>
      <c r="C580" s="1180" t="s">
        <v>194</v>
      </c>
      <c r="D580" s="1181"/>
      <c r="E580" s="1182"/>
      <c r="F580" s="514">
        <v>1</v>
      </c>
      <c r="G580" s="514"/>
      <c r="H580" s="514"/>
      <c r="I580" s="514"/>
      <c r="J580" s="514"/>
      <c r="K580" s="578">
        <f>F580</f>
        <v>1</v>
      </c>
      <c r="L580" s="503"/>
    </row>
    <row r="581" spans="2:12" hidden="1">
      <c r="B581" s="501"/>
      <c r="C581" s="1183" t="s">
        <v>116</v>
      </c>
      <c r="D581" s="1184"/>
      <c r="E581" s="1184"/>
      <c r="F581" s="1184"/>
      <c r="G581" s="1184"/>
      <c r="H581" s="1184"/>
      <c r="I581" s="1184"/>
      <c r="J581" s="1185"/>
      <c r="K581" s="513">
        <f>SUM(K579:K580)</f>
        <v>2</v>
      </c>
      <c r="L581" s="503"/>
    </row>
    <row r="582" spans="2:12" hidden="1">
      <c r="B582" s="501"/>
      <c r="C582" s="517"/>
      <c r="D582" s="517"/>
      <c r="E582" s="517"/>
      <c r="F582" s="517"/>
      <c r="G582" s="517"/>
      <c r="H582" s="517"/>
      <c r="I582" s="517"/>
      <c r="J582" s="517"/>
      <c r="K582" s="519"/>
      <c r="L582" s="503"/>
    </row>
    <row r="583" spans="2:12" ht="15" hidden="1" customHeight="1">
      <c r="B583" s="497" t="str">
        <f>'[6]PLANILHA ORÇAMENTÁRIA'!D154</f>
        <v>15.3</v>
      </c>
      <c r="C583" s="1186" t="str">
        <f>'[6]PLANILHA ORÇAMENTÁRIA'!E154</f>
        <v>PRATELEIRA EM CONCRETO ARMADO, LARGURA = 40CM, ESP= 5CM, REVESTIDA COM CERAMICA.</v>
      </c>
      <c r="D583" s="1186"/>
      <c r="E583" s="1186"/>
      <c r="F583" s="1186"/>
      <c r="G583" s="1186"/>
      <c r="H583" s="1186"/>
      <c r="I583" s="1186"/>
      <c r="J583" s="1186"/>
      <c r="K583" s="510" t="str">
        <f>'[6]PLANILHA ORÇAMENTÁRIA'!F154</f>
        <v>M</v>
      </c>
      <c r="L583" s="511">
        <f>K586</f>
        <v>12.6</v>
      </c>
    </row>
    <row r="584" spans="2:12" hidden="1">
      <c r="B584" s="501"/>
      <c r="C584" s="1187" t="s">
        <v>20</v>
      </c>
      <c r="D584" s="1188"/>
      <c r="E584" s="1189"/>
      <c r="F584" s="512" t="s">
        <v>22</v>
      </c>
      <c r="G584" s="577" t="s">
        <v>111</v>
      </c>
      <c r="H584" s="577" t="s">
        <v>114</v>
      </c>
      <c r="I584" s="577" t="s">
        <v>113</v>
      </c>
      <c r="J584" s="577" t="s">
        <v>136</v>
      </c>
      <c r="K584" s="513" t="s">
        <v>25</v>
      </c>
      <c r="L584" s="503"/>
    </row>
    <row r="585" spans="2:12" hidden="1">
      <c r="B585" s="501"/>
      <c r="C585" s="1180" t="s">
        <v>167</v>
      </c>
      <c r="D585" s="1181"/>
      <c r="E585" s="1182"/>
      <c r="F585" s="514">
        <v>3</v>
      </c>
      <c r="G585" s="514"/>
      <c r="H585" s="514"/>
      <c r="I585" s="514">
        <v>4.2</v>
      </c>
      <c r="J585" s="514"/>
      <c r="K585" s="578">
        <f>TRUNC((I585*F585),2)</f>
        <v>12.6</v>
      </c>
      <c r="L585" s="503"/>
    </row>
    <row r="586" spans="2:12" hidden="1">
      <c r="B586" s="501"/>
      <c r="C586" s="1183" t="s">
        <v>116</v>
      </c>
      <c r="D586" s="1184"/>
      <c r="E586" s="1184"/>
      <c r="F586" s="1184"/>
      <c r="G586" s="1184"/>
      <c r="H586" s="1184"/>
      <c r="I586" s="1184"/>
      <c r="J586" s="1185"/>
      <c r="K586" s="513">
        <f>SUM(K585:K585)</f>
        <v>12.6</v>
      </c>
      <c r="L586" s="503"/>
    </row>
    <row r="587" spans="2:12" hidden="1">
      <c r="B587" s="501"/>
      <c r="C587" s="517"/>
      <c r="D587" s="517"/>
      <c r="E587" s="517"/>
      <c r="F587" s="517"/>
      <c r="G587" s="517"/>
      <c r="H587" s="517"/>
      <c r="I587" s="517"/>
      <c r="J587" s="517"/>
      <c r="K587" s="519"/>
      <c r="L587" s="503"/>
    </row>
    <row r="588" spans="2:12">
      <c r="B588" s="614" t="s">
        <v>11</v>
      </c>
      <c r="C588" s="1168" t="s">
        <v>34</v>
      </c>
      <c r="D588" s="1168"/>
      <c r="E588" s="1168"/>
      <c r="F588" s="1168"/>
      <c r="G588" s="1168"/>
      <c r="H588" s="1168"/>
      <c r="I588" s="1168"/>
      <c r="J588" s="1168"/>
      <c r="K588" s="615"/>
      <c r="L588" s="615"/>
    </row>
    <row r="589" spans="2:12">
      <c r="B589" s="493"/>
      <c r="C589" s="493"/>
      <c r="D589" s="493"/>
      <c r="E589" s="493"/>
      <c r="F589" s="493"/>
      <c r="G589" s="493"/>
      <c r="H589" s="493"/>
      <c r="I589" s="493"/>
      <c r="J589" s="493"/>
      <c r="K589" s="493"/>
      <c r="L589" s="493"/>
    </row>
    <row r="590" spans="2:12" ht="26.25" customHeight="1">
      <c r="B590" s="576" t="s">
        <v>12</v>
      </c>
      <c r="C590" s="1157" t="s">
        <v>839</v>
      </c>
      <c r="D590" s="1158"/>
      <c r="E590" s="1158"/>
      <c r="F590" s="1158"/>
      <c r="G590" s="1158"/>
      <c r="H590" s="1158"/>
      <c r="I590" s="1158"/>
      <c r="J590" s="1159"/>
      <c r="K590" s="521" t="s">
        <v>7</v>
      </c>
      <c r="L590" s="522">
        <f>K612</f>
        <v>278.74400000000003</v>
      </c>
    </row>
    <row r="591" spans="2:12">
      <c r="B591" s="576"/>
      <c r="C591" s="1160" t="s">
        <v>20</v>
      </c>
      <c r="D591" s="1160"/>
      <c r="E591" s="1160"/>
      <c r="F591" s="523" t="s">
        <v>22</v>
      </c>
      <c r="G591" s="571" t="s">
        <v>111</v>
      </c>
      <c r="H591" s="523" t="s">
        <v>112</v>
      </c>
      <c r="I591" s="571" t="s">
        <v>113</v>
      </c>
      <c r="J591" s="571" t="s">
        <v>114</v>
      </c>
      <c r="K591" s="524" t="s">
        <v>25</v>
      </c>
      <c r="L591" s="1169" t="s">
        <v>30</v>
      </c>
    </row>
    <row r="592" spans="2:12">
      <c r="B592" s="576"/>
      <c r="C592" s="1164" t="s">
        <v>338</v>
      </c>
      <c r="D592" s="1165"/>
      <c r="E592" s="1166"/>
      <c r="F592" s="525">
        <v>2</v>
      </c>
      <c r="G592" s="525">
        <v>1.2</v>
      </c>
      <c r="H592" s="525">
        <v>1</v>
      </c>
      <c r="I592" s="525">
        <v>9.4</v>
      </c>
      <c r="J592" s="525">
        <v>0.96</v>
      </c>
      <c r="K592" s="572">
        <f>(F592*G592*H592*I592)-J592</f>
        <v>21.599999999999998</v>
      </c>
      <c r="L592" s="1169"/>
    </row>
    <row r="593" spans="2:12">
      <c r="B593" s="576"/>
      <c r="C593" s="1164" t="s">
        <v>338</v>
      </c>
      <c r="D593" s="1165"/>
      <c r="E593" s="1166"/>
      <c r="F593" s="525">
        <v>2</v>
      </c>
      <c r="G593" s="525">
        <v>1.2</v>
      </c>
      <c r="H593" s="525">
        <v>1</v>
      </c>
      <c r="I593" s="525">
        <v>4.3</v>
      </c>
      <c r="J593" s="525">
        <v>0</v>
      </c>
      <c r="K593" s="572">
        <f t="shared" ref="K593:K611" si="2">(F593*G593*H593*I593)-J593</f>
        <v>10.319999999999999</v>
      </c>
      <c r="L593" s="1169"/>
    </row>
    <row r="594" spans="2:12">
      <c r="B594" s="576"/>
      <c r="C594" s="1164" t="s">
        <v>243</v>
      </c>
      <c r="D594" s="1165"/>
      <c r="E594" s="1166"/>
      <c r="F594" s="525">
        <v>2</v>
      </c>
      <c r="G594" s="525">
        <v>1.2</v>
      </c>
      <c r="H594" s="525">
        <v>1</v>
      </c>
      <c r="I594" s="525">
        <v>9.4</v>
      </c>
      <c r="J594" s="525">
        <v>0.96</v>
      </c>
      <c r="K594" s="572">
        <f t="shared" si="2"/>
        <v>21.599999999999998</v>
      </c>
      <c r="L594" s="1169"/>
    </row>
    <row r="595" spans="2:12">
      <c r="B595" s="576"/>
      <c r="C595" s="1164" t="s">
        <v>243</v>
      </c>
      <c r="D595" s="1165"/>
      <c r="E595" s="1166"/>
      <c r="F595" s="525">
        <v>4</v>
      </c>
      <c r="G595" s="525">
        <v>1.2</v>
      </c>
      <c r="H595" s="525">
        <v>1</v>
      </c>
      <c r="I595" s="525">
        <v>2.8</v>
      </c>
      <c r="J595" s="525">
        <v>3.36</v>
      </c>
      <c r="K595" s="572">
        <f t="shared" si="2"/>
        <v>10.08</v>
      </c>
      <c r="L595" s="1169"/>
    </row>
    <row r="596" spans="2:12">
      <c r="B596" s="576"/>
      <c r="C596" s="1164" t="s">
        <v>850</v>
      </c>
      <c r="D596" s="1165"/>
      <c r="E596" s="1166"/>
      <c r="F596" s="525">
        <v>2</v>
      </c>
      <c r="G596" s="525">
        <v>1.2</v>
      </c>
      <c r="H596" s="525">
        <v>1</v>
      </c>
      <c r="I596" s="525">
        <v>7</v>
      </c>
      <c r="J596" s="525">
        <v>0.96</v>
      </c>
      <c r="K596" s="572">
        <f t="shared" si="2"/>
        <v>15.84</v>
      </c>
      <c r="L596" s="1169"/>
    </row>
    <row r="597" spans="2:12">
      <c r="B597" s="576"/>
      <c r="C597" s="1164" t="s">
        <v>461</v>
      </c>
      <c r="D597" s="1165"/>
      <c r="E597" s="1166"/>
      <c r="F597" s="525">
        <v>2</v>
      </c>
      <c r="G597" s="525">
        <v>1.2</v>
      </c>
      <c r="H597" s="525">
        <v>1</v>
      </c>
      <c r="I597" s="525">
        <v>5</v>
      </c>
      <c r="J597" s="525">
        <v>0</v>
      </c>
      <c r="K597" s="572">
        <f t="shared" si="2"/>
        <v>12</v>
      </c>
      <c r="L597" s="1169"/>
    </row>
    <row r="598" spans="2:12">
      <c r="B598" s="576"/>
      <c r="C598" s="1164" t="s">
        <v>496</v>
      </c>
      <c r="D598" s="1165"/>
      <c r="E598" s="1166"/>
      <c r="F598" s="525">
        <v>2</v>
      </c>
      <c r="G598" s="525">
        <v>1.2</v>
      </c>
      <c r="H598" s="525">
        <v>1</v>
      </c>
      <c r="I598" s="525">
        <v>7</v>
      </c>
      <c r="J598" s="525">
        <v>0.96</v>
      </c>
      <c r="K598" s="572">
        <f t="shared" si="2"/>
        <v>15.84</v>
      </c>
      <c r="L598" s="1169"/>
    </row>
    <row r="599" spans="2:12">
      <c r="B599" s="576"/>
      <c r="C599" s="1164" t="s">
        <v>496</v>
      </c>
      <c r="D599" s="1165"/>
      <c r="E599" s="1166"/>
      <c r="F599" s="525">
        <v>2</v>
      </c>
      <c r="G599" s="525">
        <v>1.2</v>
      </c>
      <c r="H599" s="525">
        <v>1</v>
      </c>
      <c r="I599" s="525">
        <v>5</v>
      </c>
      <c r="J599" s="525">
        <v>0</v>
      </c>
      <c r="K599" s="572">
        <f t="shared" si="2"/>
        <v>12</v>
      </c>
      <c r="L599" s="1169"/>
    </row>
    <row r="600" spans="2:12">
      <c r="B600" s="576"/>
      <c r="C600" s="1164" t="s">
        <v>498</v>
      </c>
      <c r="D600" s="1165"/>
      <c r="E600" s="1166"/>
      <c r="F600" s="525">
        <v>2</v>
      </c>
      <c r="G600" s="525">
        <v>1.2</v>
      </c>
      <c r="H600" s="525">
        <v>1</v>
      </c>
      <c r="I600" s="525">
        <v>6.7</v>
      </c>
      <c r="J600" s="525">
        <v>0.96</v>
      </c>
      <c r="K600" s="572">
        <f t="shared" si="2"/>
        <v>15.119999999999997</v>
      </c>
      <c r="L600" s="1169"/>
    </row>
    <row r="601" spans="2:12">
      <c r="B601" s="576"/>
      <c r="C601" s="1164" t="s">
        <v>498</v>
      </c>
      <c r="D601" s="1165"/>
      <c r="E601" s="1166"/>
      <c r="F601" s="525">
        <v>2</v>
      </c>
      <c r="G601" s="525">
        <v>1.2</v>
      </c>
      <c r="H601" s="525">
        <v>1</v>
      </c>
      <c r="I601" s="525">
        <v>5.1100000000000003</v>
      </c>
      <c r="J601" s="525">
        <v>0</v>
      </c>
      <c r="K601" s="572">
        <f t="shared" si="2"/>
        <v>12.264000000000001</v>
      </c>
      <c r="L601" s="1169"/>
    </row>
    <row r="602" spans="2:12">
      <c r="B602" s="576"/>
      <c r="C602" s="1164" t="s">
        <v>499</v>
      </c>
      <c r="D602" s="1165"/>
      <c r="E602" s="1166"/>
      <c r="F602" s="525">
        <v>2</v>
      </c>
      <c r="G602" s="525">
        <v>1.2</v>
      </c>
      <c r="H602" s="525">
        <v>1</v>
      </c>
      <c r="I602" s="525">
        <v>6.5</v>
      </c>
      <c r="J602" s="525">
        <v>0.96</v>
      </c>
      <c r="K602" s="572">
        <f t="shared" si="2"/>
        <v>14.64</v>
      </c>
      <c r="L602" s="1169"/>
    </row>
    <row r="603" spans="2:12">
      <c r="B603" s="576"/>
      <c r="C603" s="1164" t="s">
        <v>499</v>
      </c>
      <c r="D603" s="1165"/>
      <c r="E603" s="1166"/>
      <c r="F603" s="525">
        <v>2</v>
      </c>
      <c r="G603" s="525">
        <v>1.2</v>
      </c>
      <c r="H603" s="525">
        <v>1</v>
      </c>
      <c r="I603" s="525">
        <v>5</v>
      </c>
      <c r="J603" s="525">
        <v>0</v>
      </c>
      <c r="K603" s="572">
        <f t="shared" si="2"/>
        <v>12</v>
      </c>
      <c r="L603" s="1169"/>
    </row>
    <row r="604" spans="2:12">
      <c r="B604" s="576"/>
      <c r="C604" s="1164" t="s">
        <v>465</v>
      </c>
      <c r="D604" s="1165"/>
      <c r="E604" s="1166"/>
      <c r="F604" s="525">
        <v>2</v>
      </c>
      <c r="G604" s="525">
        <v>1.2</v>
      </c>
      <c r="H604" s="525">
        <v>1</v>
      </c>
      <c r="I604" s="525">
        <v>7</v>
      </c>
      <c r="J604" s="525">
        <v>0.96</v>
      </c>
      <c r="K604" s="572">
        <f t="shared" si="2"/>
        <v>15.84</v>
      </c>
      <c r="L604" s="1169"/>
    </row>
    <row r="605" spans="2:12">
      <c r="B605" s="576"/>
      <c r="C605" s="1164" t="s">
        <v>465</v>
      </c>
      <c r="D605" s="1165"/>
      <c r="E605" s="1166"/>
      <c r="F605" s="525">
        <v>2</v>
      </c>
      <c r="G605" s="525">
        <v>1.2</v>
      </c>
      <c r="H605" s="525">
        <v>1</v>
      </c>
      <c r="I605" s="525">
        <v>4</v>
      </c>
      <c r="J605" s="525">
        <v>0</v>
      </c>
      <c r="K605" s="572">
        <f t="shared" si="2"/>
        <v>9.6</v>
      </c>
      <c r="L605" s="1169"/>
    </row>
    <row r="606" spans="2:12">
      <c r="B606" s="576"/>
      <c r="C606" s="1164" t="s">
        <v>851</v>
      </c>
      <c r="D606" s="1165"/>
      <c r="E606" s="1166"/>
      <c r="F606" s="525">
        <v>2</v>
      </c>
      <c r="G606" s="525">
        <v>1.2</v>
      </c>
      <c r="H606" s="525">
        <v>1</v>
      </c>
      <c r="I606" s="525">
        <v>6.7</v>
      </c>
      <c r="J606" s="525">
        <v>0.96</v>
      </c>
      <c r="K606" s="572">
        <f t="shared" si="2"/>
        <v>15.119999999999997</v>
      </c>
      <c r="L606" s="1169"/>
    </row>
    <row r="607" spans="2:12">
      <c r="B607" s="576"/>
      <c r="C607" s="1164" t="s">
        <v>851</v>
      </c>
      <c r="D607" s="1165"/>
      <c r="E607" s="1166"/>
      <c r="F607" s="525">
        <v>2</v>
      </c>
      <c r="G607" s="525">
        <v>1.2</v>
      </c>
      <c r="H607" s="525">
        <v>1</v>
      </c>
      <c r="I607" s="525">
        <v>3</v>
      </c>
      <c r="J607" s="525">
        <v>0</v>
      </c>
      <c r="K607" s="572">
        <f t="shared" si="2"/>
        <v>7.1999999999999993</v>
      </c>
      <c r="L607" s="1169"/>
    </row>
    <row r="608" spans="2:12">
      <c r="B608" s="576"/>
      <c r="C608" s="1164" t="s">
        <v>852</v>
      </c>
      <c r="D608" s="1165"/>
      <c r="E608" s="1166"/>
      <c r="F608" s="525">
        <v>1</v>
      </c>
      <c r="G608" s="525">
        <v>1.2</v>
      </c>
      <c r="H608" s="525">
        <v>1</v>
      </c>
      <c r="I608" s="525">
        <v>4.7</v>
      </c>
      <c r="J608" s="525">
        <v>0.96</v>
      </c>
      <c r="K608" s="572">
        <f t="shared" si="2"/>
        <v>4.68</v>
      </c>
      <c r="L608" s="1169"/>
    </row>
    <row r="609" spans="2:12">
      <c r="B609" s="576"/>
      <c r="C609" s="1164" t="s">
        <v>852</v>
      </c>
      <c r="D609" s="1165"/>
      <c r="E609" s="1166"/>
      <c r="F609" s="525">
        <v>10</v>
      </c>
      <c r="G609" s="525">
        <v>1.2</v>
      </c>
      <c r="H609" s="525">
        <v>1</v>
      </c>
      <c r="I609" s="525">
        <v>1.2</v>
      </c>
      <c r="J609" s="525">
        <v>0</v>
      </c>
      <c r="K609" s="572">
        <f t="shared" si="2"/>
        <v>14.399999999999999</v>
      </c>
      <c r="L609" s="1169"/>
    </row>
    <row r="610" spans="2:12">
      <c r="B610" s="576"/>
      <c r="C610" s="1164" t="s">
        <v>852</v>
      </c>
      <c r="D610" s="1165"/>
      <c r="E610" s="1166"/>
      <c r="F610" s="525">
        <v>8</v>
      </c>
      <c r="G610" s="525">
        <v>1.2</v>
      </c>
      <c r="H610" s="525">
        <v>1</v>
      </c>
      <c r="I610" s="525">
        <v>4.3</v>
      </c>
      <c r="J610" s="525">
        <v>2.68</v>
      </c>
      <c r="K610" s="572">
        <f t="shared" si="2"/>
        <v>38.599999999999994</v>
      </c>
      <c r="L610" s="1169"/>
    </row>
    <row r="611" spans="2:12">
      <c r="B611" s="576"/>
      <c r="C611" s="1164"/>
      <c r="D611" s="1165"/>
      <c r="E611" s="1166"/>
      <c r="F611" s="525"/>
      <c r="G611" s="525"/>
      <c r="H611" s="525"/>
      <c r="I611" s="525"/>
      <c r="J611" s="525"/>
      <c r="K611" s="572">
        <f t="shared" si="2"/>
        <v>0</v>
      </c>
      <c r="L611" s="1169"/>
    </row>
    <row r="612" spans="2:12">
      <c r="B612" s="576"/>
      <c r="C612" s="1167" t="s">
        <v>116</v>
      </c>
      <c r="D612" s="1167"/>
      <c r="E612" s="1167"/>
      <c r="F612" s="1167"/>
      <c r="G612" s="1167"/>
      <c r="H612" s="1167"/>
      <c r="I612" s="1167"/>
      <c r="J612" s="1167"/>
      <c r="K612" s="524">
        <f>SUM(K592:K611)</f>
        <v>278.74400000000003</v>
      </c>
      <c r="L612" s="1169"/>
    </row>
    <row r="613" spans="2:12">
      <c r="B613" s="493"/>
      <c r="C613" s="493"/>
      <c r="D613" s="493"/>
      <c r="E613" s="493"/>
      <c r="F613" s="493"/>
      <c r="G613" s="493"/>
      <c r="H613" s="493"/>
      <c r="I613" s="493"/>
      <c r="J613" s="493"/>
      <c r="K613" s="493"/>
      <c r="L613" s="493"/>
    </row>
    <row r="614" spans="2:12" ht="24" customHeight="1">
      <c r="B614" s="576" t="s">
        <v>435</v>
      </c>
      <c r="C614" s="1157" t="s">
        <v>841</v>
      </c>
      <c r="D614" s="1158"/>
      <c r="E614" s="1158"/>
      <c r="F614" s="1158"/>
      <c r="G614" s="1158"/>
      <c r="H614" s="1158"/>
      <c r="I614" s="1158"/>
      <c r="J614" s="1159"/>
      <c r="K614" s="521" t="s">
        <v>7</v>
      </c>
      <c r="L614" s="522">
        <f>K635</f>
        <v>615.05999999999995</v>
      </c>
    </row>
    <row r="615" spans="2:12">
      <c r="B615" s="576"/>
      <c r="C615" s="1160" t="s">
        <v>20</v>
      </c>
      <c r="D615" s="1160"/>
      <c r="E615" s="1160"/>
      <c r="F615" s="523" t="s">
        <v>22</v>
      </c>
      <c r="G615" s="571" t="s">
        <v>111</v>
      </c>
      <c r="H615" s="523" t="s">
        <v>112</v>
      </c>
      <c r="I615" s="571" t="s">
        <v>113</v>
      </c>
      <c r="J615" s="571" t="s">
        <v>114</v>
      </c>
      <c r="K615" s="524" t="s">
        <v>25</v>
      </c>
      <c r="L615" s="1169" t="s">
        <v>30</v>
      </c>
    </row>
    <row r="616" spans="2:12" ht="15" customHeight="1">
      <c r="B616" s="576"/>
      <c r="C616" s="1164" t="s">
        <v>338</v>
      </c>
      <c r="D616" s="1165"/>
      <c r="E616" s="1166"/>
      <c r="F616" s="525">
        <v>1</v>
      </c>
      <c r="G616" s="525">
        <v>1.2</v>
      </c>
      <c r="H616" s="525">
        <v>1</v>
      </c>
      <c r="I616" s="525">
        <v>9.4</v>
      </c>
      <c r="J616" s="525">
        <v>0.96</v>
      </c>
      <c r="K616" s="572">
        <f>(F616*G616*H616*I616)-J616</f>
        <v>10.32</v>
      </c>
      <c r="L616" s="1169"/>
    </row>
    <row r="617" spans="2:12" ht="15" customHeight="1">
      <c r="B617" s="576"/>
      <c r="C617" s="1164" t="s">
        <v>338</v>
      </c>
      <c r="D617" s="1165"/>
      <c r="E617" s="1166"/>
      <c r="F617" s="525">
        <v>1</v>
      </c>
      <c r="G617" s="525">
        <v>1.2</v>
      </c>
      <c r="H617" s="525">
        <v>1</v>
      </c>
      <c r="I617" s="525">
        <v>4.8</v>
      </c>
      <c r="J617" s="525">
        <v>0</v>
      </c>
      <c r="K617" s="572">
        <f t="shared" ref="K617:K634" si="3">(F617*G617*H617*I617)-J617</f>
        <v>5.76</v>
      </c>
      <c r="L617" s="1169"/>
    </row>
    <row r="618" spans="2:12" ht="15" customHeight="1">
      <c r="B618" s="576"/>
      <c r="C618" s="1164" t="s">
        <v>338</v>
      </c>
      <c r="D618" s="1165"/>
      <c r="E618" s="1166"/>
      <c r="F618" s="525">
        <v>2</v>
      </c>
      <c r="G618" s="525">
        <v>1.2</v>
      </c>
      <c r="H618" s="525">
        <v>1</v>
      </c>
      <c r="I618" s="525">
        <v>4.3</v>
      </c>
      <c r="J618" s="525">
        <v>0</v>
      </c>
      <c r="K618" s="572">
        <f t="shared" si="3"/>
        <v>10.319999999999999</v>
      </c>
      <c r="L618" s="1169"/>
    </row>
    <row r="619" spans="2:12" ht="15" customHeight="1">
      <c r="B619" s="576"/>
      <c r="C619" s="1164" t="s">
        <v>243</v>
      </c>
      <c r="D619" s="1165"/>
      <c r="E619" s="1166"/>
      <c r="F619" s="525">
        <v>2</v>
      </c>
      <c r="G619" s="525">
        <v>1.2</v>
      </c>
      <c r="H619" s="525">
        <v>1</v>
      </c>
      <c r="I619" s="525">
        <v>2.8</v>
      </c>
      <c r="J619" s="525">
        <v>1.68</v>
      </c>
      <c r="K619" s="572">
        <f t="shared" si="3"/>
        <v>5.04</v>
      </c>
      <c r="L619" s="1169"/>
    </row>
    <row r="620" spans="2:12">
      <c r="B620" s="576"/>
      <c r="C620" s="1164" t="s">
        <v>243</v>
      </c>
      <c r="D620" s="1165"/>
      <c r="E620" s="1166"/>
      <c r="F620" s="525">
        <v>1</v>
      </c>
      <c r="G620" s="525">
        <v>1.2</v>
      </c>
      <c r="H620" s="525">
        <v>1</v>
      </c>
      <c r="I620" s="525">
        <v>4.45</v>
      </c>
      <c r="J620" s="525">
        <v>1.68</v>
      </c>
      <c r="K620" s="572">
        <f t="shared" si="3"/>
        <v>3.66</v>
      </c>
      <c r="L620" s="1169"/>
    </row>
    <row r="621" spans="2:12">
      <c r="B621" s="576"/>
      <c r="C621" s="1164" t="s">
        <v>461</v>
      </c>
      <c r="D621" s="1165"/>
      <c r="E621" s="1166"/>
      <c r="F621" s="525">
        <v>2</v>
      </c>
      <c r="G621" s="525">
        <v>1.2</v>
      </c>
      <c r="H621" s="525">
        <v>1</v>
      </c>
      <c r="I621" s="525">
        <v>7.15</v>
      </c>
      <c r="J621" s="525">
        <v>0.96</v>
      </c>
      <c r="K621" s="572">
        <f t="shared" si="3"/>
        <v>16.2</v>
      </c>
      <c r="L621" s="1169"/>
    </row>
    <row r="622" spans="2:12" ht="15" customHeight="1">
      <c r="B622" s="576"/>
      <c r="C622" s="1164" t="s">
        <v>496</v>
      </c>
      <c r="D622" s="1165"/>
      <c r="E622" s="1166"/>
      <c r="F622" s="525">
        <v>2</v>
      </c>
      <c r="G622" s="525">
        <v>1.2</v>
      </c>
      <c r="H622" s="525">
        <v>1</v>
      </c>
      <c r="I622" s="525">
        <v>7.15</v>
      </c>
      <c r="J622" s="525">
        <v>0.96</v>
      </c>
      <c r="K622" s="572">
        <f t="shared" si="3"/>
        <v>16.2</v>
      </c>
      <c r="L622" s="1169"/>
    </row>
    <row r="623" spans="2:12" ht="15" customHeight="1">
      <c r="B623" s="576"/>
      <c r="C623" s="1164" t="s">
        <v>498</v>
      </c>
      <c r="D623" s="1165"/>
      <c r="E623" s="1166"/>
      <c r="F623" s="525">
        <v>2</v>
      </c>
      <c r="G623" s="525">
        <v>1.2</v>
      </c>
      <c r="H623" s="525">
        <v>1</v>
      </c>
      <c r="I623" s="525">
        <v>6.7</v>
      </c>
      <c r="J623" s="525">
        <v>0.96</v>
      </c>
      <c r="K623" s="572">
        <f t="shared" si="3"/>
        <v>15.119999999999997</v>
      </c>
      <c r="L623" s="1169"/>
    </row>
    <row r="624" spans="2:12">
      <c r="B624" s="576"/>
      <c r="C624" s="1164" t="s">
        <v>498</v>
      </c>
      <c r="D624" s="1165"/>
      <c r="E624" s="1166"/>
      <c r="F624" s="525">
        <v>3</v>
      </c>
      <c r="G624" s="525">
        <v>1.2</v>
      </c>
      <c r="H624" s="525">
        <v>1</v>
      </c>
      <c r="I624" s="525">
        <v>6.6</v>
      </c>
      <c r="J624" s="525">
        <v>0</v>
      </c>
      <c r="K624" s="572">
        <f t="shared" si="3"/>
        <v>23.759999999999998</v>
      </c>
      <c r="L624" s="1169"/>
    </row>
    <row r="625" spans="2:12">
      <c r="B625" s="576"/>
      <c r="C625" s="1164" t="s">
        <v>499</v>
      </c>
      <c r="D625" s="1165"/>
      <c r="E625" s="1166"/>
      <c r="F625" s="525">
        <v>2</v>
      </c>
      <c r="G625" s="525">
        <v>1.2</v>
      </c>
      <c r="H625" s="525">
        <v>1</v>
      </c>
      <c r="I625" s="525">
        <v>6.5</v>
      </c>
      <c r="J625" s="525">
        <v>0.96</v>
      </c>
      <c r="K625" s="572">
        <f t="shared" si="3"/>
        <v>14.64</v>
      </c>
      <c r="L625" s="1169"/>
    </row>
    <row r="626" spans="2:12" ht="15" customHeight="1">
      <c r="B626" s="576"/>
      <c r="C626" s="1164" t="s">
        <v>499</v>
      </c>
      <c r="D626" s="1165"/>
      <c r="E626" s="1166"/>
      <c r="F626" s="525">
        <v>2</v>
      </c>
      <c r="G626" s="525">
        <v>1.2</v>
      </c>
      <c r="H626" s="525">
        <v>1</v>
      </c>
      <c r="I626" s="525">
        <v>5</v>
      </c>
      <c r="J626" s="525">
        <v>0</v>
      </c>
      <c r="K626" s="572">
        <f t="shared" si="3"/>
        <v>12</v>
      </c>
      <c r="L626" s="1169"/>
    </row>
    <row r="627" spans="2:12">
      <c r="B627" s="576"/>
      <c r="C627" s="1164" t="s">
        <v>465</v>
      </c>
      <c r="D627" s="1165"/>
      <c r="E627" s="1166"/>
      <c r="F627" s="525">
        <v>1</v>
      </c>
      <c r="G627" s="525">
        <v>1.2</v>
      </c>
      <c r="H627" s="525">
        <v>1</v>
      </c>
      <c r="I627" s="525">
        <v>7</v>
      </c>
      <c r="J627" s="525">
        <v>0.96</v>
      </c>
      <c r="K627" s="572">
        <f t="shared" si="3"/>
        <v>7.44</v>
      </c>
      <c r="L627" s="1169"/>
    </row>
    <row r="628" spans="2:12" ht="15" customHeight="1">
      <c r="B628" s="576"/>
      <c r="C628" s="1164" t="s">
        <v>465</v>
      </c>
      <c r="D628" s="1165"/>
      <c r="E628" s="1166"/>
      <c r="F628" s="525">
        <v>2</v>
      </c>
      <c r="G628" s="525">
        <v>1.2</v>
      </c>
      <c r="H628" s="525">
        <v>1</v>
      </c>
      <c r="I628" s="525">
        <v>4</v>
      </c>
      <c r="J628" s="525">
        <v>0</v>
      </c>
      <c r="K628" s="572">
        <f t="shared" si="3"/>
        <v>9.6</v>
      </c>
      <c r="L628" s="1169"/>
    </row>
    <row r="629" spans="2:12" ht="15" customHeight="1">
      <c r="B629" s="576"/>
      <c r="C629" s="1164" t="s">
        <v>851</v>
      </c>
      <c r="D629" s="1165"/>
      <c r="E629" s="1166"/>
      <c r="F629" s="525">
        <v>3</v>
      </c>
      <c r="G629" s="525">
        <v>1.2</v>
      </c>
      <c r="H629" s="525">
        <v>1</v>
      </c>
      <c r="I629" s="525">
        <v>3</v>
      </c>
      <c r="J629" s="525">
        <v>0.96</v>
      </c>
      <c r="K629" s="572">
        <f t="shared" si="3"/>
        <v>9.84</v>
      </c>
      <c r="L629" s="1169"/>
    </row>
    <row r="630" spans="2:12" ht="15" customHeight="1">
      <c r="B630" s="576"/>
      <c r="C630" s="1164" t="s">
        <v>852</v>
      </c>
      <c r="D630" s="1165"/>
      <c r="E630" s="1166"/>
      <c r="F630" s="525">
        <v>2</v>
      </c>
      <c r="G630" s="525">
        <v>1.2</v>
      </c>
      <c r="H630" s="525">
        <v>1</v>
      </c>
      <c r="I630" s="525">
        <v>4.5999999999999996</v>
      </c>
      <c r="J630" s="525">
        <v>0</v>
      </c>
      <c r="K630" s="572">
        <f t="shared" si="3"/>
        <v>11.04</v>
      </c>
      <c r="L630" s="1169"/>
    </row>
    <row r="631" spans="2:12" ht="15" customHeight="1">
      <c r="B631" s="576"/>
      <c r="C631" s="1164" t="s">
        <v>852</v>
      </c>
      <c r="D631" s="1165"/>
      <c r="E631" s="1166"/>
      <c r="F631" s="525">
        <v>10</v>
      </c>
      <c r="G631" s="525">
        <v>1.2</v>
      </c>
      <c r="H631" s="525">
        <v>1</v>
      </c>
      <c r="I631" s="525">
        <v>1.2</v>
      </c>
      <c r="J631" s="525">
        <v>0</v>
      </c>
      <c r="K631" s="572">
        <f t="shared" si="3"/>
        <v>14.399999999999999</v>
      </c>
      <c r="L631" s="1169"/>
    </row>
    <row r="632" spans="2:12" ht="15" customHeight="1">
      <c r="B632" s="576"/>
      <c r="C632" s="1164" t="s">
        <v>526</v>
      </c>
      <c r="D632" s="1165"/>
      <c r="E632" s="1166"/>
      <c r="F632" s="525">
        <v>2</v>
      </c>
      <c r="G632" s="525">
        <v>1.2</v>
      </c>
      <c r="H632" s="525">
        <v>1</v>
      </c>
      <c r="I632" s="525">
        <v>47.3</v>
      </c>
      <c r="J632" s="525">
        <v>2.52</v>
      </c>
      <c r="K632" s="572">
        <f t="shared" si="3"/>
        <v>111</v>
      </c>
      <c r="L632" s="1169"/>
    </row>
    <row r="633" spans="2:12" ht="15" customHeight="1">
      <c r="B633" s="576"/>
      <c r="C633" s="1164" t="s">
        <v>853</v>
      </c>
      <c r="D633" s="1165"/>
      <c r="E633" s="1166"/>
      <c r="F633" s="525">
        <v>2</v>
      </c>
      <c r="G633" s="525">
        <v>2.4</v>
      </c>
      <c r="H633" s="525">
        <v>1</v>
      </c>
      <c r="I633" s="525">
        <v>66.400000000000006</v>
      </c>
      <c r="J633" s="525">
        <v>0</v>
      </c>
      <c r="K633" s="572">
        <f t="shared" si="3"/>
        <v>318.72000000000003</v>
      </c>
      <c r="L633" s="1169"/>
    </row>
    <row r="634" spans="2:12" ht="15" customHeight="1">
      <c r="B634" s="576"/>
      <c r="C634" s="1164"/>
      <c r="D634" s="1165"/>
      <c r="E634" s="1166"/>
      <c r="F634" s="525"/>
      <c r="G634" s="525"/>
      <c r="H634" s="525"/>
      <c r="I634" s="525"/>
      <c r="J634" s="525"/>
      <c r="K634" s="572">
        <f t="shared" si="3"/>
        <v>0</v>
      </c>
      <c r="L634" s="1169"/>
    </row>
    <row r="635" spans="2:12">
      <c r="B635" s="576"/>
      <c r="C635" s="1167" t="s">
        <v>116</v>
      </c>
      <c r="D635" s="1167"/>
      <c r="E635" s="1167"/>
      <c r="F635" s="1167"/>
      <c r="G635" s="1167"/>
      <c r="H635" s="1167"/>
      <c r="I635" s="1167"/>
      <c r="J635" s="1167"/>
      <c r="K635" s="528">
        <f>SUM(K616:K634)</f>
        <v>615.05999999999995</v>
      </c>
      <c r="L635" s="529"/>
    </row>
    <row r="636" spans="2:12">
      <c r="B636" s="576"/>
      <c r="C636" s="1164"/>
      <c r="D636" s="1165"/>
      <c r="E636" s="1166"/>
      <c r="F636" s="525"/>
      <c r="G636" s="525"/>
      <c r="H636" s="525"/>
      <c r="I636" s="525"/>
      <c r="J636" s="525"/>
      <c r="K636" s="530"/>
      <c r="L636" s="529"/>
    </row>
    <row r="637" spans="2:12">
      <c r="B637" s="576"/>
      <c r="C637" s="572"/>
      <c r="D637" s="573"/>
      <c r="E637" s="573"/>
      <c r="F637" s="531"/>
      <c r="G637" s="531"/>
      <c r="H637" s="531"/>
      <c r="I637" s="531"/>
      <c r="J637" s="532"/>
      <c r="K637" s="530"/>
      <c r="L637" s="529"/>
    </row>
    <row r="638" spans="2:12" ht="28.5" customHeight="1">
      <c r="B638" s="576" t="s">
        <v>436</v>
      </c>
      <c r="C638" s="1157" t="s">
        <v>41</v>
      </c>
      <c r="D638" s="1158"/>
      <c r="E638" s="1158"/>
      <c r="F638" s="1158"/>
      <c r="G638" s="1158"/>
      <c r="H638" s="1158"/>
      <c r="I638" s="1158"/>
      <c r="J638" s="1159"/>
      <c r="K638" s="521" t="s">
        <v>7</v>
      </c>
      <c r="L638" s="522">
        <f>K666</f>
        <v>736.57999999999993</v>
      </c>
    </row>
    <row r="639" spans="2:12">
      <c r="B639" s="576"/>
      <c r="C639" s="1160" t="s">
        <v>20</v>
      </c>
      <c r="D639" s="1160"/>
      <c r="E639" s="1160"/>
      <c r="F639" s="523" t="s">
        <v>22</v>
      </c>
      <c r="G639" s="571" t="s">
        <v>111</v>
      </c>
      <c r="H639" s="523" t="s">
        <v>112</v>
      </c>
      <c r="I639" s="571" t="s">
        <v>113</v>
      </c>
      <c r="J639" s="571" t="s">
        <v>114</v>
      </c>
      <c r="K639" s="524" t="s">
        <v>25</v>
      </c>
      <c r="L639" s="1169" t="s">
        <v>30</v>
      </c>
    </row>
    <row r="640" spans="2:12">
      <c r="B640" s="576"/>
      <c r="C640" s="1164" t="s">
        <v>338</v>
      </c>
      <c r="D640" s="1165"/>
      <c r="E640" s="1166"/>
      <c r="F640" s="525">
        <v>3</v>
      </c>
      <c r="G640" s="525">
        <v>1.6</v>
      </c>
      <c r="H640" s="525">
        <v>1</v>
      </c>
      <c r="I640" s="525">
        <v>9.4</v>
      </c>
      <c r="J640" s="525">
        <v>1.28</v>
      </c>
      <c r="K640" s="572">
        <f>(F640*G640*H640*I640)-J640</f>
        <v>43.840000000000011</v>
      </c>
      <c r="L640" s="1169"/>
    </row>
    <row r="641" spans="2:12">
      <c r="B641" s="576"/>
      <c r="C641" s="1164" t="s">
        <v>338</v>
      </c>
      <c r="D641" s="1165"/>
      <c r="E641" s="1166"/>
      <c r="F641" s="525">
        <v>4</v>
      </c>
      <c r="G641" s="525">
        <v>1.6</v>
      </c>
      <c r="H641" s="525">
        <v>1</v>
      </c>
      <c r="I641" s="525">
        <v>4.3</v>
      </c>
      <c r="J641" s="525">
        <v>0</v>
      </c>
      <c r="K641" s="572">
        <f t="shared" ref="K641:K665" si="4">(F641*G641*H641*I641)-J641</f>
        <v>27.52</v>
      </c>
      <c r="L641" s="1169"/>
    </row>
    <row r="642" spans="2:12" ht="15" customHeight="1">
      <c r="B642" s="576"/>
      <c r="C642" s="1164" t="s">
        <v>338</v>
      </c>
      <c r="D642" s="1165"/>
      <c r="E642" s="1166"/>
      <c r="F642" s="525">
        <v>1</v>
      </c>
      <c r="G642" s="525">
        <v>1.6</v>
      </c>
      <c r="H642" s="525">
        <v>1</v>
      </c>
      <c r="I642" s="525">
        <v>4.8</v>
      </c>
      <c r="J642" s="525">
        <v>0</v>
      </c>
      <c r="K642" s="572">
        <f t="shared" si="4"/>
        <v>7.68</v>
      </c>
      <c r="L642" s="1169"/>
    </row>
    <row r="643" spans="2:12" ht="15" customHeight="1">
      <c r="B643" s="576"/>
      <c r="C643" s="1164" t="s">
        <v>243</v>
      </c>
      <c r="D643" s="1165"/>
      <c r="E643" s="1166"/>
      <c r="F643" s="525">
        <v>2</v>
      </c>
      <c r="G643" s="525">
        <v>1.6</v>
      </c>
      <c r="H643" s="525">
        <v>1</v>
      </c>
      <c r="I643" s="525">
        <v>9.4</v>
      </c>
      <c r="J643" s="525">
        <v>2.2799999999999998</v>
      </c>
      <c r="K643" s="572">
        <f t="shared" si="4"/>
        <v>27.8</v>
      </c>
      <c r="L643" s="1169"/>
    </row>
    <row r="644" spans="2:12">
      <c r="B644" s="576"/>
      <c r="C644" s="1164" t="s">
        <v>243</v>
      </c>
      <c r="D644" s="1165"/>
      <c r="E644" s="1166"/>
      <c r="F644" s="525">
        <v>6</v>
      </c>
      <c r="G644" s="525">
        <v>1.6</v>
      </c>
      <c r="H644" s="525">
        <v>1</v>
      </c>
      <c r="I644" s="525">
        <v>2.8</v>
      </c>
      <c r="J644" s="525">
        <v>0.96</v>
      </c>
      <c r="K644" s="572">
        <f t="shared" si="4"/>
        <v>25.92</v>
      </c>
      <c r="L644" s="1169"/>
    </row>
    <row r="645" spans="2:12">
      <c r="B645" s="576"/>
      <c r="C645" s="1164" t="s">
        <v>243</v>
      </c>
      <c r="D645" s="1165"/>
      <c r="E645" s="1166"/>
      <c r="F645" s="525">
        <v>1</v>
      </c>
      <c r="G645" s="525">
        <v>1.6</v>
      </c>
      <c r="H645" s="525">
        <v>1</v>
      </c>
      <c r="I645" s="525">
        <v>4.45</v>
      </c>
      <c r="J645" s="525">
        <v>0</v>
      </c>
      <c r="K645" s="572">
        <f t="shared" si="4"/>
        <v>7.120000000000001</v>
      </c>
      <c r="L645" s="1169"/>
    </row>
    <row r="646" spans="2:12">
      <c r="B646" s="576"/>
      <c r="C646" s="1164" t="s">
        <v>461</v>
      </c>
      <c r="D646" s="1165"/>
      <c r="E646" s="1166"/>
      <c r="F646" s="525">
        <v>4</v>
      </c>
      <c r="G646" s="525">
        <v>1.6</v>
      </c>
      <c r="H646" s="525">
        <v>1</v>
      </c>
      <c r="I646" s="525">
        <v>7</v>
      </c>
      <c r="J646" s="525">
        <v>1.28</v>
      </c>
      <c r="K646" s="572">
        <f t="shared" si="4"/>
        <v>43.52</v>
      </c>
      <c r="L646" s="1169"/>
    </row>
    <row r="647" spans="2:12">
      <c r="B647" s="576"/>
      <c r="C647" s="1164" t="s">
        <v>461</v>
      </c>
      <c r="D647" s="1165"/>
      <c r="E647" s="1166"/>
      <c r="F647" s="525">
        <v>2</v>
      </c>
      <c r="G647" s="525">
        <v>1.6</v>
      </c>
      <c r="H647" s="525">
        <v>1</v>
      </c>
      <c r="I647" s="525">
        <v>5</v>
      </c>
      <c r="J647" s="525">
        <v>0</v>
      </c>
      <c r="K647" s="572">
        <f t="shared" si="4"/>
        <v>16</v>
      </c>
      <c r="L647" s="1169"/>
    </row>
    <row r="648" spans="2:12">
      <c r="B648" s="576"/>
      <c r="C648" s="1164" t="s">
        <v>496</v>
      </c>
      <c r="D648" s="1165"/>
      <c r="E648" s="1166"/>
      <c r="F648" s="525">
        <v>4</v>
      </c>
      <c r="G648" s="525">
        <v>1.6</v>
      </c>
      <c r="H648" s="525">
        <v>1</v>
      </c>
      <c r="I648" s="525">
        <v>7</v>
      </c>
      <c r="J648" s="525">
        <v>1.28</v>
      </c>
      <c r="K648" s="572">
        <f t="shared" si="4"/>
        <v>43.52</v>
      </c>
      <c r="L648" s="1169"/>
    </row>
    <row r="649" spans="2:12">
      <c r="B649" s="576"/>
      <c r="C649" s="1164" t="s">
        <v>496</v>
      </c>
      <c r="D649" s="1165"/>
      <c r="E649" s="1166"/>
      <c r="F649" s="525">
        <v>2</v>
      </c>
      <c r="G649" s="525">
        <v>1.6</v>
      </c>
      <c r="H649" s="525">
        <v>1</v>
      </c>
      <c r="I649" s="525">
        <v>5</v>
      </c>
      <c r="J649" s="525">
        <v>0</v>
      </c>
      <c r="K649" s="572">
        <f t="shared" si="4"/>
        <v>16</v>
      </c>
      <c r="L649" s="1169"/>
    </row>
    <row r="650" spans="2:12">
      <c r="B650" s="576"/>
      <c r="C650" s="1164" t="s">
        <v>498</v>
      </c>
      <c r="D650" s="1165"/>
      <c r="E650" s="1166"/>
      <c r="F650" s="525">
        <v>4</v>
      </c>
      <c r="G650" s="525">
        <v>1.6</v>
      </c>
      <c r="H650" s="525">
        <v>1</v>
      </c>
      <c r="I650" s="525">
        <v>6.7</v>
      </c>
      <c r="J650" s="525">
        <v>1.28</v>
      </c>
      <c r="K650" s="572">
        <f t="shared" si="4"/>
        <v>41.6</v>
      </c>
      <c r="L650" s="1169"/>
    </row>
    <row r="651" spans="2:12">
      <c r="B651" s="576"/>
      <c r="C651" s="1164" t="s">
        <v>498</v>
      </c>
      <c r="D651" s="1165"/>
      <c r="E651" s="1166"/>
      <c r="F651" s="525">
        <v>2</v>
      </c>
      <c r="G651" s="525">
        <v>1.6</v>
      </c>
      <c r="H651" s="525">
        <v>1</v>
      </c>
      <c r="I651" s="525">
        <v>5.0999999999999996</v>
      </c>
      <c r="J651" s="525">
        <v>0</v>
      </c>
      <c r="K651" s="572">
        <f t="shared" si="4"/>
        <v>16.32</v>
      </c>
      <c r="L651" s="1169"/>
    </row>
    <row r="652" spans="2:12">
      <c r="B652" s="576"/>
      <c r="C652" s="1164" t="s">
        <v>498</v>
      </c>
      <c r="D652" s="1165"/>
      <c r="E652" s="1166"/>
      <c r="F652" s="525">
        <v>1</v>
      </c>
      <c r="G652" s="525">
        <v>1.6</v>
      </c>
      <c r="H652" s="525">
        <v>1</v>
      </c>
      <c r="I652" s="525">
        <v>9.6</v>
      </c>
      <c r="J652" s="525">
        <v>0</v>
      </c>
      <c r="K652" s="572">
        <f t="shared" si="4"/>
        <v>15.36</v>
      </c>
      <c r="L652" s="1169"/>
    </row>
    <row r="653" spans="2:12">
      <c r="B653" s="576"/>
      <c r="C653" s="1164" t="s">
        <v>499</v>
      </c>
      <c r="D653" s="1165"/>
      <c r="E653" s="1166"/>
      <c r="F653" s="525">
        <v>4</v>
      </c>
      <c r="G653" s="525">
        <v>1.6</v>
      </c>
      <c r="H653" s="525">
        <v>1</v>
      </c>
      <c r="I653" s="525">
        <v>6.5</v>
      </c>
      <c r="J653" s="525">
        <v>1.28</v>
      </c>
      <c r="K653" s="572">
        <f t="shared" si="4"/>
        <v>40.32</v>
      </c>
      <c r="L653" s="1169"/>
    </row>
    <row r="654" spans="2:12">
      <c r="B654" s="576"/>
      <c r="C654" s="1164" t="s">
        <v>499</v>
      </c>
      <c r="D654" s="1165"/>
      <c r="E654" s="1166"/>
      <c r="F654" s="525">
        <v>3</v>
      </c>
      <c r="G654" s="525">
        <v>1.6</v>
      </c>
      <c r="H654" s="525">
        <v>1</v>
      </c>
      <c r="I654" s="525">
        <v>5</v>
      </c>
      <c r="J654" s="525">
        <v>0</v>
      </c>
      <c r="K654" s="572">
        <f t="shared" si="4"/>
        <v>24.000000000000004</v>
      </c>
      <c r="L654" s="1169"/>
    </row>
    <row r="655" spans="2:12">
      <c r="B655" s="576"/>
      <c r="C655" s="1164" t="s">
        <v>465</v>
      </c>
      <c r="D655" s="1165"/>
      <c r="E655" s="1166"/>
      <c r="F655" s="525">
        <v>3</v>
      </c>
      <c r="G655" s="525">
        <v>1.6</v>
      </c>
      <c r="H655" s="525">
        <v>1</v>
      </c>
      <c r="I655" s="525">
        <v>7</v>
      </c>
      <c r="J655" s="525">
        <v>1.28</v>
      </c>
      <c r="K655" s="572">
        <f t="shared" si="4"/>
        <v>32.320000000000007</v>
      </c>
      <c r="L655" s="1169"/>
    </row>
    <row r="656" spans="2:12">
      <c r="B656" s="576"/>
      <c r="C656" s="1164" t="s">
        <v>465</v>
      </c>
      <c r="D656" s="1165"/>
      <c r="E656" s="1166"/>
      <c r="F656" s="525">
        <v>4</v>
      </c>
      <c r="G656" s="525">
        <v>1.6</v>
      </c>
      <c r="H656" s="525">
        <v>1</v>
      </c>
      <c r="I656" s="525">
        <v>4</v>
      </c>
      <c r="J656" s="525">
        <v>0</v>
      </c>
      <c r="K656" s="572">
        <f t="shared" si="4"/>
        <v>25.6</v>
      </c>
      <c r="L656" s="1169"/>
    </row>
    <row r="657" spans="2:12" ht="15" customHeight="1">
      <c r="B657" s="576"/>
      <c r="C657" s="1164" t="s">
        <v>851</v>
      </c>
      <c r="D657" s="1165"/>
      <c r="E657" s="1166"/>
      <c r="F657" s="525">
        <v>2</v>
      </c>
      <c r="G657" s="525">
        <v>1.6</v>
      </c>
      <c r="H657" s="525">
        <v>1</v>
      </c>
      <c r="I657" s="525">
        <v>5</v>
      </c>
      <c r="J657" s="525">
        <v>1.28</v>
      </c>
      <c r="K657" s="572">
        <f t="shared" si="4"/>
        <v>14.72</v>
      </c>
      <c r="L657" s="1169"/>
    </row>
    <row r="658" spans="2:12" ht="15" customHeight="1">
      <c r="B658" s="576"/>
      <c r="C658" s="1164" t="s">
        <v>851</v>
      </c>
      <c r="D658" s="1165"/>
      <c r="E658" s="1166"/>
      <c r="F658" s="525">
        <v>5</v>
      </c>
      <c r="G658" s="525">
        <v>1.6</v>
      </c>
      <c r="H658" s="525">
        <v>1</v>
      </c>
      <c r="I658" s="525">
        <v>3</v>
      </c>
      <c r="J658" s="525">
        <v>0</v>
      </c>
      <c r="K658" s="572">
        <f t="shared" si="4"/>
        <v>24</v>
      </c>
      <c r="L658" s="1169"/>
    </row>
    <row r="659" spans="2:12" ht="15" customHeight="1">
      <c r="B659" s="576"/>
      <c r="C659" s="1164" t="s">
        <v>852</v>
      </c>
      <c r="D659" s="1165"/>
      <c r="E659" s="1166"/>
      <c r="F659" s="525">
        <v>2</v>
      </c>
      <c r="G659" s="525">
        <v>1.6</v>
      </c>
      <c r="H659" s="525">
        <v>1</v>
      </c>
      <c r="I659" s="525">
        <v>4.5999999999999996</v>
      </c>
      <c r="J659" s="525">
        <v>0</v>
      </c>
      <c r="K659" s="572">
        <f t="shared" si="4"/>
        <v>14.719999999999999</v>
      </c>
      <c r="L659" s="1169"/>
    </row>
    <row r="660" spans="2:12" ht="15" customHeight="1">
      <c r="B660" s="576"/>
      <c r="C660" s="572"/>
      <c r="D660" s="573" t="s">
        <v>526</v>
      </c>
      <c r="E660" s="574"/>
      <c r="F660" s="525">
        <v>2</v>
      </c>
      <c r="G660" s="525">
        <v>1.6</v>
      </c>
      <c r="H660" s="525">
        <v>1</v>
      </c>
      <c r="I660" s="525">
        <v>47.3</v>
      </c>
      <c r="J660" s="525">
        <v>5.04</v>
      </c>
      <c r="K660" s="572">
        <f t="shared" si="4"/>
        <v>146.32</v>
      </c>
      <c r="L660" s="1169"/>
    </row>
    <row r="661" spans="2:12" ht="15" customHeight="1">
      <c r="B661" s="576"/>
      <c r="C661" s="1164" t="s">
        <v>854</v>
      </c>
      <c r="D661" s="1165"/>
      <c r="E661" s="1166"/>
      <c r="F661" s="525">
        <v>6</v>
      </c>
      <c r="G661" s="525">
        <v>2.1</v>
      </c>
      <c r="H661" s="525">
        <v>0.6</v>
      </c>
      <c r="I661" s="525">
        <v>0</v>
      </c>
      <c r="J661" s="525">
        <v>0</v>
      </c>
      <c r="K661" s="572">
        <f>H661*G661*F661</f>
        <v>7.5600000000000005</v>
      </c>
      <c r="L661" s="1169"/>
    </row>
    <row r="662" spans="2:12" ht="15" customHeight="1">
      <c r="B662" s="576"/>
      <c r="C662" s="1164" t="s">
        <v>855</v>
      </c>
      <c r="D662" s="1165"/>
      <c r="E662" s="1166"/>
      <c r="F662" s="525">
        <v>7</v>
      </c>
      <c r="G662" s="525">
        <v>2.1</v>
      </c>
      <c r="H662" s="525">
        <v>0.8</v>
      </c>
      <c r="I662" s="525">
        <v>0</v>
      </c>
      <c r="J662" s="525">
        <v>0</v>
      </c>
      <c r="K662" s="572">
        <f>H662*G662*F662</f>
        <v>11.760000000000002</v>
      </c>
      <c r="L662" s="1169"/>
    </row>
    <row r="663" spans="2:12" ht="15" customHeight="1">
      <c r="B663" s="576"/>
      <c r="C663" s="1164" t="s">
        <v>856</v>
      </c>
      <c r="D663" s="1165"/>
      <c r="E663" s="1166"/>
      <c r="F663" s="525">
        <v>2</v>
      </c>
      <c r="G663" s="525">
        <v>2.1</v>
      </c>
      <c r="H663" s="525">
        <v>0.9</v>
      </c>
      <c r="I663" s="525">
        <v>0</v>
      </c>
      <c r="J663" s="525">
        <v>0</v>
      </c>
      <c r="K663" s="572">
        <f>H663*G663*F663</f>
        <v>3.7800000000000002</v>
      </c>
      <c r="L663" s="1169"/>
    </row>
    <row r="664" spans="2:12" ht="15" customHeight="1">
      <c r="B664" s="576"/>
      <c r="C664" s="1164" t="s">
        <v>857</v>
      </c>
      <c r="D664" s="1165"/>
      <c r="E664" s="1166"/>
      <c r="F664" s="525">
        <v>1</v>
      </c>
      <c r="G664" s="525">
        <v>2.1</v>
      </c>
      <c r="H664" s="525">
        <v>1.2</v>
      </c>
      <c r="I664" s="525">
        <v>0</v>
      </c>
      <c r="J664" s="525">
        <v>0</v>
      </c>
      <c r="K664" s="572">
        <f>H664*G664*F664</f>
        <v>2.52</v>
      </c>
      <c r="L664" s="1169"/>
    </row>
    <row r="665" spans="2:12" ht="15" customHeight="1">
      <c r="B665" s="576"/>
      <c r="C665" s="1164" t="s">
        <v>858</v>
      </c>
      <c r="D665" s="1165"/>
      <c r="E665" s="1166"/>
      <c r="F665" s="525">
        <v>1</v>
      </c>
      <c r="G665" s="525">
        <v>1.2</v>
      </c>
      <c r="H665" s="525">
        <v>1</v>
      </c>
      <c r="I665" s="525">
        <v>47.3</v>
      </c>
      <c r="J665" s="525">
        <v>0</v>
      </c>
      <c r="K665" s="572">
        <f t="shared" si="4"/>
        <v>56.76</v>
      </c>
      <c r="L665" s="1169"/>
    </row>
    <row r="666" spans="2:12" ht="15" customHeight="1">
      <c r="B666" s="576"/>
      <c r="C666" s="1167" t="s">
        <v>116</v>
      </c>
      <c r="D666" s="1167"/>
      <c r="E666" s="1167"/>
      <c r="F666" s="1167"/>
      <c r="G666" s="1167"/>
      <c r="H666" s="1167"/>
      <c r="I666" s="1167"/>
      <c r="J666" s="1167"/>
      <c r="K666" s="524">
        <f>SUM(K640:K665)</f>
        <v>736.57999999999993</v>
      </c>
      <c r="L666" s="1169"/>
    </row>
    <row r="667" spans="2:12" ht="15" customHeight="1">
      <c r="B667" s="576"/>
      <c r="C667" s="533"/>
      <c r="D667" s="533"/>
      <c r="E667" s="533"/>
      <c r="F667" s="533"/>
      <c r="G667" s="533"/>
      <c r="H667" s="533"/>
      <c r="I667" s="533"/>
      <c r="J667" s="533"/>
      <c r="K667" s="534"/>
      <c r="L667" s="529"/>
    </row>
    <row r="668" spans="2:12" ht="15" customHeight="1">
      <c r="B668" s="576"/>
      <c r="C668" s="533"/>
      <c r="D668" s="533"/>
      <c r="E668" s="533"/>
      <c r="F668" s="533"/>
      <c r="G668" s="533"/>
      <c r="H668" s="533"/>
      <c r="I668" s="533"/>
      <c r="J668" s="533"/>
      <c r="K668" s="534"/>
      <c r="L668" s="529"/>
    </row>
    <row r="669" spans="2:12" ht="15" customHeight="1">
      <c r="B669" s="576" t="s">
        <v>437</v>
      </c>
      <c r="C669" s="1157" t="s">
        <v>1517</v>
      </c>
      <c r="D669" s="1158"/>
      <c r="E669" s="1158"/>
      <c r="F669" s="1158"/>
      <c r="G669" s="1158"/>
      <c r="H669" s="1158"/>
      <c r="I669" s="1158"/>
      <c r="J669" s="1159"/>
      <c r="K669" s="521" t="s">
        <v>7</v>
      </c>
      <c r="L669" s="522">
        <f>K672</f>
        <v>28.349999999999998</v>
      </c>
    </row>
    <row r="670" spans="2:12" ht="15" customHeight="1">
      <c r="B670" s="576"/>
      <c r="C670" s="1173" t="s">
        <v>20</v>
      </c>
      <c r="D670" s="1174"/>
      <c r="E670" s="1175"/>
      <c r="F670" s="523" t="s">
        <v>22</v>
      </c>
      <c r="G670" s="571" t="s">
        <v>111</v>
      </c>
      <c r="H670" s="523" t="s">
        <v>112</v>
      </c>
      <c r="I670" s="571" t="s">
        <v>113</v>
      </c>
      <c r="J670" s="571" t="s">
        <v>114</v>
      </c>
      <c r="K670" s="524" t="s">
        <v>25</v>
      </c>
      <c r="L670" s="1169" t="s">
        <v>30</v>
      </c>
    </row>
    <row r="671" spans="2:12" ht="15" customHeight="1">
      <c r="B671" s="576"/>
      <c r="C671" s="1164" t="s">
        <v>240</v>
      </c>
      <c r="D671" s="1165"/>
      <c r="E671" s="1166"/>
      <c r="F671" s="525">
        <v>1</v>
      </c>
      <c r="G671" s="525">
        <v>1</v>
      </c>
      <c r="H671" s="525">
        <v>3</v>
      </c>
      <c r="I671" s="525">
        <v>9.4499999999999993</v>
      </c>
      <c r="J671" s="525">
        <v>0</v>
      </c>
      <c r="K671" s="572">
        <f>I671*H671</f>
        <v>28.349999999999998</v>
      </c>
      <c r="L671" s="1169"/>
    </row>
    <row r="672" spans="2:12" ht="15" customHeight="1">
      <c r="B672" s="576"/>
      <c r="C672" s="1170" t="s">
        <v>116</v>
      </c>
      <c r="D672" s="1171"/>
      <c r="E672" s="1171"/>
      <c r="F672" s="1171"/>
      <c r="G672" s="1171"/>
      <c r="H672" s="1171"/>
      <c r="I672" s="1171"/>
      <c r="J672" s="1172"/>
      <c r="K672" s="524">
        <f>SUM(K671:K671)</f>
        <v>28.349999999999998</v>
      </c>
      <c r="L672" s="1169"/>
    </row>
    <row r="673" spans="2:12" ht="15" customHeight="1">
      <c r="B673" s="493"/>
      <c r="C673" s="493"/>
      <c r="D673" s="493"/>
      <c r="E673" s="493"/>
      <c r="F673" s="493"/>
      <c r="G673" s="493"/>
      <c r="H673" s="493"/>
      <c r="I673" s="493"/>
      <c r="J673" s="493"/>
      <c r="K673" s="493"/>
      <c r="L673" s="493"/>
    </row>
    <row r="674" spans="2:12">
      <c r="B674" s="576" t="s">
        <v>438</v>
      </c>
      <c r="C674" s="1157" t="s">
        <v>343</v>
      </c>
      <c r="D674" s="1158"/>
      <c r="E674" s="1158"/>
      <c r="F674" s="1158"/>
      <c r="G674" s="1158"/>
      <c r="H674" s="1158"/>
      <c r="I674" s="1158"/>
      <c r="J674" s="1159"/>
      <c r="K674" s="521" t="s">
        <v>7</v>
      </c>
      <c r="L674" s="522">
        <f>K677</f>
        <v>1658.7339999999999</v>
      </c>
    </row>
    <row r="675" spans="2:12">
      <c r="B675" s="576"/>
      <c r="C675" s="1173" t="s">
        <v>20</v>
      </c>
      <c r="D675" s="1174"/>
      <c r="E675" s="1175"/>
      <c r="F675" s="523" t="s">
        <v>22</v>
      </c>
      <c r="G675" s="571" t="s">
        <v>111</v>
      </c>
      <c r="H675" s="523" t="s">
        <v>112</v>
      </c>
      <c r="I675" s="571" t="s">
        <v>113</v>
      </c>
      <c r="J675" s="571" t="s">
        <v>114</v>
      </c>
      <c r="K675" s="524" t="s">
        <v>25</v>
      </c>
      <c r="L675" s="1169" t="s">
        <v>30</v>
      </c>
    </row>
    <row r="676" spans="2:12">
      <c r="B676" s="576"/>
      <c r="C676" s="1164" t="s">
        <v>510</v>
      </c>
      <c r="D676" s="1165"/>
      <c r="E676" s="1166"/>
      <c r="F676" s="525">
        <f>SUM(L669,L638,L614,L590)</f>
        <v>1658.7339999999999</v>
      </c>
      <c r="G676" s="525">
        <v>1</v>
      </c>
      <c r="H676" s="525">
        <v>1</v>
      </c>
      <c r="I676" s="525">
        <v>1</v>
      </c>
      <c r="J676" s="525">
        <v>0</v>
      </c>
      <c r="K676" s="572">
        <f>(F676*G676*H676*I676)-J676</f>
        <v>1658.7339999999999</v>
      </c>
      <c r="L676" s="1169"/>
    </row>
    <row r="677" spans="2:12">
      <c r="B677" s="576"/>
      <c r="C677" s="1170" t="s">
        <v>116</v>
      </c>
      <c r="D677" s="1171"/>
      <c r="E677" s="1171"/>
      <c r="F677" s="1171"/>
      <c r="G677" s="1171"/>
      <c r="H677" s="1171"/>
      <c r="I677" s="1171"/>
      <c r="J677" s="1172"/>
      <c r="K677" s="524">
        <f>K676</f>
        <v>1658.7339999999999</v>
      </c>
      <c r="L677" s="1169"/>
    </row>
    <row r="678" spans="2:12">
      <c r="B678" s="576"/>
      <c r="C678" s="533"/>
      <c r="D678" s="533"/>
      <c r="E678" s="533"/>
      <c r="F678" s="533"/>
      <c r="G678" s="533"/>
      <c r="H678" s="533"/>
      <c r="I678" s="533"/>
      <c r="J678" s="533"/>
      <c r="K678" s="534"/>
      <c r="L678" s="529"/>
    </row>
    <row r="679" spans="2:12">
      <c r="B679" s="614" t="s">
        <v>13</v>
      </c>
      <c r="C679" s="1168" t="s">
        <v>53</v>
      </c>
      <c r="D679" s="1168"/>
      <c r="E679" s="1168"/>
      <c r="F679" s="1168"/>
      <c r="G679" s="1168"/>
      <c r="H679" s="1168"/>
      <c r="I679" s="1168"/>
      <c r="J679" s="1168"/>
      <c r="K679" s="615"/>
      <c r="L679" s="615"/>
    </row>
    <row r="680" spans="2:12">
      <c r="B680" s="529"/>
      <c r="C680" s="529"/>
      <c r="D680" s="529"/>
      <c r="E680" s="529"/>
      <c r="F680" s="529"/>
      <c r="G680" s="529"/>
      <c r="H680" s="529"/>
      <c r="I680" s="529"/>
      <c r="J680" s="529"/>
      <c r="K680" s="529"/>
      <c r="L680" s="529"/>
    </row>
    <row r="681" spans="2:12" ht="29.25" customHeight="1">
      <c r="B681" s="576" t="s">
        <v>14</v>
      </c>
      <c r="C681" s="1157" t="s">
        <v>86</v>
      </c>
      <c r="D681" s="1158"/>
      <c r="E681" s="1158"/>
      <c r="F681" s="1158"/>
      <c r="G681" s="1158"/>
      <c r="H681" s="1158"/>
      <c r="I681" s="1158"/>
      <c r="J681" s="1159"/>
      <c r="K681" s="521" t="s">
        <v>21</v>
      </c>
      <c r="L681" s="522">
        <f>K684</f>
        <v>5</v>
      </c>
    </row>
    <row r="682" spans="2:12">
      <c r="B682" s="576"/>
      <c r="C682" s="1160" t="s">
        <v>20</v>
      </c>
      <c r="D682" s="1160"/>
      <c r="E682" s="1160"/>
      <c r="F682" s="523" t="s">
        <v>22</v>
      </c>
      <c r="G682" s="571" t="s">
        <v>111</v>
      </c>
      <c r="H682" s="523" t="s">
        <v>112</v>
      </c>
      <c r="I682" s="571" t="s">
        <v>113</v>
      </c>
      <c r="J682" s="571" t="s">
        <v>114</v>
      </c>
      <c r="K682" s="524" t="s">
        <v>25</v>
      </c>
      <c r="L682" s="1169" t="s">
        <v>21</v>
      </c>
    </row>
    <row r="683" spans="2:12" ht="16.5" customHeight="1">
      <c r="B683" s="576"/>
      <c r="C683" s="1164" t="s">
        <v>859</v>
      </c>
      <c r="D683" s="1165"/>
      <c r="E683" s="1166"/>
      <c r="F683" s="525">
        <v>5</v>
      </c>
      <c r="G683" s="525">
        <v>1</v>
      </c>
      <c r="H683" s="525">
        <v>1</v>
      </c>
      <c r="I683" s="525">
        <v>1</v>
      </c>
      <c r="J683" s="525">
        <v>0</v>
      </c>
      <c r="K683" s="535">
        <f>(G683*H683*I683*F683)-J683</f>
        <v>5</v>
      </c>
      <c r="L683" s="1169"/>
    </row>
    <row r="684" spans="2:12" ht="26.25" customHeight="1">
      <c r="B684" s="576"/>
      <c r="C684" s="1167" t="s">
        <v>116</v>
      </c>
      <c r="D684" s="1167"/>
      <c r="E684" s="1167"/>
      <c r="F684" s="1167"/>
      <c r="G684" s="1167"/>
      <c r="H684" s="1167"/>
      <c r="I684" s="1167"/>
      <c r="J684" s="1167"/>
      <c r="K684" s="524">
        <f>K683</f>
        <v>5</v>
      </c>
      <c r="L684" s="1169"/>
    </row>
    <row r="685" spans="2:12" ht="26.25" customHeight="1">
      <c r="B685" s="529"/>
      <c r="C685" s="529"/>
      <c r="D685" s="529"/>
      <c r="E685" s="529"/>
      <c r="F685" s="529"/>
      <c r="G685" s="529"/>
      <c r="H685" s="529"/>
      <c r="I685" s="529"/>
      <c r="J685" s="529"/>
      <c r="K685" s="529"/>
      <c r="L685" s="529"/>
    </row>
    <row r="686" spans="2:12" ht="30.75" customHeight="1">
      <c r="B686" s="576" t="s">
        <v>35</v>
      </c>
      <c r="C686" s="1157" t="s">
        <v>88</v>
      </c>
      <c r="D686" s="1158"/>
      <c r="E686" s="1158"/>
      <c r="F686" s="1158"/>
      <c r="G686" s="1158"/>
      <c r="H686" s="1158"/>
      <c r="I686" s="1158"/>
      <c r="J686" s="1159"/>
      <c r="K686" s="521" t="s">
        <v>21</v>
      </c>
      <c r="L686" s="522">
        <f>K689</f>
        <v>2</v>
      </c>
    </row>
    <row r="687" spans="2:12">
      <c r="B687" s="576"/>
      <c r="C687" s="1160" t="s">
        <v>20</v>
      </c>
      <c r="D687" s="1160"/>
      <c r="E687" s="1160"/>
      <c r="F687" s="523" t="s">
        <v>22</v>
      </c>
      <c r="G687" s="571" t="s">
        <v>111</v>
      </c>
      <c r="H687" s="523" t="s">
        <v>112</v>
      </c>
      <c r="I687" s="571" t="s">
        <v>113</v>
      </c>
      <c r="J687" s="571" t="s">
        <v>114</v>
      </c>
      <c r="K687" s="524" t="s">
        <v>25</v>
      </c>
      <c r="L687" s="1169" t="s">
        <v>21</v>
      </c>
    </row>
    <row r="688" spans="2:12">
      <c r="B688" s="576"/>
      <c r="C688" s="1164" t="s">
        <v>860</v>
      </c>
      <c r="D688" s="1165"/>
      <c r="E688" s="1166"/>
      <c r="F688" s="525">
        <v>2</v>
      </c>
      <c r="G688" s="525">
        <v>1</v>
      </c>
      <c r="H688" s="525">
        <v>1</v>
      </c>
      <c r="I688" s="525">
        <v>1</v>
      </c>
      <c r="J688" s="525">
        <v>0</v>
      </c>
      <c r="K688" s="535">
        <f>(G688*H688*I688*F688)-J688</f>
        <v>2</v>
      </c>
      <c r="L688" s="1169"/>
    </row>
    <row r="689" spans="1:12" ht="26.25" customHeight="1">
      <c r="B689" s="576"/>
      <c r="C689" s="1167" t="s">
        <v>116</v>
      </c>
      <c r="D689" s="1167"/>
      <c r="E689" s="1167"/>
      <c r="F689" s="1167"/>
      <c r="G689" s="1167"/>
      <c r="H689" s="1167"/>
      <c r="I689" s="1167"/>
      <c r="J689" s="1167"/>
      <c r="K689" s="524">
        <f>K688</f>
        <v>2</v>
      </c>
      <c r="L689" s="1169"/>
    </row>
    <row r="690" spans="1:12" ht="30" customHeight="1">
      <c r="B690" s="529"/>
      <c r="C690" s="529"/>
      <c r="D690" s="529"/>
      <c r="E690" s="529"/>
      <c r="F690" s="529"/>
      <c r="G690" s="529"/>
      <c r="H690" s="529"/>
      <c r="I690" s="529"/>
      <c r="J690" s="529"/>
      <c r="K690" s="529"/>
      <c r="L690" s="529"/>
    </row>
    <row r="691" spans="1:12" ht="15" customHeight="1">
      <c r="B691" s="493"/>
      <c r="C691" s="493"/>
      <c r="D691" s="493"/>
      <c r="E691" s="493"/>
      <c r="F691" s="493"/>
      <c r="G691" s="493"/>
      <c r="H691" s="493"/>
      <c r="I691" s="493"/>
      <c r="J691" s="493"/>
      <c r="K691" s="493"/>
      <c r="L691" s="493"/>
    </row>
    <row r="692" spans="1:12" ht="38.25" customHeight="1">
      <c r="B692" s="576" t="s">
        <v>37</v>
      </c>
      <c r="C692" s="1157" t="s">
        <v>434</v>
      </c>
      <c r="D692" s="1158"/>
      <c r="E692" s="1158"/>
      <c r="F692" s="1158"/>
      <c r="G692" s="1158"/>
      <c r="H692" s="1158"/>
      <c r="I692" s="1158"/>
      <c r="J692" s="1159"/>
      <c r="K692" s="521" t="s">
        <v>21</v>
      </c>
      <c r="L692" s="522">
        <f>K695</f>
        <v>2</v>
      </c>
    </row>
    <row r="693" spans="1:12">
      <c r="B693" s="576"/>
      <c r="C693" s="1160" t="s">
        <v>20</v>
      </c>
      <c r="D693" s="1160"/>
      <c r="E693" s="1160"/>
      <c r="F693" s="523" t="s">
        <v>22</v>
      </c>
      <c r="G693" s="571" t="s">
        <v>111</v>
      </c>
      <c r="H693" s="523" t="s">
        <v>112</v>
      </c>
      <c r="I693" s="571" t="s">
        <v>113</v>
      </c>
      <c r="J693" s="571" t="s">
        <v>114</v>
      </c>
      <c r="K693" s="524" t="s">
        <v>25</v>
      </c>
      <c r="L693" s="1169" t="s">
        <v>21</v>
      </c>
    </row>
    <row r="694" spans="1:12">
      <c r="B694" s="576"/>
      <c r="C694" s="1164" t="s">
        <v>861</v>
      </c>
      <c r="D694" s="1165"/>
      <c r="E694" s="1166"/>
      <c r="F694" s="525">
        <v>2</v>
      </c>
      <c r="G694" s="525">
        <v>1</v>
      </c>
      <c r="H694" s="525">
        <v>1</v>
      </c>
      <c r="I694" s="525">
        <v>1</v>
      </c>
      <c r="J694" s="525">
        <v>0</v>
      </c>
      <c r="K694" s="535">
        <f>(G694*H694*I694*F694)-J694</f>
        <v>2</v>
      </c>
      <c r="L694" s="1169"/>
    </row>
    <row r="695" spans="1:12">
      <c r="B695" s="576"/>
      <c r="C695" s="1167" t="s">
        <v>116</v>
      </c>
      <c r="D695" s="1167"/>
      <c r="E695" s="1167"/>
      <c r="F695" s="1167"/>
      <c r="G695" s="1167"/>
      <c r="H695" s="1167"/>
      <c r="I695" s="1167"/>
      <c r="J695" s="1167"/>
      <c r="K695" s="524">
        <f>SUM(K694:K694)</f>
        <v>2</v>
      </c>
      <c r="L695" s="1169"/>
    </row>
    <row r="696" spans="1:12" ht="37.5" customHeight="1">
      <c r="B696" s="576"/>
      <c r="C696" s="533"/>
      <c r="D696" s="533"/>
      <c r="E696" s="533"/>
      <c r="F696" s="533"/>
      <c r="G696" s="533"/>
      <c r="H696" s="533"/>
      <c r="I696" s="533"/>
      <c r="J696" s="533"/>
      <c r="K696" s="534"/>
      <c r="L696" s="529"/>
    </row>
    <row r="697" spans="1:12">
      <c r="B697" s="614" t="s">
        <v>197</v>
      </c>
      <c r="C697" s="1168" t="s">
        <v>57</v>
      </c>
      <c r="D697" s="1168"/>
      <c r="E697" s="1168"/>
      <c r="F697" s="1168"/>
      <c r="G697" s="1168"/>
      <c r="H697" s="1168"/>
      <c r="I697" s="1168"/>
      <c r="J697" s="1168"/>
      <c r="K697" s="615"/>
      <c r="L697" s="615"/>
    </row>
    <row r="698" spans="1:12">
      <c r="A698" s="82"/>
      <c r="B698" s="1179"/>
      <c r="C698" s="1179"/>
      <c r="D698" s="1179"/>
      <c r="E698" s="1179"/>
      <c r="F698" s="1179"/>
      <c r="G698" s="1179"/>
      <c r="H698" s="1179"/>
      <c r="I698" s="1179"/>
      <c r="J698" s="1179"/>
      <c r="K698" s="1179"/>
      <c r="L698" s="1179"/>
    </row>
    <row r="699" spans="1:12" ht="21.75" customHeight="1">
      <c r="B699" s="576" t="s">
        <v>45</v>
      </c>
      <c r="C699" s="1157" t="s">
        <v>60</v>
      </c>
      <c r="D699" s="1158"/>
      <c r="E699" s="1158"/>
      <c r="F699" s="1158"/>
      <c r="G699" s="1158"/>
      <c r="H699" s="1158"/>
      <c r="I699" s="1158"/>
      <c r="J699" s="1159"/>
      <c r="K699" s="521" t="s">
        <v>7</v>
      </c>
      <c r="L699" s="522">
        <f>K702</f>
        <v>274.7</v>
      </c>
    </row>
    <row r="700" spans="1:12">
      <c r="B700" s="576"/>
      <c r="C700" s="1160" t="s">
        <v>20</v>
      </c>
      <c r="D700" s="1160"/>
      <c r="E700" s="1160"/>
      <c r="F700" s="523" t="s">
        <v>22</v>
      </c>
      <c r="G700" s="571" t="s">
        <v>111</v>
      </c>
      <c r="H700" s="523" t="s">
        <v>112</v>
      </c>
      <c r="I700" s="571" t="s">
        <v>113</v>
      </c>
      <c r="J700" s="571" t="s">
        <v>114</v>
      </c>
      <c r="K700" s="524" t="s">
        <v>25</v>
      </c>
      <c r="L700" s="1169" t="s">
        <v>30</v>
      </c>
    </row>
    <row r="701" spans="1:12">
      <c r="B701" s="576"/>
      <c r="C701" s="1164" t="s">
        <v>494</v>
      </c>
      <c r="D701" s="1165"/>
      <c r="E701" s="1166"/>
      <c r="F701" s="525">
        <v>1</v>
      </c>
      <c r="G701" s="525">
        <v>1</v>
      </c>
      <c r="H701" s="525">
        <v>5</v>
      </c>
      <c r="I701" s="525">
        <v>54.94</v>
      </c>
      <c r="J701" s="525">
        <v>0</v>
      </c>
      <c r="K701" s="535">
        <f>(G701*H701*I701*F701)-J701</f>
        <v>274.7</v>
      </c>
      <c r="L701" s="1169"/>
    </row>
    <row r="702" spans="1:12" ht="39.75" customHeight="1">
      <c r="B702" s="576"/>
      <c r="C702" s="1167" t="s">
        <v>116</v>
      </c>
      <c r="D702" s="1167"/>
      <c r="E702" s="1167"/>
      <c r="F702" s="1167"/>
      <c r="G702" s="1167"/>
      <c r="H702" s="1167"/>
      <c r="I702" s="1167"/>
      <c r="J702" s="1167"/>
      <c r="K702" s="524">
        <f>K701</f>
        <v>274.7</v>
      </c>
      <c r="L702" s="1169"/>
    </row>
    <row r="703" spans="1:12" ht="23.25" customHeight="1">
      <c r="B703" s="576"/>
      <c r="C703" s="576"/>
      <c r="D703" s="576"/>
      <c r="E703" s="576"/>
      <c r="F703" s="576"/>
      <c r="G703" s="576"/>
      <c r="H703" s="576"/>
      <c r="I703" s="576"/>
      <c r="J703" s="576"/>
      <c r="K703" s="576"/>
      <c r="L703" s="576"/>
    </row>
    <row r="704" spans="1:12" ht="21.75" customHeight="1">
      <c r="B704" s="576" t="s">
        <v>198</v>
      </c>
      <c r="C704" s="1157" t="s">
        <v>843</v>
      </c>
      <c r="D704" s="1158"/>
      <c r="E704" s="1158"/>
      <c r="F704" s="1158"/>
      <c r="G704" s="1158"/>
      <c r="H704" s="1158"/>
      <c r="I704" s="1158"/>
      <c r="J704" s="1159"/>
      <c r="K704" s="521" t="s">
        <v>7</v>
      </c>
      <c r="L704" s="522">
        <f>K707</f>
        <v>15</v>
      </c>
    </row>
    <row r="705" spans="2:12" ht="23.25" customHeight="1">
      <c r="B705" s="576"/>
      <c r="C705" s="1160" t="s">
        <v>20</v>
      </c>
      <c r="D705" s="1160"/>
      <c r="E705" s="1160"/>
      <c r="F705" s="523" t="s">
        <v>22</v>
      </c>
      <c r="G705" s="571" t="s">
        <v>111</v>
      </c>
      <c r="H705" s="523" t="s">
        <v>112</v>
      </c>
      <c r="I705" s="571" t="s">
        <v>113</v>
      </c>
      <c r="J705" s="571" t="s">
        <v>114</v>
      </c>
      <c r="K705" s="524" t="s">
        <v>25</v>
      </c>
      <c r="L705" s="1169" t="s">
        <v>30</v>
      </c>
    </row>
    <row r="706" spans="2:12">
      <c r="B706" s="576"/>
      <c r="C706" s="1164" t="s">
        <v>243</v>
      </c>
      <c r="D706" s="1165"/>
      <c r="E706" s="1166"/>
      <c r="F706" s="525">
        <v>1</v>
      </c>
      <c r="G706" s="525">
        <v>1</v>
      </c>
      <c r="H706" s="525">
        <v>3</v>
      </c>
      <c r="I706" s="525">
        <v>5</v>
      </c>
      <c r="J706" s="525">
        <v>0</v>
      </c>
      <c r="K706" s="535">
        <f>(G706*H706*I706*F706)-J706</f>
        <v>15</v>
      </c>
      <c r="L706" s="1169"/>
    </row>
    <row r="707" spans="2:12">
      <c r="B707" s="576"/>
      <c r="C707" s="1167" t="s">
        <v>116</v>
      </c>
      <c r="D707" s="1167"/>
      <c r="E707" s="1167"/>
      <c r="F707" s="1167"/>
      <c r="G707" s="1167"/>
      <c r="H707" s="1167"/>
      <c r="I707" s="1167"/>
      <c r="J707" s="1167"/>
      <c r="K707" s="524">
        <f>K706</f>
        <v>15</v>
      </c>
      <c r="L707" s="1169"/>
    </row>
    <row r="708" spans="2:12" ht="28.5" customHeight="1">
      <c r="B708" s="493"/>
      <c r="C708" s="493"/>
      <c r="D708" s="493"/>
      <c r="E708" s="493"/>
      <c r="F708" s="493"/>
      <c r="G708" s="493"/>
      <c r="H708" s="493"/>
      <c r="I708" s="493"/>
      <c r="J708" s="493"/>
      <c r="K708" s="493"/>
      <c r="L708" s="493"/>
    </row>
    <row r="709" spans="2:12" ht="28.5" customHeight="1">
      <c r="B709" s="576"/>
      <c r="C709" s="533"/>
      <c r="D709" s="533"/>
      <c r="E709" s="533"/>
      <c r="F709" s="533"/>
      <c r="G709" s="533"/>
      <c r="H709" s="533"/>
      <c r="I709" s="533"/>
      <c r="J709" s="533"/>
      <c r="K709" s="534"/>
      <c r="L709" s="529"/>
    </row>
    <row r="710" spans="2:12">
      <c r="B710" s="576" t="s">
        <v>50</v>
      </c>
      <c r="C710" s="536" t="s">
        <v>845</v>
      </c>
      <c r="D710" s="537"/>
      <c r="E710" s="537"/>
      <c r="F710" s="537"/>
      <c r="G710" s="537"/>
      <c r="H710" s="537"/>
      <c r="I710" s="537"/>
      <c r="J710" s="537"/>
      <c r="K710" s="521" t="s">
        <v>7</v>
      </c>
      <c r="L710" s="522">
        <f>K713</f>
        <v>15</v>
      </c>
    </row>
    <row r="711" spans="2:12">
      <c r="B711" s="576"/>
      <c r="C711" s="1160" t="s">
        <v>20</v>
      </c>
      <c r="D711" s="1160"/>
      <c r="E711" s="1160"/>
      <c r="F711" s="523" t="s">
        <v>22</v>
      </c>
      <c r="G711" s="571" t="s">
        <v>111</v>
      </c>
      <c r="H711" s="523" t="s">
        <v>112</v>
      </c>
      <c r="I711" s="571" t="s">
        <v>113</v>
      </c>
      <c r="J711" s="571" t="s">
        <v>114</v>
      </c>
      <c r="K711" s="524" t="s">
        <v>25</v>
      </c>
      <c r="L711" s="1169" t="s">
        <v>21</v>
      </c>
    </row>
    <row r="712" spans="2:12">
      <c r="B712" s="576"/>
      <c r="C712" s="1164" t="s">
        <v>511</v>
      </c>
      <c r="D712" s="1165"/>
      <c r="E712" s="1166"/>
      <c r="F712" s="525">
        <v>15</v>
      </c>
      <c r="G712" s="525">
        <v>1</v>
      </c>
      <c r="H712" s="525">
        <v>1</v>
      </c>
      <c r="I712" s="525">
        <v>1</v>
      </c>
      <c r="J712" s="525">
        <v>0</v>
      </c>
      <c r="K712" s="535">
        <f>(G712*H712*I712*F712)-J712</f>
        <v>15</v>
      </c>
      <c r="L712" s="1169"/>
    </row>
    <row r="713" spans="2:12" ht="15" customHeight="1">
      <c r="B713" s="576"/>
      <c r="C713" s="1167" t="s">
        <v>116</v>
      </c>
      <c r="D713" s="1167"/>
      <c r="E713" s="1167"/>
      <c r="F713" s="1167"/>
      <c r="G713" s="1167"/>
      <c r="H713" s="1167"/>
      <c r="I713" s="1167"/>
      <c r="J713" s="1167"/>
      <c r="K713" s="524">
        <f>K712</f>
        <v>15</v>
      </c>
      <c r="L713" s="1169"/>
    </row>
    <row r="714" spans="2:12" ht="15" customHeight="1">
      <c r="B714" s="576"/>
      <c r="C714" s="533"/>
      <c r="D714" s="533"/>
      <c r="E714" s="533"/>
      <c r="F714" s="533"/>
      <c r="G714" s="533"/>
      <c r="H714" s="533"/>
      <c r="I714" s="533"/>
      <c r="J714" s="533"/>
      <c r="K714" s="534"/>
      <c r="L714" s="529"/>
    </row>
    <row r="715" spans="2:12" ht="15" customHeight="1">
      <c r="B715" s="614" t="s">
        <v>199</v>
      </c>
      <c r="C715" s="1168" t="s">
        <v>63</v>
      </c>
      <c r="D715" s="1168"/>
      <c r="E715" s="1168"/>
      <c r="F715" s="1168"/>
      <c r="G715" s="1168"/>
      <c r="H715" s="1168"/>
      <c r="I715" s="1168"/>
      <c r="J715" s="1168"/>
      <c r="K715" s="615"/>
      <c r="L715" s="615"/>
    </row>
    <row r="716" spans="2:12" ht="15" customHeight="1">
      <c r="B716" s="493"/>
      <c r="C716" s="493"/>
      <c r="D716" s="493"/>
      <c r="E716" s="493"/>
      <c r="F716" s="493"/>
      <c r="G716" s="493"/>
      <c r="H716" s="493"/>
      <c r="I716" s="493"/>
      <c r="J716" s="493"/>
      <c r="K716" s="493"/>
      <c r="L716" s="493"/>
    </row>
    <row r="717" spans="2:12" ht="24" customHeight="1">
      <c r="B717" s="576" t="s">
        <v>54</v>
      </c>
      <c r="C717" s="1157" t="s">
        <v>486</v>
      </c>
      <c r="D717" s="1158"/>
      <c r="E717" s="1158"/>
      <c r="F717" s="1158"/>
      <c r="G717" s="1158"/>
      <c r="H717" s="1158"/>
      <c r="I717" s="1158"/>
      <c r="J717" s="1159"/>
      <c r="K717" s="521" t="s">
        <v>77</v>
      </c>
      <c r="L717" s="522">
        <f>K720</f>
        <v>4</v>
      </c>
    </row>
    <row r="718" spans="2:12" ht="15" customHeight="1">
      <c r="B718" s="576"/>
      <c r="C718" s="1173" t="s">
        <v>20</v>
      </c>
      <c r="D718" s="1174"/>
      <c r="E718" s="1175"/>
      <c r="F718" s="523" t="s">
        <v>22</v>
      </c>
      <c r="G718" s="571" t="s">
        <v>111</v>
      </c>
      <c r="H718" s="523" t="s">
        <v>112</v>
      </c>
      <c r="I718" s="571" t="s">
        <v>113</v>
      </c>
      <c r="J718" s="571" t="s">
        <v>114</v>
      </c>
      <c r="K718" s="524" t="s">
        <v>25</v>
      </c>
      <c r="L718" s="1169" t="s">
        <v>77</v>
      </c>
    </row>
    <row r="719" spans="2:12" ht="21.75" customHeight="1">
      <c r="B719" s="576"/>
      <c r="C719" s="1164" t="s">
        <v>862</v>
      </c>
      <c r="D719" s="1165"/>
      <c r="E719" s="1166"/>
      <c r="F719" s="525">
        <v>1</v>
      </c>
      <c r="G719" s="525">
        <v>0</v>
      </c>
      <c r="H719" s="525">
        <v>1</v>
      </c>
      <c r="I719" s="525">
        <v>4</v>
      </c>
      <c r="J719" s="525">
        <v>0</v>
      </c>
      <c r="K719" s="535">
        <f>I719*F719</f>
        <v>4</v>
      </c>
      <c r="L719" s="1169"/>
    </row>
    <row r="720" spans="2:12" ht="11.25" customHeight="1">
      <c r="B720" s="576"/>
      <c r="C720" s="1170" t="s">
        <v>116</v>
      </c>
      <c r="D720" s="1171"/>
      <c r="E720" s="1171"/>
      <c r="F720" s="1171"/>
      <c r="G720" s="1171"/>
      <c r="H720" s="1171"/>
      <c r="I720" s="1171"/>
      <c r="J720" s="1172"/>
      <c r="K720" s="524">
        <f>K719</f>
        <v>4</v>
      </c>
      <c r="L720" s="1169"/>
    </row>
    <row r="721" spans="2:12" ht="41.25" customHeight="1">
      <c r="B721" s="493"/>
      <c r="C721" s="493"/>
      <c r="D721" s="493"/>
      <c r="E721" s="493"/>
      <c r="F721" s="493"/>
      <c r="G721" s="493"/>
      <c r="H721" s="493"/>
      <c r="I721" s="493"/>
      <c r="J721" s="493"/>
      <c r="K721" s="493"/>
      <c r="L721" s="493"/>
    </row>
    <row r="722" spans="2:12">
      <c r="B722" s="576" t="s">
        <v>55</v>
      </c>
      <c r="C722" s="1176" t="s">
        <v>441</v>
      </c>
      <c r="D722" s="1177"/>
      <c r="E722" s="1177"/>
      <c r="F722" s="1177"/>
      <c r="G722" s="1177"/>
      <c r="H722" s="1177"/>
      <c r="I722" s="1177"/>
      <c r="J722" s="1178"/>
      <c r="K722" s="521" t="s">
        <v>21</v>
      </c>
      <c r="L722" s="521">
        <f>K725</f>
        <v>5</v>
      </c>
    </row>
    <row r="723" spans="2:12" ht="26.25" customHeight="1">
      <c r="B723" s="576"/>
      <c r="C723" s="1173" t="s">
        <v>20</v>
      </c>
      <c r="D723" s="1174"/>
      <c r="E723" s="1175"/>
      <c r="F723" s="523" t="s">
        <v>22</v>
      </c>
      <c r="G723" s="571" t="s">
        <v>111</v>
      </c>
      <c r="H723" s="523" t="s">
        <v>112</v>
      </c>
      <c r="I723" s="571" t="s">
        <v>113</v>
      </c>
      <c r="J723" s="571" t="s">
        <v>114</v>
      </c>
      <c r="K723" s="528" t="s">
        <v>25</v>
      </c>
      <c r="L723" s="529"/>
    </row>
    <row r="724" spans="2:12" ht="30" customHeight="1">
      <c r="B724" s="576"/>
      <c r="C724" s="1164" t="s">
        <v>512</v>
      </c>
      <c r="D724" s="1165"/>
      <c r="E724" s="1166"/>
      <c r="F724" s="525">
        <v>5</v>
      </c>
      <c r="G724" s="525">
        <v>1</v>
      </c>
      <c r="H724" s="525">
        <v>1</v>
      </c>
      <c r="I724" s="525">
        <v>1</v>
      </c>
      <c r="J724" s="525">
        <v>0</v>
      </c>
      <c r="K724" s="521">
        <f>(G724*H724*I724*F724)-J724</f>
        <v>5</v>
      </c>
      <c r="L724" s="529"/>
    </row>
    <row r="725" spans="2:12" ht="25.5" customHeight="1">
      <c r="B725" s="576"/>
      <c r="C725" s="1170" t="s">
        <v>116</v>
      </c>
      <c r="D725" s="1171"/>
      <c r="E725" s="1171"/>
      <c r="F725" s="1171"/>
      <c r="G725" s="1171"/>
      <c r="H725" s="1171"/>
      <c r="I725" s="1171"/>
      <c r="J725" s="1172"/>
      <c r="K725" s="528">
        <f>K724</f>
        <v>5</v>
      </c>
      <c r="L725" s="529"/>
    </row>
    <row r="726" spans="2:12">
      <c r="B726" s="493"/>
      <c r="C726" s="493"/>
      <c r="D726" s="493"/>
      <c r="E726" s="493"/>
      <c r="F726" s="493"/>
      <c r="G726" s="493"/>
      <c r="H726" s="493"/>
      <c r="I726" s="493"/>
      <c r="J726" s="493"/>
      <c r="K726" s="493"/>
      <c r="L726" s="493"/>
    </row>
    <row r="727" spans="2:12" ht="26.25" customHeight="1">
      <c r="B727" s="576" t="s">
        <v>85</v>
      </c>
      <c r="C727" s="1157" t="s">
        <v>431</v>
      </c>
      <c r="D727" s="1158"/>
      <c r="E727" s="1158"/>
      <c r="F727" s="1158"/>
      <c r="G727" s="1158"/>
      <c r="H727" s="1158"/>
      <c r="I727" s="1158"/>
      <c r="J727" s="1159"/>
      <c r="K727" s="521" t="s">
        <v>21</v>
      </c>
      <c r="L727" s="522">
        <f>K730</f>
        <v>5</v>
      </c>
    </row>
    <row r="728" spans="2:12">
      <c r="B728" s="576"/>
      <c r="C728" s="1160" t="s">
        <v>20</v>
      </c>
      <c r="D728" s="1160"/>
      <c r="E728" s="1160"/>
      <c r="F728" s="523" t="s">
        <v>22</v>
      </c>
      <c r="G728" s="571" t="s">
        <v>111</v>
      </c>
      <c r="H728" s="523" t="s">
        <v>112</v>
      </c>
      <c r="I728" s="571" t="s">
        <v>113</v>
      </c>
      <c r="J728" s="571" t="s">
        <v>114</v>
      </c>
      <c r="K728" s="524" t="s">
        <v>25</v>
      </c>
      <c r="L728" s="1169" t="s">
        <v>21</v>
      </c>
    </row>
    <row r="729" spans="2:12">
      <c r="B729" s="576"/>
      <c r="C729" s="1164" t="s">
        <v>513</v>
      </c>
      <c r="D729" s="1165"/>
      <c r="E729" s="1166"/>
      <c r="F729" s="525">
        <v>5</v>
      </c>
      <c r="G729" s="525">
        <v>1</v>
      </c>
      <c r="H729" s="525">
        <v>1</v>
      </c>
      <c r="I729" s="525">
        <v>1</v>
      </c>
      <c r="J729" s="525">
        <v>0</v>
      </c>
      <c r="K729" s="535">
        <f>(G729*H729*I729*F729)-J729</f>
        <v>5</v>
      </c>
      <c r="L729" s="1169"/>
    </row>
    <row r="730" spans="2:12" ht="14.25" customHeight="1">
      <c r="B730" s="576"/>
      <c r="C730" s="1167" t="s">
        <v>116</v>
      </c>
      <c r="D730" s="1167"/>
      <c r="E730" s="1167"/>
      <c r="F730" s="1167"/>
      <c r="G730" s="1167"/>
      <c r="H730" s="1167"/>
      <c r="I730" s="1167"/>
      <c r="J730" s="1167"/>
      <c r="K730" s="524">
        <f>K729</f>
        <v>5</v>
      </c>
      <c r="L730" s="1169"/>
    </row>
    <row r="731" spans="2:12" ht="33" customHeight="1">
      <c r="B731" s="576"/>
      <c r="C731" s="533"/>
      <c r="D731" s="533"/>
      <c r="E731" s="533"/>
      <c r="F731" s="533"/>
      <c r="G731" s="533"/>
      <c r="H731" s="533"/>
      <c r="I731" s="533"/>
      <c r="J731" s="533"/>
      <c r="K731" s="534"/>
      <c r="L731" s="529"/>
    </row>
    <row r="732" spans="2:12" ht="24.75" customHeight="1">
      <c r="B732" s="576" t="s">
        <v>200</v>
      </c>
      <c r="C732" s="1157" t="s">
        <v>470</v>
      </c>
      <c r="D732" s="1158"/>
      <c r="E732" s="1158"/>
      <c r="F732" s="1158"/>
      <c r="G732" s="1158"/>
      <c r="H732" s="1158"/>
      <c r="I732" s="1158"/>
      <c r="J732" s="1159"/>
      <c r="K732" s="521" t="s">
        <v>21</v>
      </c>
      <c r="L732" s="522">
        <f>K735</f>
        <v>5</v>
      </c>
    </row>
    <row r="733" spans="2:12">
      <c r="B733" s="576"/>
      <c r="C733" s="1160" t="s">
        <v>20</v>
      </c>
      <c r="D733" s="1160"/>
      <c r="E733" s="1160"/>
      <c r="F733" s="523" t="s">
        <v>22</v>
      </c>
      <c r="G733" s="571" t="s">
        <v>111</v>
      </c>
      <c r="H733" s="523" t="s">
        <v>112</v>
      </c>
      <c r="I733" s="571" t="s">
        <v>113</v>
      </c>
      <c r="J733" s="571" t="s">
        <v>114</v>
      </c>
      <c r="K733" s="524" t="s">
        <v>25</v>
      </c>
      <c r="L733" s="1169" t="s">
        <v>21</v>
      </c>
    </row>
    <row r="734" spans="2:12">
      <c r="B734" s="576"/>
      <c r="C734" s="1164" t="s">
        <v>859</v>
      </c>
      <c r="D734" s="1165"/>
      <c r="E734" s="1166"/>
      <c r="F734" s="525">
        <v>5</v>
      </c>
      <c r="G734" s="525">
        <v>1</v>
      </c>
      <c r="H734" s="525">
        <v>1</v>
      </c>
      <c r="I734" s="525">
        <v>1</v>
      </c>
      <c r="J734" s="525">
        <v>0</v>
      </c>
      <c r="K734" s="535">
        <f>(G734*H734*I734*F734)-J734</f>
        <v>5</v>
      </c>
      <c r="L734" s="1169"/>
    </row>
    <row r="735" spans="2:12">
      <c r="B735" s="576"/>
      <c r="C735" s="1167" t="s">
        <v>116</v>
      </c>
      <c r="D735" s="1167"/>
      <c r="E735" s="1167"/>
      <c r="F735" s="1167"/>
      <c r="G735" s="1167"/>
      <c r="H735" s="1167"/>
      <c r="I735" s="1167"/>
      <c r="J735" s="1167"/>
      <c r="K735" s="524">
        <f>K734</f>
        <v>5</v>
      </c>
      <c r="L735" s="1169"/>
    </row>
    <row r="736" spans="2:12">
      <c r="B736" s="799"/>
      <c r="C736" s="533"/>
      <c r="D736" s="533"/>
      <c r="E736" s="533"/>
      <c r="F736" s="533"/>
      <c r="G736" s="533"/>
      <c r="H736" s="533"/>
      <c r="I736" s="533"/>
      <c r="J736" s="533"/>
      <c r="K736" s="534"/>
      <c r="L736" s="800"/>
    </row>
    <row r="737" spans="2:12">
      <c r="B737" s="799" t="s">
        <v>536</v>
      </c>
      <c r="C737" s="1157" t="s">
        <v>1519</v>
      </c>
      <c r="D737" s="1158"/>
      <c r="E737" s="1158"/>
      <c r="F737" s="1158"/>
      <c r="G737" s="1158"/>
      <c r="H737" s="1158"/>
      <c r="I737" s="1158"/>
      <c r="J737" s="1159"/>
      <c r="K737" s="521" t="s">
        <v>21</v>
      </c>
      <c r="L737" s="522">
        <f>K740</f>
        <v>5</v>
      </c>
    </row>
    <row r="738" spans="2:12">
      <c r="B738" s="799"/>
      <c r="C738" s="1160" t="s">
        <v>20</v>
      </c>
      <c r="D738" s="1160"/>
      <c r="E738" s="1160"/>
      <c r="F738" s="523" t="s">
        <v>22</v>
      </c>
      <c r="G738" s="798" t="s">
        <v>111</v>
      </c>
      <c r="H738" s="523" t="s">
        <v>112</v>
      </c>
      <c r="I738" s="798" t="s">
        <v>113</v>
      </c>
      <c r="J738" s="798" t="s">
        <v>114</v>
      </c>
      <c r="K738" s="524" t="s">
        <v>25</v>
      </c>
      <c r="L738" s="1169" t="s">
        <v>21</v>
      </c>
    </row>
    <row r="739" spans="2:12">
      <c r="B739" s="799"/>
      <c r="C739" s="1164" t="s">
        <v>859</v>
      </c>
      <c r="D739" s="1165"/>
      <c r="E739" s="1166"/>
      <c r="F739" s="525">
        <v>5</v>
      </c>
      <c r="G739" s="525">
        <v>1</v>
      </c>
      <c r="H739" s="525">
        <v>1</v>
      </c>
      <c r="I739" s="525">
        <v>1</v>
      </c>
      <c r="J739" s="525">
        <v>0</v>
      </c>
      <c r="K739" s="535">
        <f>(G739*H739*I739*F739)-J739</f>
        <v>5</v>
      </c>
      <c r="L739" s="1169"/>
    </row>
    <row r="740" spans="2:12">
      <c r="B740" s="799"/>
      <c r="C740" s="1167" t="s">
        <v>116</v>
      </c>
      <c r="D740" s="1167"/>
      <c r="E740" s="1167"/>
      <c r="F740" s="1167"/>
      <c r="G740" s="1167"/>
      <c r="H740" s="1167"/>
      <c r="I740" s="1167"/>
      <c r="J740" s="1167"/>
      <c r="K740" s="524">
        <f>K739</f>
        <v>5</v>
      </c>
      <c r="L740" s="1169"/>
    </row>
    <row r="741" spans="2:12">
      <c r="B741" s="799"/>
      <c r="C741" s="533"/>
      <c r="D741" s="533"/>
      <c r="E741" s="533"/>
      <c r="F741" s="533"/>
      <c r="G741" s="533"/>
      <c r="H741" s="533"/>
      <c r="I741" s="533"/>
      <c r="J741" s="533"/>
      <c r="K741" s="534"/>
      <c r="L741" s="800"/>
    </row>
    <row r="742" spans="2:12">
      <c r="B742" s="576" t="s">
        <v>432</v>
      </c>
      <c r="C742" s="1157" t="s">
        <v>923</v>
      </c>
      <c r="D742" s="1158"/>
      <c r="E742" s="1158"/>
      <c r="F742" s="1158"/>
      <c r="G742" s="1158"/>
      <c r="H742" s="1158"/>
      <c r="I742" s="1158"/>
      <c r="J742" s="1159"/>
      <c r="K742" s="521" t="s">
        <v>21</v>
      </c>
      <c r="L742" s="522">
        <f>K745</f>
        <v>1</v>
      </c>
    </row>
    <row r="743" spans="2:12">
      <c r="B743" s="576"/>
      <c r="C743" s="1160" t="s">
        <v>20</v>
      </c>
      <c r="D743" s="1160"/>
      <c r="E743" s="1160"/>
      <c r="F743" s="523" t="s">
        <v>22</v>
      </c>
      <c r="G743" s="571" t="s">
        <v>111</v>
      </c>
      <c r="H743" s="523" t="s">
        <v>112</v>
      </c>
      <c r="I743" s="571" t="s">
        <v>113</v>
      </c>
      <c r="J743" s="571" t="s">
        <v>114</v>
      </c>
      <c r="K743" s="524" t="s">
        <v>25</v>
      </c>
      <c r="L743" s="1169" t="s">
        <v>21</v>
      </c>
    </row>
    <row r="744" spans="2:12">
      <c r="B744" s="576"/>
      <c r="C744" s="1164" t="s">
        <v>859</v>
      </c>
      <c r="D744" s="1165"/>
      <c r="E744" s="1166"/>
      <c r="F744" s="525">
        <v>1</v>
      </c>
      <c r="G744" s="525">
        <v>1</v>
      </c>
      <c r="H744" s="525">
        <v>1</v>
      </c>
      <c r="I744" s="525">
        <v>1</v>
      </c>
      <c r="J744" s="525">
        <v>0</v>
      </c>
      <c r="K744" s="535">
        <f>(G744*H744*I744*F744)-J744</f>
        <v>1</v>
      </c>
      <c r="L744" s="1169"/>
    </row>
    <row r="745" spans="2:12">
      <c r="B745" s="576"/>
      <c r="C745" s="1167" t="s">
        <v>116</v>
      </c>
      <c r="D745" s="1167"/>
      <c r="E745" s="1167"/>
      <c r="F745" s="1167"/>
      <c r="G745" s="1167"/>
      <c r="H745" s="1167"/>
      <c r="I745" s="1167"/>
      <c r="J745" s="1167"/>
      <c r="K745" s="524">
        <f>K744</f>
        <v>1</v>
      </c>
      <c r="L745" s="1169"/>
    </row>
    <row r="746" spans="2:12" ht="23.25" customHeight="1">
      <c r="B746" s="576"/>
      <c r="C746" s="533"/>
      <c r="D746" s="533"/>
      <c r="E746" s="533"/>
      <c r="F746" s="533"/>
      <c r="G746" s="533"/>
      <c r="H746" s="533"/>
      <c r="I746" s="533"/>
      <c r="J746" s="533"/>
      <c r="K746" s="534"/>
      <c r="L746" s="529"/>
    </row>
    <row r="747" spans="2:12">
      <c r="B747" s="576" t="s">
        <v>741</v>
      </c>
      <c r="C747" s="1157" t="s">
        <v>1520</v>
      </c>
      <c r="D747" s="1158"/>
      <c r="E747" s="1158"/>
      <c r="F747" s="1158"/>
      <c r="G747" s="1158"/>
      <c r="H747" s="1158"/>
      <c r="I747" s="1158"/>
      <c r="J747" s="1159"/>
      <c r="K747" s="521" t="s">
        <v>21</v>
      </c>
      <c r="L747" s="522">
        <f>K750</f>
        <v>1</v>
      </c>
    </row>
    <row r="748" spans="2:12">
      <c r="B748" s="576"/>
      <c r="C748" s="1160" t="s">
        <v>20</v>
      </c>
      <c r="D748" s="1160"/>
      <c r="E748" s="1160"/>
      <c r="F748" s="523" t="s">
        <v>22</v>
      </c>
      <c r="G748" s="571" t="s">
        <v>111</v>
      </c>
      <c r="H748" s="523" t="s">
        <v>112</v>
      </c>
      <c r="I748" s="571" t="s">
        <v>113</v>
      </c>
      <c r="J748" s="571" t="s">
        <v>114</v>
      </c>
      <c r="K748" s="524" t="s">
        <v>25</v>
      </c>
      <c r="L748" s="1169" t="s">
        <v>21</v>
      </c>
    </row>
    <row r="749" spans="2:12">
      <c r="B749" s="576"/>
      <c r="C749" s="1164" t="s">
        <v>863</v>
      </c>
      <c r="D749" s="1165"/>
      <c r="E749" s="1166"/>
      <c r="F749" s="525">
        <v>1</v>
      </c>
      <c r="G749" s="525">
        <v>1</v>
      </c>
      <c r="H749" s="525">
        <v>1</v>
      </c>
      <c r="I749" s="525">
        <v>1</v>
      </c>
      <c r="J749" s="525">
        <v>0</v>
      </c>
      <c r="K749" s="535">
        <f>(G749*H749*I749*F749)-J749</f>
        <v>1</v>
      </c>
      <c r="L749" s="1169"/>
    </row>
    <row r="750" spans="2:12">
      <c r="B750" s="576"/>
      <c r="C750" s="1167" t="s">
        <v>116</v>
      </c>
      <c r="D750" s="1167"/>
      <c r="E750" s="1167"/>
      <c r="F750" s="1167"/>
      <c r="G750" s="1167"/>
      <c r="H750" s="1167"/>
      <c r="I750" s="1167"/>
      <c r="J750" s="1167"/>
      <c r="K750" s="524">
        <f>K749</f>
        <v>1</v>
      </c>
      <c r="L750" s="1169"/>
    </row>
    <row r="751" spans="2:12" ht="27" customHeight="1">
      <c r="B751" s="576"/>
      <c r="C751" s="533"/>
      <c r="D751" s="533"/>
      <c r="E751" s="533"/>
      <c r="F751" s="533"/>
      <c r="G751" s="533"/>
      <c r="H751" s="533"/>
      <c r="I751" s="533"/>
      <c r="J751" s="533"/>
      <c r="K751" s="534"/>
      <c r="L751" s="529"/>
    </row>
    <row r="752" spans="2:12">
      <c r="B752" s="576"/>
      <c r="C752" s="533"/>
      <c r="D752" s="533"/>
      <c r="E752" s="533"/>
      <c r="F752" s="533"/>
      <c r="G752" s="533"/>
      <c r="H752" s="533"/>
      <c r="I752" s="533"/>
      <c r="J752" s="533"/>
      <c r="K752" s="534"/>
      <c r="L752" s="529"/>
    </row>
    <row r="753" spans="2:12">
      <c r="B753" s="614" t="s">
        <v>158</v>
      </c>
      <c r="C753" s="1168" t="s">
        <v>442</v>
      </c>
      <c r="D753" s="1168"/>
      <c r="E753" s="1168"/>
      <c r="F753" s="1168"/>
      <c r="G753" s="1168"/>
      <c r="H753" s="1168"/>
      <c r="I753" s="1168"/>
      <c r="J753" s="1168"/>
      <c r="K753" s="615"/>
      <c r="L753" s="615"/>
    </row>
    <row r="754" spans="2:12">
      <c r="B754" s="576"/>
      <c r="C754" s="533"/>
      <c r="D754" s="533"/>
      <c r="E754" s="533"/>
      <c r="F754" s="533"/>
      <c r="G754" s="533"/>
      <c r="H754" s="533"/>
      <c r="I754" s="533"/>
      <c r="J754" s="533"/>
      <c r="K754" s="534"/>
      <c r="L754" s="529"/>
    </row>
    <row r="755" spans="2:12">
      <c r="B755" s="576" t="s">
        <v>59</v>
      </c>
      <c r="C755" s="1157" t="s">
        <v>847</v>
      </c>
      <c r="D755" s="1158"/>
      <c r="E755" s="1158"/>
      <c r="F755" s="1158"/>
      <c r="G755" s="1158"/>
      <c r="H755" s="1158"/>
      <c r="I755" s="1158"/>
      <c r="J755" s="1159"/>
      <c r="K755" s="521" t="s">
        <v>21</v>
      </c>
      <c r="L755" s="522">
        <f>K758</f>
        <v>5</v>
      </c>
    </row>
    <row r="756" spans="2:12">
      <c r="B756" s="576"/>
      <c r="C756" s="1160" t="s">
        <v>20</v>
      </c>
      <c r="D756" s="1160"/>
      <c r="E756" s="1160"/>
      <c r="F756" s="523" t="s">
        <v>22</v>
      </c>
      <c r="G756" s="571" t="s">
        <v>111</v>
      </c>
      <c r="H756" s="523" t="s">
        <v>112</v>
      </c>
      <c r="I756" s="571" t="s">
        <v>113</v>
      </c>
      <c r="J756" s="571" t="s">
        <v>114</v>
      </c>
      <c r="K756" s="524" t="s">
        <v>25</v>
      </c>
      <c r="L756" s="1161" t="s">
        <v>21</v>
      </c>
    </row>
    <row r="757" spans="2:12">
      <c r="B757" s="576"/>
      <c r="C757" s="1164" t="s">
        <v>475</v>
      </c>
      <c r="D757" s="1165"/>
      <c r="E757" s="1166"/>
      <c r="F757" s="525">
        <v>5</v>
      </c>
      <c r="G757" s="525">
        <v>1</v>
      </c>
      <c r="H757" s="525">
        <v>1</v>
      </c>
      <c r="I757" s="525">
        <v>1</v>
      </c>
      <c r="J757" s="525">
        <v>0</v>
      </c>
      <c r="K757" s="535">
        <f>(G757*H757*I757*F757)-J757</f>
        <v>5</v>
      </c>
      <c r="L757" s="1162"/>
    </row>
    <row r="758" spans="2:12">
      <c r="B758" s="576"/>
      <c r="C758" s="1167" t="s">
        <v>116</v>
      </c>
      <c r="D758" s="1167"/>
      <c r="E758" s="1167"/>
      <c r="F758" s="1167"/>
      <c r="G758" s="1167"/>
      <c r="H758" s="1167"/>
      <c r="I758" s="1167"/>
      <c r="J758" s="1167"/>
      <c r="K758" s="524">
        <f>K757</f>
        <v>5</v>
      </c>
      <c r="L758" s="1163"/>
    </row>
    <row r="759" spans="2:12" ht="27" customHeight="1">
      <c r="B759" s="576"/>
      <c r="C759" s="533"/>
      <c r="D759" s="533"/>
      <c r="E759" s="533"/>
      <c r="F759" s="533"/>
      <c r="G759" s="533"/>
      <c r="H759" s="533"/>
      <c r="I759" s="533"/>
      <c r="J759" s="533"/>
      <c r="K759" s="534"/>
      <c r="L759" s="529"/>
    </row>
    <row r="760" spans="2:12">
      <c r="B760" s="614" t="s">
        <v>201</v>
      </c>
      <c r="C760" s="616" t="s">
        <v>73</v>
      </c>
      <c r="D760" s="617"/>
      <c r="E760" s="617"/>
      <c r="F760" s="617"/>
      <c r="G760" s="617"/>
      <c r="H760" s="617"/>
      <c r="I760" s="617"/>
      <c r="J760" s="617"/>
      <c r="K760" s="618"/>
      <c r="L760" s="619"/>
    </row>
    <row r="761" spans="2:12">
      <c r="B761" s="493"/>
      <c r="C761" s="493"/>
      <c r="D761" s="493"/>
      <c r="E761" s="493"/>
      <c r="F761" s="493"/>
      <c r="G761" s="493"/>
      <c r="H761" s="493"/>
      <c r="I761" s="493"/>
      <c r="J761" s="493"/>
      <c r="K761" s="493"/>
      <c r="L761" s="493"/>
    </row>
    <row r="762" spans="2:12" ht="31.5" customHeight="1">
      <c r="B762" s="576" t="s">
        <v>64</v>
      </c>
      <c r="C762" s="1157" t="s">
        <v>864</v>
      </c>
      <c r="D762" s="1158"/>
      <c r="E762" s="1158"/>
      <c r="F762" s="1158"/>
      <c r="G762" s="1158"/>
      <c r="H762" s="1158"/>
      <c r="I762" s="1158"/>
      <c r="J762" s="1159"/>
      <c r="K762" s="521" t="s">
        <v>21</v>
      </c>
      <c r="L762" s="522">
        <f>K765</f>
        <v>1</v>
      </c>
    </row>
    <row r="763" spans="2:12" ht="27" customHeight="1">
      <c r="B763" s="576"/>
      <c r="C763" s="1160" t="s">
        <v>20</v>
      </c>
      <c r="D763" s="1160"/>
      <c r="E763" s="1160"/>
      <c r="F763" s="523" t="s">
        <v>22</v>
      </c>
      <c r="G763" s="571" t="s">
        <v>111</v>
      </c>
      <c r="H763" s="523" t="s">
        <v>112</v>
      </c>
      <c r="I763" s="571" t="s">
        <v>113</v>
      </c>
      <c r="J763" s="571" t="s">
        <v>114</v>
      </c>
      <c r="K763" s="524" t="s">
        <v>25</v>
      </c>
      <c r="L763" s="1161" t="s">
        <v>21</v>
      </c>
    </row>
    <row r="764" spans="2:12">
      <c r="B764" s="576"/>
      <c r="C764" s="1164" t="s">
        <v>865</v>
      </c>
      <c r="D764" s="1165"/>
      <c r="E764" s="1166"/>
      <c r="F764" s="525">
        <v>1</v>
      </c>
      <c r="G764" s="525">
        <v>1</v>
      </c>
      <c r="H764" s="525">
        <v>1</v>
      </c>
      <c r="I764" s="525">
        <v>1</v>
      </c>
      <c r="J764" s="525">
        <v>0</v>
      </c>
      <c r="K764" s="535">
        <f>(G764*H764*I764*F764)-J764</f>
        <v>1</v>
      </c>
      <c r="L764" s="1162"/>
    </row>
    <row r="765" spans="2:12">
      <c r="B765" s="576"/>
      <c r="C765" s="1167" t="s">
        <v>116</v>
      </c>
      <c r="D765" s="1167"/>
      <c r="E765" s="1167"/>
      <c r="F765" s="1167"/>
      <c r="G765" s="1167"/>
      <c r="H765" s="1167"/>
      <c r="I765" s="1167"/>
      <c r="J765" s="1167"/>
      <c r="K765" s="524">
        <f>K764</f>
        <v>1</v>
      </c>
      <c r="L765" s="1163"/>
    </row>
    <row r="766" spans="2:12" s="867" customFormat="1" ht="17.25" customHeight="1">
      <c r="B766" s="493"/>
      <c r="C766" s="493"/>
      <c r="D766" s="493"/>
      <c r="E766" s="493"/>
      <c r="F766" s="493"/>
      <c r="G766" s="493"/>
      <c r="H766" s="493"/>
      <c r="I766" s="493"/>
      <c r="J766" s="493"/>
      <c r="K766" s="493"/>
      <c r="L766" s="493"/>
    </row>
    <row r="767" spans="2:12" ht="20.25" customHeight="1">
      <c r="B767" s="866" t="s">
        <v>101</v>
      </c>
      <c r="C767" s="1157" t="str">
        <f>'ESC. MOCINHA BARBALHO'!C48</f>
        <v>LIMPEZA GERAL</v>
      </c>
      <c r="D767" s="1158"/>
      <c r="E767" s="1158"/>
      <c r="F767" s="1158"/>
      <c r="G767" s="1158"/>
      <c r="H767" s="1158"/>
      <c r="I767" s="1158"/>
      <c r="J767" s="1159"/>
      <c r="K767" s="521" t="s">
        <v>21</v>
      </c>
      <c r="L767" s="522">
        <f>K770</f>
        <v>601</v>
      </c>
    </row>
    <row r="768" spans="2:12" ht="23.25" customHeight="1">
      <c r="B768" s="866"/>
      <c r="C768" s="1160" t="s">
        <v>20</v>
      </c>
      <c r="D768" s="1160"/>
      <c r="E768" s="1160"/>
      <c r="F768" s="523" t="s">
        <v>22</v>
      </c>
      <c r="G768" s="860" t="s">
        <v>111</v>
      </c>
      <c r="H768" s="523" t="s">
        <v>112</v>
      </c>
      <c r="I768" s="860" t="s">
        <v>113</v>
      </c>
      <c r="J768" s="860" t="s">
        <v>114</v>
      </c>
      <c r="K768" s="524" t="s">
        <v>25</v>
      </c>
      <c r="L768" s="1161" t="s">
        <v>21</v>
      </c>
    </row>
    <row r="769" spans="2:12" ht="28.5" customHeight="1">
      <c r="B769" s="866"/>
      <c r="C769" s="1164" t="s">
        <v>865</v>
      </c>
      <c r="D769" s="1165"/>
      <c r="E769" s="1166"/>
      <c r="F769" s="525">
        <v>1</v>
      </c>
      <c r="G769" s="525">
        <v>1</v>
      </c>
      <c r="H769" s="525">
        <v>20</v>
      </c>
      <c r="I769" s="525">
        <v>30.05</v>
      </c>
      <c r="J769" s="525">
        <v>0</v>
      </c>
      <c r="K769" s="535">
        <f>(G769*H769*I769*F769)-J769</f>
        <v>601</v>
      </c>
      <c r="L769" s="1162"/>
    </row>
    <row r="770" spans="2:12">
      <c r="B770" s="866"/>
      <c r="C770" s="1167" t="s">
        <v>116</v>
      </c>
      <c r="D770" s="1167"/>
      <c r="E770" s="1167"/>
      <c r="F770" s="1167"/>
      <c r="G770" s="1167"/>
      <c r="H770" s="1167"/>
      <c r="I770" s="1167"/>
      <c r="J770" s="1167"/>
      <c r="K770" s="524">
        <f>K769</f>
        <v>601</v>
      </c>
      <c r="L770" s="1163"/>
    </row>
    <row r="772" spans="2:12" ht="33.75" customHeight="1"/>
    <row r="779" spans="2:12" ht="38.25" customHeight="1"/>
    <row r="784" spans="2:12" ht="25.5" customHeight="1"/>
    <row r="785" ht="15.75" customHeight="1"/>
    <row r="789" ht="29.25" customHeight="1"/>
    <row r="795" ht="39.75" customHeight="1"/>
    <row r="800" ht="36.75" customHeight="1"/>
    <row r="805" ht="38.25" customHeight="1"/>
    <row r="807" ht="15" customHeight="1"/>
    <row r="808" ht="15" customHeight="1"/>
    <row r="810" ht="15" customHeight="1"/>
    <row r="812" ht="36" customHeight="1"/>
  </sheetData>
  <mergeCells count="658">
    <mergeCell ref="C767:J767"/>
    <mergeCell ref="C768:E768"/>
    <mergeCell ref="L768:L770"/>
    <mergeCell ref="C769:E769"/>
    <mergeCell ref="C770:J770"/>
    <mergeCell ref="B2:C5"/>
    <mergeCell ref="D2:I2"/>
    <mergeCell ref="J2:L5"/>
    <mergeCell ref="D3:I3"/>
    <mergeCell ref="D4:I5"/>
    <mergeCell ref="B7:C7"/>
    <mergeCell ref="C18:J18"/>
    <mergeCell ref="C19:E19"/>
    <mergeCell ref="C20:E20"/>
    <mergeCell ref="C21:J21"/>
    <mergeCell ref="C23:J23"/>
    <mergeCell ref="C24:E24"/>
    <mergeCell ref="C8:D8"/>
    <mergeCell ref="C12:J12"/>
    <mergeCell ref="C13:J13"/>
    <mergeCell ref="C14:E14"/>
    <mergeCell ref="C15:E15"/>
    <mergeCell ref="C16:J16"/>
    <mergeCell ref="C32:E32"/>
    <mergeCell ref="C33:J33"/>
    <mergeCell ref="C35:J35"/>
    <mergeCell ref="C36:J36"/>
    <mergeCell ref="C37:E37"/>
    <mergeCell ref="C38:E38"/>
    <mergeCell ref="C25:E25"/>
    <mergeCell ref="C26:E26"/>
    <mergeCell ref="C27:J27"/>
    <mergeCell ref="C29:J29"/>
    <mergeCell ref="C30:J30"/>
    <mergeCell ref="C31:E31"/>
    <mergeCell ref="C46:E46"/>
    <mergeCell ref="C47:E47"/>
    <mergeCell ref="C48:E48"/>
    <mergeCell ref="C49:J49"/>
    <mergeCell ref="C51:J51"/>
    <mergeCell ref="C52:E52"/>
    <mergeCell ref="C39:J39"/>
    <mergeCell ref="C41:J41"/>
    <mergeCell ref="C42:E42"/>
    <mergeCell ref="C43:E43"/>
    <mergeCell ref="C44:E44"/>
    <mergeCell ref="C45:E45"/>
    <mergeCell ref="C60:E60"/>
    <mergeCell ref="C61:E61"/>
    <mergeCell ref="C62:E62"/>
    <mergeCell ref="C63:E63"/>
    <mergeCell ref="C64:E64"/>
    <mergeCell ref="C65:J65"/>
    <mergeCell ref="C53:E53"/>
    <mergeCell ref="C54:J54"/>
    <mergeCell ref="C56:J56"/>
    <mergeCell ref="C57:J57"/>
    <mergeCell ref="C58:E58"/>
    <mergeCell ref="C59:E59"/>
    <mergeCell ref="C73:E73"/>
    <mergeCell ref="C74:J74"/>
    <mergeCell ref="C76:J76"/>
    <mergeCell ref="C77:E77"/>
    <mergeCell ref="C78:E78"/>
    <mergeCell ref="C79:E79"/>
    <mergeCell ref="C67:J67"/>
    <mergeCell ref="C68:E68"/>
    <mergeCell ref="C69:E69"/>
    <mergeCell ref="C70:E70"/>
    <mergeCell ref="C71:E71"/>
    <mergeCell ref="C72:E72"/>
    <mergeCell ref="C87:E87"/>
    <mergeCell ref="C88:J88"/>
    <mergeCell ref="C90:J90"/>
    <mergeCell ref="C91:E91"/>
    <mergeCell ref="C92:E92"/>
    <mergeCell ref="C93:J93"/>
    <mergeCell ref="C80:E80"/>
    <mergeCell ref="C81:E81"/>
    <mergeCell ref="C82:E82"/>
    <mergeCell ref="C83:J83"/>
    <mergeCell ref="C85:J85"/>
    <mergeCell ref="C86:E86"/>
    <mergeCell ref="C102:E102"/>
    <mergeCell ref="C103:E103"/>
    <mergeCell ref="C104:J104"/>
    <mergeCell ref="C106:J106"/>
    <mergeCell ref="C107:E107"/>
    <mergeCell ref="C108:E108"/>
    <mergeCell ref="C95:J95"/>
    <mergeCell ref="C96:E96"/>
    <mergeCell ref="C97:E97"/>
    <mergeCell ref="C98:J98"/>
    <mergeCell ref="C100:J100"/>
    <mergeCell ref="C101:J101"/>
    <mergeCell ref="C116:E116"/>
    <mergeCell ref="C117:E117"/>
    <mergeCell ref="C118:E118"/>
    <mergeCell ref="C119:E119"/>
    <mergeCell ref="C120:J120"/>
    <mergeCell ref="C122:J122"/>
    <mergeCell ref="C109:E109"/>
    <mergeCell ref="C110:E110"/>
    <mergeCell ref="C111:J111"/>
    <mergeCell ref="C113:J113"/>
    <mergeCell ref="C114:E114"/>
    <mergeCell ref="C115:E115"/>
    <mergeCell ref="C129:J129"/>
    <mergeCell ref="C131:J131"/>
    <mergeCell ref="C132:E132"/>
    <mergeCell ref="C133:E133"/>
    <mergeCell ref="C134:E134"/>
    <mergeCell ref="C135:E135"/>
    <mergeCell ref="C123:E123"/>
    <mergeCell ref="C124:E124"/>
    <mergeCell ref="C125:E125"/>
    <mergeCell ref="C126:E126"/>
    <mergeCell ref="C127:E127"/>
    <mergeCell ref="C128:E128"/>
    <mergeCell ref="C144:J144"/>
    <mergeCell ref="C145:E145"/>
    <mergeCell ref="C146:E146"/>
    <mergeCell ref="C147:E147"/>
    <mergeCell ref="C148:J148"/>
    <mergeCell ref="C150:J150"/>
    <mergeCell ref="C136:J136"/>
    <mergeCell ref="C138:J138"/>
    <mergeCell ref="C139:E139"/>
    <mergeCell ref="C140:E140"/>
    <mergeCell ref="C141:E141"/>
    <mergeCell ref="C142:J142"/>
    <mergeCell ref="C158:E158"/>
    <mergeCell ref="C159:J159"/>
    <mergeCell ref="C161:J161"/>
    <mergeCell ref="C162:E162"/>
    <mergeCell ref="C163:E163"/>
    <mergeCell ref="C164:J164"/>
    <mergeCell ref="C151:E151"/>
    <mergeCell ref="C152:E152"/>
    <mergeCell ref="C153:E153"/>
    <mergeCell ref="C154:J154"/>
    <mergeCell ref="C156:J156"/>
    <mergeCell ref="C157:E157"/>
    <mergeCell ref="C173:E173"/>
    <mergeCell ref="C174:J174"/>
    <mergeCell ref="C176:J176"/>
    <mergeCell ref="C177:E177"/>
    <mergeCell ref="C178:E178"/>
    <mergeCell ref="C179:J179"/>
    <mergeCell ref="C166:J166"/>
    <mergeCell ref="C167:E167"/>
    <mergeCell ref="C168:E168"/>
    <mergeCell ref="C169:J169"/>
    <mergeCell ref="C171:J171"/>
    <mergeCell ref="C172:E172"/>
    <mergeCell ref="C187:J187"/>
    <mergeCell ref="C189:J189"/>
    <mergeCell ref="C191:J191"/>
    <mergeCell ref="C192:E192"/>
    <mergeCell ref="L192:L194"/>
    <mergeCell ref="C193:E193"/>
    <mergeCell ref="C194:J194"/>
    <mergeCell ref="C181:J181"/>
    <mergeCell ref="C182:J182"/>
    <mergeCell ref="C183:E183"/>
    <mergeCell ref="C184:E184"/>
    <mergeCell ref="C185:E185"/>
    <mergeCell ref="C186:E186"/>
    <mergeCell ref="C203:E203"/>
    <mergeCell ref="C204:E204"/>
    <mergeCell ref="C205:E205"/>
    <mergeCell ref="C206:E206"/>
    <mergeCell ref="C207:J207"/>
    <mergeCell ref="C209:J209"/>
    <mergeCell ref="C196:J196"/>
    <mergeCell ref="C197:E197"/>
    <mergeCell ref="L197:L199"/>
    <mergeCell ref="C198:E198"/>
    <mergeCell ref="C199:J199"/>
    <mergeCell ref="C202:E202"/>
    <mergeCell ref="C217:J217"/>
    <mergeCell ref="C219:E219"/>
    <mergeCell ref="C220:E220"/>
    <mergeCell ref="C221:E221"/>
    <mergeCell ref="C222:E222"/>
    <mergeCell ref="C223:E223"/>
    <mergeCell ref="C210:E210"/>
    <mergeCell ref="C211:E211"/>
    <mergeCell ref="C212:E212"/>
    <mergeCell ref="C213:E213"/>
    <mergeCell ref="C214:E214"/>
    <mergeCell ref="C215:J215"/>
    <mergeCell ref="C230:E230"/>
    <mergeCell ref="C231:J231"/>
    <mergeCell ref="C233:J233"/>
    <mergeCell ref="C234:E234"/>
    <mergeCell ref="C235:E235"/>
    <mergeCell ref="C236:J236"/>
    <mergeCell ref="C224:E224"/>
    <mergeCell ref="C225:J225"/>
    <mergeCell ref="C226:E226"/>
    <mergeCell ref="C227:E227"/>
    <mergeCell ref="C228:J228"/>
    <mergeCell ref="C229:E229"/>
    <mergeCell ref="C245:E245"/>
    <mergeCell ref="C246:E246"/>
    <mergeCell ref="C247:J247"/>
    <mergeCell ref="C249:J249"/>
    <mergeCell ref="C250:E250"/>
    <mergeCell ref="C251:E251"/>
    <mergeCell ref="C238:J238"/>
    <mergeCell ref="C239:E239"/>
    <mergeCell ref="C240:J240"/>
    <mergeCell ref="C241:E241"/>
    <mergeCell ref="C242:J242"/>
    <mergeCell ref="C244:J244"/>
    <mergeCell ref="C260:E260"/>
    <mergeCell ref="C261:E261"/>
    <mergeCell ref="C262:J262"/>
    <mergeCell ref="C264:J264"/>
    <mergeCell ref="C265:E265"/>
    <mergeCell ref="C266:E266"/>
    <mergeCell ref="C252:J252"/>
    <mergeCell ref="C254:J254"/>
    <mergeCell ref="C255:E255"/>
    <mergeCell ref="C256:E256"/>
    <mergeCell ref="C257:J257"/>
    <mergeCell ref="C259:J259"/>
    <mergeCell ref="C275:E275"/>
    <mergeCell ref="C276:E276"/>
    <mergeCell ref="C277:J277"/>
    <mergeCell ref="C279:J279"/>
    <mergeCell ref="C280:E280"/>
    <mergeCell ref="C281:E281"/>
    <mergeCell ref="C267:J267"/>
    <mergeCell ref="C269:J269"/>
    <mergeCell ref="C270:E270"/>
    <mergeCell ref="C271:E271"/>
    <mergeCell ref="C272:J272"/>
    <mergeCell ref="C274:J274"/>
    <mergeCell ref="C290:E290"/>
    <mergeCell ref="C291:E291"/>
    <mergeCell ref="C292:J292"/>
    <mergeCell ref="C294:J294"/>
    <mergeCell ref="C295:J295"/>
    <mergeCell ref="C296:E296"/>
    <mergeCell ref="C282:J282"/>
    <mergeCell ref="C284:J284"/>
    <mergeCell ref="C285:E285"/>
    <mergeCell ref="C286:E286"/>
    <mergeCell ref="C287:J287"/>
    <mergeCell ref="C289:J289"/>
    <mergeCell ref="C305:J305"/>
    <mergeCell ref="C306:E306"/>
    <mergeCell ref="C307:E307"/>
    <mergeCell ref="C308:J308"/>
    <mergeCell ref="C310:J310"/>
    <mergeCell ref="C311:E311"/>
    <mergeCell ref="C297:E297"/>
    <mergeCell ref="C298:J298"/>
    <mergeCell ref="C300:J300"/>
    <mergeCell ref="C301:E301"/>
    <mergeCell ref="C302:E302"/>
    <mergeCell ref="C303:J303"/>
    <mergeCell ref="C320:J320"/>
    <mergeCell ref="C321:E321"/>
    <mergeCell ref="C322:E322"/>
    <mergeCell ref="C323:J323"/>
    <mergeCell ref="C325:J325"/>
    <mergeCell ref="C326:E326"/>
    <mergeCell ref="C312:E312"/>
    <mergeCell ref="C313:J313"/>
    <mergeCell ref="C315:J315"/>
    <mergeCell ref="C316:E316"/>
    <mergeCell ref="C317:E317"/>
    <mergeCell ref="C318:J318"/>
    <mergeCell ref="C335:J335"/>
    <mergeCell ref="C336:E336"/>
    <mergeCell ref="C337:E337"/>
    <mergeCell ref="C338:J338"/>
    <mergeCell ref="C340:J340"/>
    <mergeCell ref="C341:E341"/>
    <mergeCell ref="C327:E327"/>
    <mergeCell ref="C328:J328"/>
    <mergeCell ref="C330:J330"/>
    <mergeCell ref="C331:E331"/>
    <mergeCell ref="C332:E332"/>
    <mergeCell ref="C333:J333"/>
    <mergeCell ref="C350:J350"/>
    <mergeCell ref="C351:E351"/>
    <mergeCell ref="C352:E352"/>
    <mergeCell ref="C353:J353"/>
    <mergeCell ref="C355:J355"/>
    <mergeCell ref="C356:E356"/>
    <mergeCell ref="C342:E342"/>
    <mergeCell ref="C343:J343"/>
    <mergeCell ref="C345:J345"/>
    <mergeCell ref="C346:E346"/>
    <mergeCell ref="C347:E347"/>
    <mergeCell ref="C348:J348"/>
    <mergeCell ref="C365:J365"/>
    <mergeCell ref="C366:E366"/>
    <mergeCell ref="C367:E367"/>
    <mergeCell ref="C368:J368"/>
    <mergeCell ref="C370:J370"/>
    <mergeCell ref="C371:J371"/>
    <mergeCell ref="C357:E357"/>
    <mergeCell ref="C358:J358"/>
    <mergeCell ref="C360:J360"/>
    <mergeCell ref="C361:E361"/>
    <mergeCell ref="C362:E362"/>
    <mergeCell ref="C363:J363"/>
    <mergeCell ref="C378:J378"/>
    <mergeCell ref="C380:J380"/>
    <mergeCell ref="C381:E381"/>
    <mergeCell ref="C382:E382"/>
    <mergeCell ref="C383:E383"/>
    <mergeCell ref="C384:E384"/>
    <mergeCell ref="C372:E372"/>
    <mergeCell ref="C373:E373"/>
    <mergeCell ref="C374:E374"/>
    <mergeCell ref="C375:E375"/>
    <mergeCell ref="C376:E376"/>
    <mergeCell ref="C377:E377"/>
    <mergeCell ref="C392:E392"/>
    <mergeCell ref="C393:E393"/>
    <mergeCell ref="C394:E394"/>
    <mergeCell ref="C395:E395"/>
    <mergeCell ref="C396:J396"/>
    <mergeCell ref="C398:J398"/>
    <mergeCell ref="C385:E385"/>
    <mergeCell ref="C386:E386"/>
    <mergeCell ref="C387:J387"/>
    <mergeCell ref="C389:J389"/>
    <mergeCell ref="C390:E390"/>
    <mergeCell ref="C391:E391"/>
    <mergeCell ref="C406:E406"/>
    <mergeCell ref="C407:E407"/>
    <mergeCell ref="C408:J408"/>
    <mergeCell ref="C410:J410"/>
    <mergeCell ref="C411:E411"/>
    <mergeCell ref="C412:E412"/>
    <mergeCell ref="C399:E399"/>
    <mergeCell ref="C400:E400"/>
    <mergeCell ref="C401:E401"/>
    <mergeCell ref="C402:J402"/>
    <mergeCell ref="C404:J404"/>
    <mergeCell ref="C405:E405"/>
    <mergeCell ref="C420:E420"/>
    <mergeCell ref="C421:J421"/>
    <mergeCell ref="C423:J423"/>
    <mergeCell ref="C424:E424"/>
    <mergeCell ref="C425:E425"/>
    <mergeCell ref="C426:J426"/>
    <mergeCell ref="C413:E413"/>
    <mergeCell ref="C414:J414"/>
    <mergeCell ref="C416:J416"/>
    <mergeCell ref="C417:J417"/>
    <mergeCell ref="C418:J418"/>
    <mergeCell ref="C419:E419"/>
    <mergeCell ref="C435:E435"/>
    <mergeCell ref="C436:E436"/>
    <mergeCell ref="C437:J437"/>
    <mergeCell ref="C439:J439"/>
    <mergeCell ref="C440:E440"/>
    <mergeCell ref="C441:E441"/>
    <mergeCell ref="C428:J428"/>
    <mergeCell ref="C429:E429"/>
    <mergeCell ref="C430:E430"/>
    <mergeCell ref="C431:J431"/>
    <mergeCell ref="C433:J433"/>
    <mergeCell ref="C434:E434"/>
    <mergeCell ref="C449:E449"/>
    <mergeCell ref="C450:J450"/>
    <mergeCell ref="C452:J452"/>
    <mergeCell ref="C453:E453"/>
    <mergeCell ref="C454:E454"/>
    <mergeCell ref="C455:J455"/>
    <mergeCell ref="C442:E442"/>
    <mergeCell ref="C443:E443"/>
    <mergeCell ref="C444:J444"/>
    <mergeCell ref="C446:J446"/>
    <mergeCell ref="C447:J447"/>
    <mergeCell ref="C448:E448"/>
    <mergeCell ref="C464:E464"/>
    <mergeCell ref="C465:E465"/>
    <mergeCell ref="C466:E466"/>
    <mergeCell ref="C467:J467"/>
    <mergeCell ref="C469:J469"/>
    <mergeCell ref="C470:E470"/>
    <mergeCell ref="C457:J457"/>
    <mergeCell ref="C458:E458"/>
    <mergeCell ref="C459:E459"/>
    <mergeCell ref="C460:J460"/>
    <mergeCell ref="C462:J462"/>
    <mergeCell ref="C463:E463"/>
    <mergeCell ref="C478:E478"/>
    <mergeCell ref="C479:E479"/>
    <mergeCell ref="C480:E480"/>
    <mergeCell ref="C481:E481"/>
    <mergeCell ref="C482:J482"/>
    <mergeCell ref="C484:J484"/>
    <mergeCell ref="C471:E471"/>
    <mergeCell ref="C472:E472"/>
    <mergeCell ref="C473:E473"/>
    <mergeCell ref="C474:J474"/>
    <mergeCell ref="C476:J476"/>
    <mergeCell ref="C477:J477"/>
    <mergeCell ref="C492:E492"/>
    <mergeCell ref="C493:E493"/>
    <mergeCell ref="C494:J494"/>
    <mergeCell ref="C496:J496"/>
    <mergeCell ref="C497:E497"/>
    <mergeCell ref="C498:E498"/>
    <mergeCell ref="C485:E485"/>
    <mergeCell ref="C486:E486"/>
    <mergeCell ref="C487:J487"/>
    <mergeCell ref="C489:J489"/>
    <mergeCell ref="C490:E490"/>
    <mergeCell ref="C491:E491"/>
    <mergeCell ref="C506:J506"/>
    <mergeCell ref="C508:J508"/>
    <mergeCell ref="C509:J509"/>
    <mergeCell ref="C510:E510"/>
    <mergeCell ref="C511:E511"/>
    <mergeCell ref="C512:J512"/>
    <mergeCell ref="C499:E499"/>
    <mergeCell ref="C500:J500"/>
    <mergeCell ref="C502:J502"/>
    <mergeCell ref="C503:E503"/>
    <mergeCell ref="C504:E504"/>
    <mergeCell ref="C505:E505"/>
    <mergeCell ref="C521:E521"/>
    <mergeCell ref="C522:J522"/>
    <mergeCell ref="C524:J524"/>
    <mergeCell ref="C525:E525"/>
    <mergeCell ref="C526:E526"/>
    <mergeCell ref="C527:E527"/>
    <mergeCell ref="C514:J514"/>
    <mergeCell ref="C515:E515"/>
    <mergeCell ref="C516:E516"/>
    <mergeCell ref="C517:J517"/>
    <mergeCell ref="C519:J519"/>
    <mergeCell ref="C520:E520"/>
    <mergeCell ref="C536:J536"/>
    <mergeCell ref="C537:J537"/>
    <mergeCell ref="C538:E538"/>
    <mergeCell ref="C539:E539"/>
    <mergeCell ref="C540:J540"/>
    <mergeCell ref="C542:J542"/>
    <mergeCell ref="C528:J528"/>
    <mergeCell ref="C530:J530"/>
    <mergeCell ref="C531:E531"/>
    <mergeCell ref="C532:E532"/>
    <mergeCell ref="C533:E533"/>
    <mergeCell ref="C534:J534"/>
    <mergeCell ref="C550:J550"/>
    <mergeCell ref="C552:J552"/>
    <mergeCell ref="C553:E553"/>
    <mergeCell ref="C554:E554"/>
    <mergeCell ref="C555:E555"/>
    <mergeCell ref="C556:J556"/>
    <mergeCell ref="C543:E543"/>
    <mergeCell ref="C544:E544"/>
    <mergeCell ref="C545:J545"/>
    <mergeCell ref="C547:J547"/>
    <mergeCell ref="C548:E548"/>
    <mergeCell ref="C549:E549"/>
    <mergeCell ref="C565:J565"/>
    <mergeCell ref="C566:E566"/>
    <mergeCell ref="C567:E567"/>
    <mergeCell ref="C568:J568"/>
    <mergeCell ref="C570:J570"/>
    <mergeCell ref="C571:J571"/>
    <mergeCell ref="C558:J558"/>
    <mergeCell ref="C559:E559"/>
    <mergeCell ref="C560:E560"/>
    <mergeCell ref="C561:E561"/>
    <mergeCell ref="C562:J562"/>
    <mergeCell ref="C564:J564"/>
    <mergeCell ref="C580:E580"/>
    <mergeCell ref="C581:J581"/>
    <mergeCell ref="C583:J583"/>
    <mergeCell ref="C584:E584"/>
    <mergeCell ref="C585:E585"/>
    <mergeCell ref="C586:J586"/>
    <mergeCell ref="C572:E572"/>
    <mergeCell ref="C573:E573"/>
    <mergeCell ref="C574:J574"/>
    <mergeCell ref="C577:J577"/>
    <mergeCell ref="C578:E578"/>
    <mergeCell ref="C579:E579"/>
    <mergeCell ref="C598:E598"/>
    <mergeCell ref="C599:E599"/>
    <mergeCell ref="C600:E600"/>
    <mergeCell ref="C601:E601"/>
    <mergeCell ref="C602:E602"/>
    <mergeCell ref="C603:E603"/>
    <mergeCell ref="C588:J588"/>
    <mergeCell ref="C590:J590"/>
    <mergeCell ref="C591:E591"/>
    <mergeCell ref="C592:E592"/>
    <mergeCell ref="C593:E593"/>
    <mergeCell ref="C594:E594"/>
    <mergeCell ref="C595:E595"/>
    <mergeCell ref="C596:E596"/>
    <mergeCell ref="C597:E597"/>
    <mergeCell ref="L615:L634"/>
    <mergeCell ref="C616:E616"/>
    <mergeCell ref="C617:E617"/>
    <mergeCell ref="C618:E618"/>
    <mergeCell ref="C619:E619"/>
    <mergeCell ref="C604:E604"/>
    <mergeCell ref="C605:E605"/>
    <mergeCell ref="C606:E606"/>
    <mergeCell ref="C607:E607"/>
    <mergeCell ref="C608:E608"/>
    <mergeCell ref="C609:E609"/>
    <mergeCell ref="L591:L612"/>
    <mergeCell ref="C620:E620"/>
    <mergeCell ref="C621:E621"/>
    <mergeCell ref="C622:E622"/>
    <mergeCell ref="C623:E623"/>
    <mergeCell ref="C624:E624"/>
    <mergeCell ref="C625:E625"/>
    <mergeCell ref="C610:E610"/>
    <mergeCell ref="C611:E611"/>
    <mergeCell ref="C612:J612"/>
    <mergeCell ref="C614:J614"/>
    <mergeCell ref="C615:E615"/>
    <mergeCell ref="C632:E632"/>
    <mergeCell ref="C633:E633"/>
    <mergeCell ref="C634:E634"/>
    <mergeCell ref="C635:J635"/>
    <mergeCell ref="C636:E636"/>
    <mergeCell ref="C638:J638"/>
    <mergeCell ref="C626:E626"/>
    <mergeCell ref="C627:E627"/>
    <mergeCell ref="C628:E628"/>
    <mergeCell ref="C629:E629"/>
    <mergeCell ref="C630:E630"/>
    <mergeCell ref="C631:E631"/>
    <mergeCell ref="C639:E639"/>
    <mergeCell ref="L639:L666"/>
    <mergeCell ref="C640:E640"/>
    <mergeCell ref="C641:E641"/>
    <mergeCell ref="C642:E642"/>
    <mergeCell ref="C643:E643"/>
    <mergeCell ref="C644:E644"/>
    <mergeCell ref="C645:E645"/>
    <mergeCell ref="C646:E646"/>
    <mergeCell ref="C647:E647"/>
    <mergeCell ref="C654:E654"/>
    <mergeCell ref="C655:E655"/>
    <mergeCell ref="C656:E656"/>
    <mergeCell ref="C657:E657"/>
    <mergeCell ref="C658:E658"/>
    <mergeCell ref="C659:E659"/>
    <mergeCell ref="C648:E648"/>
    <mergeCell ref="C649:E649"/>
    <mergeCell ref="C650:E650"/>
    <mergeCell ref="C651:E651"/>
    <mergeCell ref="C652:E652"/>
    <mergeCell ref="C653:E653"/>
    <mergeCell ref="C669:J669"/>
    <mergeCell ref="C661:E661"/>
    <mergeCell ref="C662:E662"/>
    <mergeCell ref="C663:E663"/>
    <mergeCell ref="C664:E664"/>
    <mergeCell ref="C665:E665"/>
    <mergeCell ref="C666:J666"/>
    <mergeCell ref="C679:J679"/>
    <mergeCell ref="C681:J681"/>
    <mergeCell ref="C682:E682"/>
    <mergeCell ref="L682:L684"/>
    <mergeCell ref="C683:E683"/>
    <mergeCell ref="C684:J684"/>
    <mergeCell ref="C670:E670"/>
    <mergeCell ref="L670:L672"/>
    <mergeCell ref="C671:E671"/>
    <mergeCell ref="C672:J672"/>
    <mergeCell ref="C674:J674"/>
    <mergeCell ref="C675:E675"/>
    <mergeCell ref="L675:L677"/>
    <mergeCell ref="C676:E676"/>
    <mergeCell ref="C677:J677"/>
    <mergeCell ref="C693:E693"/>
    <mergeCell ref="L693:L695"/>
    <mergeCell ref="C694:E694"/>
    <mergeCell ref="C695:J695"/>
    <mergeCell ref="C697:J697"/>
    <mergeCell ref="B698:L698"/>
    <mergeCell ref="C686:J686"/>
    <mergeCell ref="C687:E687"/>
    <mergeCell ref="L687:L689"/>
    <mergeCell ref="C688:E688"/>
    <mergeCell ref="C689:J689"/>
    <mergeCell ref="C692:J692"/>
    <mergeCell ref="C705:E705"/>
    <mergeCell ref="L705:L707"/>
    <mergeCell ref="C706:E706"/>
    <mergeCell ref="C707:J707"/>
    <mergeCell ref="C699:J699"/>
    <mergeCell ref="C700:E700"/>
    <mergeCell ref="L700:L702"/>
    <mergeCell ref="C701:E701"/>
    <mergeCell ref="C702:J702"/>
    <mergeCell ref="C704:J704"/>
    <mergeCell ref="C718:E718"/>
    <mergeCell ref="L718:L720"/>
    <mergeCell ref="C719:E719"/>
    <mergeCell ref="C720:J720"/>
    <mergeCell ref="C722:J722"/>
    <mergeCell ref="C723:E723"/>
    <mergeCell ref="C711:E711"/>
    <mergeCell ref="L711:L713"/>
    <mergeCell ref="C712:E712"/>
    <mergeCell ref="C713:J713"/>
    <mergeCell ref="C715:J715"/>
    <mergeCell ref="C717:J717"/>
    <mergeCell ref="C732:J732"/>
    <mergeCell ref="C733:E733"/>
    <mergeCell ref="L733:L735"/>
    <mergeCell ref="C734:E734"/>
    <mergeCell ref="C735:J735"/>
    <mergeCell ref="C742:J742"/>
    <mergeCell ref="C724:E724"/>
    <mergeCell ref="C725:J725"/>
    <mergeCell ref="C727:J727"/>
    <mergeCell ref="C728:E728"/>
    <mergeCell ref="L728:L730"/>
    <mergeCell ref="C729:E729"/>
    <mergeCell ref="C730:J730"/>
    <mergeCell ref="C737:J737"/>
    <mergeCell ref="C738:E738"/>
    <mergeCell ref="L738:L740"/>
    <mergeCell ref="C739:E739"/>
    <mergeCell ref="C740:J740"/>
    <mergeCell ref="C743:E743"/>
    <mergeCell ref="L743:L745"/>
    <mergeCell ref="C744:E744"/>
    <mergeCell ref="C745:J745"/>
    <mergeCell ref="C747:J747"/>
    <mergeCell ref="C748:E748"/>
    <mergeCell ref="L748:L750"/>
    <mergeCell ref="C749:E749"/>
    <mergeCell ref="C750:J750"/>
    <mergeCell ref="C762:J762"/>
    <mergeCell ref="C763:E763"/>
    <mergeCell ref="L763:L765"/>
    <mergeCell ref="C764:E764"/>
    <mergeCell ref="C765:J765"/>
    <mergeCell ref="C753:J753"/>
    <mergeCell ref="C755:J755"/>
    <mergeCell ref="C756:E756"/>
    <mergeCell ref="L756:L758"/>
    <mergeCell ref="C757:E757"/>
    <mergeCell ref="C758:J758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57" orientation="portrait" horizontalDpi="360" verticalDpi="360" r:id="rId1"/>
  <headerFooter>
    <oddFooter>Página &amp;P de &amp;N</oddFooter>
  </headerFooter>
  <rowBreaks count="1" manualBreakCount="1">
    <brk id="702" min="1" max="11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2"/>
  <sheetViews>
    <sheetView view="pageBreakPreview" topLeftCell="A64" zoomScale="85" zoomScaleNormal="100" zoomScaleSheetLayoutView="85" workbookViewId="0">
      <selection activeCell="A55" sqref="A55:XFD55"/>
    </sheetView>
  </sheetViews>
  <sheetFormatPr defaultRowHeight="15"/>
  <cols>
    <col min="1" max="1" width="17.42578125" style="26" bestFit="1" customWidth="1"/>
    <col min="2" max="2" width="17.140625" style="27" customWidth="1"/>
    <col min="3" max="3" width="35.85546875" style="27" customWidth="1"/>
    <col min="4" max="4" width="6.85546875" style="27" customWidth="1"/>
    <col min="5" max="5" width="8.85546875" style="28" bestFit="1" customWidth="1"/>
    <col min="6" max="6" width="11.28515625" style="29" bestFit="1" customWidth="1"/>
    <col min="7" max="7" width="13.5703125" style="29" bestFit="1" customWidth="1"/>
    <col min="8" max="8" width="23.5703125" style="29" customWidth="1"/>
    <col min="257" max="257" width="17.42578125" bestFit="1" customWidth="1"/>
    <col min="258" max="258" width="8.7109375" customWidth="1"/>
    <col min="259" max="259" width="58.85546875" customWidth="1"/>
    <col min="260" max="260" width="6.85546875" customWidth="1"/>
    <col min="261" max="261" width="8.42578125" bestFit="1" customWidth="1"/>
    <col min="262" max="262" width="11.28515625" bestFit="1" customWidth="1"/>
    <col min="263" max="264" width="13.5703125" bestFit="1" customWidth="1"/>
    <col min="513" max="513" width="17.42578125" bestFit="1" customWidth="1"/>
    <col min="514" max="514" width="8.7109375" customWidth="1"/>
    <col min="515" max="515" width="58.85546875" customWidth="1"/>
    <col min="516" max="516" width="6.85546875" customWidth="1"/>
    <col min="517" max="517" width="8.42578125" bestFit="1" customWidth="1"/>
    <col min="518" max="518" width="11.28515625" bestFit="1" customWidth="1"/>
    <col min="519" max="520" width="13.5703125" bestFit="1" customWidth="1"/>
    <col min="769" max="769" width="17.42578125" bestFit="1" customWidth="1"/>
    <col min="770" max="770" width="8.7109375" customWidth="1"/>
    <col min="771" max="771" width="58.85546875" customWidth="1"/>
    <col min="772" max="772" width="6.85546875" customWidth="1"/>
    <col min="773" max="773" width="8.42578125" bestFit="1" customWidth="1"/>
    <col min="774" max="774" width="11.28515625" bestFit="1" customWidth="1"/>
    <col min="775" max="776" width="13.5703125" bestFit="1" customWidth="1"/>
    <col min="1025" max="1025" width="17.42578125" bestFit="1" customWidth="1"/>
    <col min="1026" max="1026" width="8.7109375" customWidth="1"/>
    <col min="1027" max="1027" width="58.85546875" customWidth="1"/>
    <col min="1028" max="1028" width="6.85546875" customWidth="1"/>
    <col min="1029" max="1029" width="8.42578125" bestFit="1" customWidth="1"/>
    <col min="1030" max="1030" width="11.28515625" bestFit="1" customWidth="1"/>
    <col min="1031" max="1032" width="13.5703125" bestFit="1" customWidth="1"/>
    <col min="1281" max="1281" width="17.42578125" bestFit="1" customWidth="1"/>
    <col min="1282" max="1282" width="8.7109375" customWidth="1"/>
    <col min="1283" max="1283" width="58.85546875" customWidth="1"/>
    <col min="1284" max="1284" width="6.85546875" customWidth="1"/>
    <col min="1285" max="1285" width="8.42578125" bestFit="1" customWidth="1"/>
    <col min="1286" max="1286" width="11.28515625" bestFit="1" customWidth="1"/>
    <col min="1287" max="1288" width="13.5703125" bestFit="1" customWidth="1"/>
    <col min="1537" max="1537" width="17.42578125" bestFit="1" customWidth="1"/>
    <col min="1538" max="1538" width="8.7109375" customWidth="1"/>
    <col min="1539" max="1539" width="58.85546875" customWidth="1"/>
    <col min="1540" max="1540" width="6.85546875" customWidth="1"/>
    <col min="1541" max="1541" width="8.42578125" bestFit="1" customWidth="1"/>
    <col min="1542" max="1542" width="11.28515625" bestFit="1" customWidth="1"/>
    <col min="1543" max="1544" width="13.5703125" bestFit="1" customWidth="1"/>
    <col min="1793" max="1793" width="17.42578125" bestFit="1" customWidth="1"/>
    <col min="1794" max="1794" width="8.7109375" customWidth="1"/>
    <col min="1795" max="1795" width="58.85546875" customWidth="1"/>
    <col min="1796" max="1796" width="6.85546875" customWidth="1"/>
    <col min="1797" max="1797" width="8.42578125" bestFit="1" customWidth="1"/>
    <col min="1798" max="1798" width="11.28515625" bestFit="1" customWidth="1"/>
    <col min="1799" max="1800" width="13.5703125" bestFit="1" customWidth="1"/>
    <col min="2049" max="2049" width="17.42578125" bestFit="1" customWidth="1"/>
    <col min="2050" max="2050" width="8.7109375" customWidth="1"/>
    <col min="2051" max="2051" width="58.85546875" customWidth="1"/>
    <col min="2052" max="2052" width="6.85546875" customWidth="1"/>
    <col min="2053" max="2053" width="8.42578125" bestFit="1" customWidth="1"/>
    <col min="2054" max="2054" width="11.28515625" bestFit="1" customWidth="1"/>
    <col min="2055" max="2056" width="13.5703125" bestFit="1" customWidth="1"/>
    <col min="2305" max="2305" width="17.42578125" bestFit="1" customWidth="1"/>
    <col min="2306" max="2306" width="8.7109375" customWidth="1"/>
    <col min="2307" max="2307" width="58.85546875" customWidth="1"/>
    <col min="2308" max="2308" width="6.85546875" customWidth="1"/>
    <col min="2309" max="2309" width="8.42578125" bestFit="1" customWidth="1"/>
    <col min="2310" max="2310" width="11.28515625" bestFit="1" customWidth="1"/>
    <col min="2311" max="2312" width="13.5703125" bestFit="1" customWidth="1"/>
    <col min="2561" max="2561" width="17.42578125" bestFit="1" customWidth="1"/>
    <col min="2562" max="2562" width="8.7109375" customWidth="1"/>
    <col min="2563" max="2563" width="58.85546875" customWidth="1"/>
    <col min="2564" max="2564" width="6.85546875" customWidth="1"/>
    <col min="2565" max="2565" width="8.42578125" bestFit="1" customWidth="1"/>
    <col min="2566" max="2566" width="11.28515625" bestFit="1" customWidth="1"/>
    <col min="2567" max="2568" width="13.5703125" bestFit="1" customWidth="1"/>
    <col min="2817" max="2817" width="17.42578125" bestFit="1" customWidth="1"/>
    <col min="2818" max="2818" width="8.7109375" customWidth="1"/>
    <col min="2819" max="2819" width="58.85546875" customWidth="1"/>
    <col min="2820" max="2820" width="6.85546875" customWidth="1"/>
    <col min="2821" max="2821" width="8.42578125" bestFit="1" customWidth="1"/>
    <col min="2822" max="2822" width="11.28515625" bestFit="1" customWidth="1"/>
    <col min="2823" max="2824" width="13.5703125" bestFit="1" customWidth="1"/>
    <col min="3073" max="3073" width="17.42578125" bestFit="1" customWidth="1"/>
    <col min="3074" max="3074" width="8.7109375" customWidth="1"/>
    <col min="3075" max="3075" width="58.85546875" customWidth="1"/>
    <col min="3076" max="3076" width="6.85546875" customWidth="1"/>
    <col min="3077" max="3077" width="8.42578125" bestFit="1" customWidth="1"/>
    <col min="3078" max="3078" width="11.28515625" bestFit="1" customWidth="1"/>
    <col min="3079" max="3080" width="13.5703125" bestFit="1" customWidth="1"/>
    <col min="3329" max="3329" width="17.42578125" bestFit="1" customWidth="1"/>
    <col min="3330" max="3330" width="8.7109375" customWidth="1"/>
    <col min="3331" max="3331" width="58.85546875" customWidth="1"/>
    <col min="3332" max="3332" width="6.85546875" customWidth="1"/>
    <col min="3333" max="3333" width="8.42578125" bestFit="1" customWidth="1"/>
    <col min="3334" max="3334" width="11.28515625" bestFit="1" customWidth="1"/>
    <col min="3335" max="3336" width="13.5703125" bestFit="1" customWidth="1"/>
    <col min="3585" max="3585" width="17.42578125" bestFit="1" customWidth="1"/>
    <col min="3586" max="3586" width="8.7109375" customWidth="1"/>
    <col min="3587" max="3587" width="58.85546875" customWidth="1"/>
    <col min="3588" max="3588" width="6.85546875" customWidth="1"/>
    <col min="3589" max="3589" width="8.42578125" bestFit="1" customWidth="1"/>
    <col min="3590" max="3590" width="11.28515625" bestFit="1" customWidth="1"/>
    <col min="3591" max="3592" width="13.5703125" bestFit="1" customWidth="1"/>
    <col min="3841" max="3841" width="17.42578125" bestFit="1" customWidth="1"/>
    <col min="3842" max="3842" width="8.7109375" customWidth="1"/>
    <col min="3843" max="3843" width="58.85546875" customWidth="1"/>
    <col min="3844" max="3844" width="6.85546875" customWidth="1"/>
    <col min="3845" max="3845" width="8.42578125" bestFit="1" customWidth="1"/>
    <col min="3846" max="3846" width="11.28515625" bestFit="1" customWidth="1"/>
    <col min="3847" max="3848" width="13.5703125" bestFit="1" customWidth="1"/>
    <col min="4097" max="4097" width="17.42578125" bestFit="1" customWidth="1"/>
    <col min="4098" max="4098" width="8.7109375" customWidth="1"/>
    <col min="4099" max="4099" width="58.85546875" customWidth="1"/>
    <col min="4100" max="4100" width="6.85546875" customWidth="1"/>
    <col min="4101" max="4101" width="8.42578125" bestFit="1" customWidth="1"/>
    <col min="4102" max="4102" width="11.28515625" bestFit="1" customWidth="1"/>
    <col min="4103" max="4104" width="13.5703125" bestFit="1" customWidth="1"/>
    <col min="4353" max="4353" width="17.42578125" bestFit="1" customWidth="1"/>
    <col min="4354" max="4354" width="8.7109375" customWidth="1"/>
    <col min="4355" max="4355" width="58.85546875" customWidth="1"/>
    <col min="4356" max="4356" width="6.85546875" customWidth="1"/>
    <col min="4357" max="4357" width="8.42578125" bestFit="1" customWidth="1"/>
    <col min="4358" max="4358" width="11.28515625" bestFit="1" customWidth="1"/>
    <col min="4359" max="4360" width="13.5703125" bestFit="1" customWidth="1"/>
    <col min="4609" max="4609" width="17.42578125" bestFit="1" customWidth="1"/>
    <col min="4610" max="4610" width="8.7109375" customWidth="1"/>
    <col min="4611" max="4611" width="58.85546875" customWidth="1"/>
    <col min="4612" max="4612" width="6.85546875" customWidth="1"/>
    <col min="4613" max="4613" width="8.42578125" bestFit="1" customWidth="1"/>
    <col min="4614" max="4614" width="11.28515625" bestFit="1" customWidth="1"/>
    <col min="4615" max="4616" width="13.5703125" bestFit="1" customWidth="1"/>
    <col min="4865" max="4865" width="17.42578125" bestFit="1" customWidth="1"/>
    <col min="4866" max="4866" width="8.7109375" customWidth="1"/>
    <col min="4867" max="4867" width="58.85546875" customWidth="1"/>
    <col min="4868" max="4868" width="6.85546875" customWidth="1"/>
    <col min="4869" max="4869" width="8.42578125" bestFit="1" customWidth="1"/>
    <col min="4870" max="4870" width="11.28515625" bestFit="1" customWidth="1"/>
    <col min="4871" max="4872" width="13.5703125" bestFit="1" customWidth="1"/>
    <col min="5121" max="5121" width="17.42578125" bestFit="1" customWidth="1"/>
    <col min="5122" max="5122" width="8.7109375" customWidth="1"/>
    <col min="5123" max="5123" width="58.85546875" customWidth="1"/>
    <col min="5124" max="5124" width="6.85546875" customWidth="1"/>
    <col min="5125" max="5125" width="8.42578125" bestFit="1" customWidth="1"/>
    <col min="5126" max="5126" width="11.28515625" bestFit="1" customWidth="1"/>
    <col min="5127" max="5128" width="13.5703125" bestFit="1" customWidth="1"/>
    <col min="5377" max="5377" width="17.42578125" bestFit="1" customWidth="1"/>
    <col min="5378" max="5378" width="8.7109375" customWidth="1"/>
    <col min="5379" max="5379" width="58.85546875" customWidth="1"/>
    <col min="5380" max="5380" width="6.85546875" customWidth="1"/>
    <col min="5381" max="5381" width="8.42578125" bestFit="1" customWidth="1"/>
    <col min="5382" max="5382" width="11.28515625" bestFit="1" customWidth="1"/>
    <col min="5383" max="5384" width="13.5703125" bestFit="1" customWidth="1"/>
    <col min="5633" max="5633" width="17.42578125" bestFit="1" customWidth="1"/>
    <col min="5634" max="5634" width="8.7109375" customWidth="1"/>
    <col min="5635" max="5635" width="58.85546875" customWidth="1"/>
    <col min="5636" max="5636" width="6.85546875" customWidth="1"/>
    <col min="5637" max="5637" width="8.42578125" bestFit="1" customWidth="1"/>
    <col min="5638" max="5638" width="11.28515625" bestFit="1" customWidth="1"/>
    <col min="5639" max="5640" width="13.5703125" bestFit="1" customWidth="1"/>
    <col min="5889" max="5889" width="17.42578125" bestFit="1" customWidth="1"/>
    <col min="5890" max="5890" width="8.7109375" customWidth="1"/>
    <col min="5891" max="5891" width="58.85546875" customWidth="1"/>
    <col min="5892" max="5892" width="6.85546875" customWidth="1"/>
    <col min="5893" max="5893" width="8.42578125" bestFit="1" customWidth="1"/>
    <col min="5894" max="5894" width="11.28515625" bestFit="1" customWidth="1"/>
    <col min="5895" max="5896" width="13.5703125" bestFit="1" customWidth="1"/>
    <col min="6145" max="6145" width="17.42578125" bestFit="1" customWidth="1"/>
    <col min="6146" max="6146" width="8.7109375" customWidth="1"/>
    <col min="6147" max="6147" width="58.85546875" customWidth="1"/>
    <col min="6148" max="6148" width="6.85546875" customWidth="1"/>
    <col min="6149" max="6149" width="8.42578125" bestFit="1" customWidth="1"/>
    <col min="6150" max="6150" width="11.28515625" bestFit="1" customWidth="1"/>
    <col min="6151" max="6152" width="13.5703125" bestFit="1" customWidth="1"/>
    <col min="6401" max="6401" width="17.42578125" bestFit="1" customWidth="1"/>
    <col min="6402" max="6402" width="8.7109375" customWidth="1"/>
    <col min="6403" max="6403" width="58.85546875" customWidth="1"/>
    <col min="6404" max="6404" width="6.85546875" customWidth="1"/>
    <col min="6405" max="6405" width="8.42578125" bestFit="1" customWidth="1"/>
    <col min="6406" max="6406" width="11.28515625" bestFit="1" customWidth="1"/>
    <col min="6407" max="6408" width="13.5703125" bestFit="1" customWidth="1"/>
    <col min="6657" max="6657" width="17.42578125" bestFit="1" customWidth="1"/>
    <col min="6658" max="6658" width="8.7109375" customWidth="1"/>
    <col min="6659" max="6659" width="58.85546875" customWidth="1"/>
    <col min="6660" max="6660" width="6.85546875" customWidth="1"/>
    <col min="6661" max="6661" width="8.42578125" bestFit="1" customWidth="1"/>
    <col min="6662" max="6662" width="11.28515625" bestFit="1" customWidth="1"/>
    <col min="6663" max="6664" width="13.5703125" bestFit="1" customWidth="1"/>
    <col min="6913" max="6913" width="17.42578125" bestFit="1" customWidth="1"/>
    <col min="6914" max="6914" width="8.7109375" customWidth="1"/>
    <col min="6915" max="6915" width="58.85546875" customWidth="1"/>
    <col min="6916" max="6916" width="6.85546875" customWidth="1"/>
    <col min="6917" max="6917" width="8.42578125" bestFit="1" customWidth="1"/>
    <col min="6918" max="6918" width="11.28515625" bestFit="1" customWidth="1"/>
    <col min="6919" max="6920" width="13.5703125" bestFit="1" customWidth="1"/>
    <col min="7169" max="7169" width="17.42578125" bestFit="1" customWidth="1"/>
    <col min="7170" max="7170" width="8.7109375" customWidth="1"/>
    <col min="7171" max="7171" width="58.85546875" customWidth="1"/>
    <col min="7172" max="7172" width="6.85546875" customWidth="1"/>
    <col min="7173" max="7173" width="8.42578125" bestFit="1" customWidth="1"/>
    <col min="7174" max="7174" width="11.28515625" bestFit="1" customWidth="1"/>
    <col min="7175" max="7176" width="13.5703125" bestFit="1" customWidth="1"/>
    <col min="7425" max="7425" width="17.42578125" bestFit="1" customWidth="1"/>
    <col min="7426" max="7426" width="8.7109375" customWidth="1"/>
    <col min="7427" max="7427" width="58.85546875" customWidth="1"/>
    <col min="7428" max="7428" width="6.85546875" customWidth="1"/>
    <col min="7429" max="7429" width="8.42578125" bestFit="1" customWidth="1"/>
    <col min="7430" max="7430" width="11.28515625" bestFit="1" customWidth="1"/>
    <col min="7431" max="7432" width="13.5703125" bestFit="1" customWidth="1"/>
    <col min="7681" max="7681" width="17.42578125" bestFit="1" customWidth="1"/>
    <col min="7682" max="7682" width="8.7109375" customWidth="1"/>
    <col min="7683" max="7683" width="58.85546875" customWidth="1"/>
    <col min="7684" max="7684" width="6.85546875" customWidth="1"/>
    <col min="7685" max="7685" width="8.42578125" bestFit="1" customWidth="1"/>
    <col min="7686" max="7686" width="11.28515625" bestFit="1" customWidth="1"/>
    <col min="7687" max="7688" width="13.5703125" bestFit="1" customWidth="1"/>
    <col min="7937" max="7937" width="17.42578125" bestFit="1" customWidth="1"/>
    <col min="7938" max="7938" width="8.7109375" customWidth="1"/>
    <col min="7939" max="7939" width="58.85546875" customWidth="1"/>
    <col min="7940" max="7940" width="6.85546875" customWidth="1"/>
    <col min="7941" max="7941" width="8.42578125" bestFit="1" customWidth="1"/>
    <col min="7942" max="7942" width="11.28515625" bestFit="1" customWidth="1"/>
    <col min="7943" max="7944" width="13.5703125" bestFit="1" customWidth="1"/>
    <col min="8193" max="8193" width="17.42578125" bestFit="1" customWidth="1"/>
    <col min="8194" max="8194" width="8.7109375" customWidth="1"/>
    <col min="8195" max="8195" width="58.85546875" customWidth="1"/>
    <col min="8196" max="8196" width="6.85546875" customWidth="1"/>
    <col min="8197" max="8197" width="8.42578125" bestFit="1" customWidth="1"/>
    <col min="8198" max="8198" width="11.28515625" bestFit="1" customWidth="1"/>
    <col min="8199" max="8200" width="13.5703125" bestFit="1" customWidth="1"/>
    <col min="8449" max="8449" width="17.42578125" bestFit="1" customWidth="1"/>
    <col min="8450" max="8450" width="8.7109375" customWidth="1"/>
    <col min="8451" max="8451" width="58.85546875" customWidth="1"/>
    <col min="8452" max="8452" width="6.85546875" customWidth="1"/>
    <col min="8453" max="8453" width="8.42578125" bestFit="1" customWidth="1"/>
    <col min="8454" max="8454" width="11.28515625" bestFit="1" customWidth="1"/>
    <col min="8455" max="8456" width="13.5703125" bestFit="1" customWidth="1"/>
    <col min="8705" max="8705" width="17.42578125" bestFit="1" customWidth="1"/>
    <col min="8706" max="8706" width="8.7109375" customWidth="1"/>
    <col min="8707" max="8707" width="58.85546875" customWidth="1"/>
    <col min="8708" max="8708" width="6.85546875" customWidth="1"/>
    <col min="8709" max="8709" width="8.42578125" bestFit="1" customWidth="1"/>
    <col min="8710" max="8710" width="11.28515625" bestFit="1" customWidth="1"/>
    <col min="8711" max="8712" width="13.5703125" bestFit="1" customWidth="1"/>
    <col min="8961" max="8961" width="17.42578125" bestFit="1" customWidth="1"/>
    <col min="8962" max="8962" width="8.7109375" customWidth="1"/>
    <col min="8963" max="8963" width="58.85546875" customWidth="1"/>
    <col min="8964" max="8964" width="6.85546875" customWidth="1"/>
    <col min="8965" max="8965" width="8.42578125" bestFit="1" customWidth="1"/>
    <col min="8966" max="8966" width="11.28515625" bestFit="1" customWidth="1"/>
    <col min="8967" max="8968" width="13.5703125" bestFit="1" customWidth="1"/>
    <col min="9217" max="9217" width="17.42578125" bestFit="1" customWidth="1"/>
    <col min="9218" max="9218" width="8.7109375" customWidth="1"/>
    <col min="9219" max="9219" width="58.85546875" customWidth="1"/>
    <col min="9220" max="9220" width="6.85546875" customWidth="1"/>
    <col min="9221" max="9221" width="8.42578125" bestFit="1" customWidth="1"/>
    <col min="9222" max="9222" width="11.28515625" bestFit="1" customWidth="1"/>
    <col min="9223" max="9224" width="13.5703125" bestFit="1" customWidth="1"/>
    <col min="9473" max="9473" width="17.42578125" bestFit="1" customWidth="1"/>
    <col min="9474" max="9474" width="8.7109375" customWidth="1"/>
    <col min="9475" max="9475" width="58.85546875" customWidth="1"/>
    <col min="9476" max="9476" width="6.85546875" customWidth="1"/>
    <col min="9477" max="9477" width="8.42578125" bestFit="1" customWidth="1"/>
    <col min="9478" max="9478" width="11.28515625" bestFit="1" customWidth="1"/>
    <col min="9479" max="9480" width="13.5703125" bestFit="1" customWidth="1"/>
    <col min="9729" max="9729" width="17.42578125" bestFit="1" customWidth="1"/>
    <col min="9730" max="9730" width="8.7109375" customWidth="1"/>
    <col min="9731" max="9731" width="58.85546875" customWidth="1"/>
    <col min="9732" max="9732" width="6.85546875" customWidth="1"/>
    <col min="9733" max="9733" width="8.42578125" bestFit="1" customWidth="1"/>
    <col min="9734" max="9734" width="11.28515625" bestFit="1" customWidth="1"/>
    <col min="9735" max="9736" width="13.5703125" bestFit="1" customWidth="1"/>
    <col min="9985" max="9985" width="17.42578125" bestFit="1" customWidth="1"/>
    <col min="9986" max="9986" width="8.7109375" customWidth="1"/>
    <col min="9987" max="9987" width="58.85546875" customWidth="1"/>
    <col min="9988" max="9988" width="6.85546875" customWidth="1"/>
    <col min="9989" max="9989" width="8.42578125" bestFit="1" customWidth="1"/>
    <col min="9990" max="9990" width="11.28515625" bestFit="1" customWidth="1"/>
    <col min="9991" max="9992" width="13.5703125" bestFit="1" customWidth="1"/>
    <col min="10241" max="10241" width="17.42578125" bestFit="1" customWidth="1"/>
    <col min="10242" max="10242" width="8.7109375" customWidth="1"/>
    <col min="10243" max="10243" width="58.85546875" customWidth="1"/>
    <col min="10244" max="10244" width="6.85546875" customWidth="1"/>
    <col min="10245" max="10245" width="8.42578125" bestFit="1" customWidth="1"/>
    <col min="10246" max="10246" width="11.28515625" bestFit="1" customWidth="1"/>
    <col min="10247" max="10248" width="13.5703125" bestFit="1" customWidth="1"/>
    <col min="10497" max="10497" width="17.42578125" bestFit="1" customWidth="1"/>
    <col min="10498" max="10498" width="8.7109375" customWidth="1"/>
    <col min="10499" max="10499" width="58.85546875" customWidth="1"/>
    <col min="10500" max="10500" width="6.85546875" customWidth="1"/>
    <col min="10501" max="10501" width="8.42578125" bestFit="1" customWidth="1"/>
    <col min="10502" max="10502" width="11.28515625" bestFit="1" customWidth="1"/>
    <col min="10503" max="10504" width="13.5703125" bestFit="1" customWidth="1"/>
    <col min="10753" max="10753" width="17.42578125" bestFit="1" customWidth="1"/>
    <col min="10754" max="10754" width="8.7109375" customWidth="1"/>
    <col min="10755" max="10755" width="58.85546875" customWidth="1"/>
    <col min="10756" max="10756" width="6.85546875" customWidth="1"/>
    <col min="10757" max="10757" width="8.42578125" bestFit="1" customWidth="1"/>
    <col min="10758" max="10758" width="11.28515625" bestFit="1" customWidth="1"/>
    <col min="10759" max="10760" width="13.5703125" bestFit="1" customWidth="1"/>
    <col min="11009" max="11009" width="17.42578125" bestFit="1" customWidth="1"/>
    <col min="11010" max="11010" width="8.7109375" customWidth="1"/>
    <col min="11011" max="11011" width="58.85546875" customWidth="1"/>
    <col min="11012" max="11012" width="6.85546875" customWidth="1"/>
    <col min="11013" max="11013" width="8.42578125" bestFit="1" customWidth="1"/>
    <col min="11014" max="11014" width="11.28515625" bestFit="1" customWidth="1"/>
    <col min="11015" max="11016" width="13.5703125" bestFit="1" customWidth="1"/>
    <col min="11265" max="11265" width="17.42578125" bestFit="1" customWidth="1"/>
    <col min="11266" max="11266" width="8.7109375" customWidth="1"/>
    <col min="11267" max="11267" width="58.85546875" customWidth="1"/>
    <col min="11268" max="11268" width="6.85546875" customWidth="1"/>
    <col min="11269" max="11269" width="8.42578125" bestFit="1" customWidth="1"/>
    <col min="11270" max="11270" width="11.28515625" bestFit="1" customWidth="1"/>
    <col min="11271" max="11272" width="13.5703125" bestFit="1" customWidth="1"/>
    <col min="11521" max="11521" width="17.42578125" bestFit="1" customWidth="1"/>
    <col min="11522" max="11522" width="8.7109375" customWidth="1"/>
    <col min="11523" max="11523" width="58.85546875" customWidth="1"/>
    <col min="11524" max="11524" width="6.85546875" customWidth="1"/>
    <col min="11525" max="11525" width="8.42578125" bestFit="1" customWidth="1"/>
    <col min="11526" max="11526" width="11.28515625" bestFit="1" customWidth="1"/>
    <col min="11527" max="11528" width="13.5703125" bestFit="1" customWidth="1"/>
    <col min="11777" max="11777" width="17.42578125" bestFit="1" customWidth="1"/>
    <col min="11778" max="11778" width="8.7109375" customWidth="1"/>
    <col min="11779" max="11779" width="58.85546875" customWidth="1"/>
    <col min="11780" max="11780" width="6.85546875" customWidth="1"/>
    <col min="11781" max="11781" width="8.42578125" bestFit="1" customWidth="1"/>
    <col min="11782" max="11782" width="11.28515625" bestFit="1" customWidth="1"/>
    <col min="11783" max="11784" width="13.5703125" bestFit="1" customWidth="1"/>
    <col min="12033" max="12033" width="17.42578125" bestFit="1" customWidth="1"/>
    <col min="12034" max="12034" width="8.7109375" customWidth="1"/>
    <col min="12035" max="12035" width="58.85546875" customWidth="1"/>
    <col min="12036" max="12036" width="6.85546875" customWidth="1"/>
    <col min="12037" max="12037" width="8.42578125" bestFit="1" customWidth="1"/>
    <col min="12038" max="12038" width="11.28515625" bestFit="1" customWidth="1"/>
    <col min="12039" max="12040" width="13.5703125" bestFit="1" customWidth="1"/>
    <col min="12289" max="12289" width="17.42578125" bestFit="1" customWidth="1"/>
    <col min="12290" max="12290" width="8.7109375" customWidth="1"/>
    <col min="12291" max="12291" width="58.85546875" customWidth="1"/>
    <col min="12292" max="12292" width="6.85546875" customWidth="1"/>
    <col min="12293" max="12293" width="8.42578125" bestFit="1" customWidth="1"/>
    <col min="12294" max="12294" width="11.28515625" bestFit="1" customWidth="1"/>
    <col min="12295" max="12296" width="13.5703125" bestFit="1" customWidth="1"/>
    <col min="12545" max="12545" width="17.42578125" bestFit="1" customWidth="1"/>
    <col min="12546" max="12546" width="8.7109375" customWidth="1"/>
    <col min="12547" max="12547" width="58.85546875" customWidth="1"/>
    <col min="12548" max="12548" width="6.85546875" customWidth="1"/>
    <col min="12549" max="12549" width="8.42578125" bestFit="1" customWidth="1"/>
    <col min="12550" max="12550" width="11.28515625" bestFit="1" customWidth="1"/>
    <col min="12551" max="12552" width="13.5703125" bestFit="1" customWidth="1"/>
    <col min="12801" max="12801" width="17.42578125" bestFit="1" customWidth="1"/>
    <col min="12802" max="12802" width="8.7109375" customWidth="1"/>
    <col min="12803" max="12803" width="58.85546875" customWidth="1"/>
    <col min="12804" max="12804" width="6.85546875" customWidth="1"/>
    <col min="12805" max="12805" width="8.42578125" bestFit="1" customWidth="1"/>
    <col min="12806" max="12806" width="11.28515625" bestFit="1" customWidth="1"/>
    <col min="12807" max="12808" width="13.5703125" bestFit="1" customWidth="1"/>
    <col min="13057" max="13057" width="17.42578125" bestFit="1" customWidth="1"/>
    <col min="13058" max="13058" width="8.7109375" customWidth="1"/>
    <col min="13059" max="13059" width="58.85546875" customWidth="1"/>
    <col min="13060" max="13060" width="6.85546875" customWidth="1"/>
    <col min="13061" max="13061" width="8.42578125" bestFit="1" customWidth="1"/>
    <col min="13062" max="13062" width="11.28515625" bestFit="1" customWidth="1"/>
    <col min="13063" max="13064" width="13.5703125" bestFit="1" customWidth="1"/>
    <col min="13313" max="13313" width="17.42578125" bestFit="1" customWidth="1"/>
    <col min="13314" max="13314" width="8.7109375" customWidth="1"/>
    <col min="13315" max="13315" width="58.85546875" customWidth="1"/>
    <col min="13316" max="13316" width="6.85546875" customWidth="1"/>
    <col min="13317" max="13317" width="8.42578125" bestFit="1" customWidth="1"/>
    <col min="13318" max="13318" width="11.28515625" bestFit="1" customWidth="1"/>
    <col min="13319" max="13320" width="13.5703125" bestFit="1" customWidth="1"/>
    <col min="13569" max="13569" width="17.42578125" bestFit="1" customWidth="1"/>
    <col min="13570" max="13570" width="8.7109375" customWidth="1"/>
    <col min="13571" max="13571" width="58.85546875" customWidth="1"/>
    <col min="13572" max="13572" width="6.85546875" customWidth="1"/>
    <col min="13573" max="13573" width="8.42578125" bestFit="1" customWidth="1"/>
    <col min="13574" max="13574" width="11.28515625" bestFit="1" customWidth="1"/>
    <col min="13575" max="13576" width="13.5703125" bestFit="1" customWidth="1"/>
    <col min="13825" max="13825" width="17.42578125" bestFit="1" customWidth="1"/>
    <col min="13826" max="13826" width="8.7109375" customWidth="1"/>
    <col min="13827" max="13827" width="58.85546875" customWidth="1"/>
    <col min="13828" max="13828" width="6.85546875" customWidth="1"/>
    <col min="13829" max="13829" width="8.42578125" bestFit="1" customWidth="1"/>
    <col min="13830" max="13830" width="11.28515625" bestFit="1" customWidth="1"/>
    <col min="13831" max="13832" width="13.5703125" bestFit="1" customWidth="1"/>
    <col min="14081" max="14081" width="17.42578125" bestFit="1" customWidth="1"/>
    <col min="14082" max="14082" width="8.7109375" customWidth="1"/>
    <col min="14083" max="14083" width="58.85546875" customWidth="1"/>
    <col min="14084" max="14084" width="6.85546875" customWidth="1"/>
    <col min="14085" max="14085" width="8.42578125" bestFit="1" customWidth="1"/>
    <col min="14086" max="14086" width="11.28515625" bestFit="1" customWidth="1"/>
    <col min="14087" max="14088" width="13.5703125" bestFit="1" customWidth="1"/>
    <col min="14337" max="14337" width="17.42578125" bestFit="1" customWidth="1"/>
    <col min="14338" max="14338" width="8.7109375" customWidth="1"/>
    <col min="14339" max="14339" width="58.85546875" customWidth="1"/>
    <col min="14340" max="14340" width="6.85546875" customWidth="1"/>
    <col min="14341" max="14341" width="8.42578125" bestFit="1" customWidth="1"/>
    <col min="14342" max="14342" width="11.28515625" bestFit="1" customWidth="1"/>
    <col min="14343" max="14344" width="13.5703125" bestFit="1" customWidth="1"/>
    <col min="14593" max="14593" width="17.42578125" bestFit="1" customWidth="1"/>
    <col min="14594" max="14594" width="8.7109375" customWidth="1"/>
    <col min="14595" max="14595" width="58.85546875" customWidth="1"/>
    <col min="14596" max="14596" width="6.85546875" customWidth="1"/>
    <col min="14597" max="14597" width="8.42578125" bestFit="1" customWidth="1"/>
    <col min="14598" max="14598" width="11.28515625" bestFit="1" customWidth="1"/>
    <col min="14599" max="14600" width="13.5703125" bestFit="1" customWidth="1"/>
    <col min="14849" max="14849" width="17.42578125" bestFit="1" customWidth="1"/>
    <col min="14850" max="14850" width="8.7109375" customWidth="1"/>
    <col min="14851" max="14851" width="58.85546875" customWidth="1"/>
    <col min="14852" max="14852" width="6.85546875" customWidth="1"/>
    <col min="14853" max="14853" width="8.42578125" bestFit="1" customWidth="1"/>
    <col min="14854" max="14854" width="11.28515625" bestFit="1" customWidth="1"/>
    <col min="14855" max="14856" width="13.5703125" bestFit="1" customWidth="1"/>
    <col min="15105" max="15105" width="17.42578125" bestFit="1" customWidth="1"/>
    <col min="15106" max="15106" width="8.7109375" customWidth="1"/>
    <col min="15107" max="15107" width="58.85546875" customWidth="1"/>
    <col min="15108" max="15108" width="6.85546875" customWidth="1"/>
    <col min="15109" max="15109" width="8.42578125" bestFit="1" customWidth="1"/>
    <col min="15110" max="15110" width="11.28515625" bestFit="1" customWidth="1"/>
    <col min="15111" max="15112" width="13.5703125" bestFit="1" customWidth="1"/>
    <col min="15361" max="15361" width="17.42578125" bestFit="1" customWidth="1"/>
    <col min="15362" max="15362" width="8.7109375" customWidth="1"/>
    <col min="15363" max="15363" width="58.85546875" customWidth="1"/>
    <col min="15364" max="15364" width="6.85546875" customWidth="1"/>
    <col min="15365" max="15365" width="8.42578125" bestFit="1" customWidth="1"/>
    <col min="15366" max="15366" width="11.28515625" bestFit="1" customWidth="1"/>
    <col min="15367" max="15368" width="13.5703125" bestFit="1" customWidth="1"/>
    <col min="15617" max="15617" width="17.42578125" bestFit="1" customWidth="1"/>
    <col min="15618" max="15618" width="8.7109375" customWidth="1"/>
    <col min="15619" max="15619" width="58.85546875" customWidth="1"/>
    <col min="15620" max="15620" width="6.85546875" customWidth="1"/>
    <col min="15621" max="15621" width="8.42578125" bestFit="1" customWidth="1"/>
    <col min="15622" max="15622" width="11.28515625" bestFit="1" customWidth="1"/>
    <col min="15623" max="15624" width="13.5703125" bestFit="1" customWidth="1"/>
    <col min="15873" max="15873" width="17.42578125" bestFit="1" customWidth="1"/>
    <col min="15874" max="15874" width="8.7109375" customWidth="1"/>
    <col min="15875" max="15875" width="58.85546875" customWidth="1"/>
    <col min="15876" max="15876" width="6.85546875" customWidth="1"/>
    <col min="15877" max="15877" width="8.42578125" bestFit="1" customWidth="1"/>
    <col min="15878" max="15878" width="11.28515625" bestFit="1" customWidth="1"/>
    <col min="15879" max="15880" width="13.5703125" bestFit="1" customWidth="1"/>
    <col min="16129" max="16129" width="17.42578125" bestFit="1" customWidth="1"/>
    <col min="16130" max="16130" width="8.7109375" customWidth="1"/>
    <col min="16131" max="16131" width="58.85546875" customWidth="1"/>
    <col min="16132" max="16132" width="6.85546875" customWidth="1"/>
    <col min="16133" max="16133" width="8.42578125" bestFit="1" customWidth="1"/>
    <col min="16134" max="16134" width="11.28515625" bestFit="1" customWidth="1"/>
    <col min="16135" max="16136" width="13.5703125" bestFit="1" customWidth="1"/>
  </cols>
  <sheetData>
    <row r="1" spans="1:13">
      <c r="A1" s="961"/>
      <c r="B1" s="962"/>
      <c r="C1" s="963" t="s">
        <v>17</v>
      </c>
      <c r="D1" s="963"/>
      <c r="E1" s="963"/>
      <c r="F1" s="963"/>
      <c r="G1" s="963"/>
      <c r="H1" s="963"/>
    </row>
    <row r="2" spans="1:13">
      <c r="A2" s="962"/>
      <c r="B2" s="962"/>
      <c r="C2" s="963"/>
      <c r="D2" s="963"/>
      <c r="E2" s="963"/>
      <c r="F2" s="963"/>
      <c r="G2" s="963"/>
      <c r="H2" s="963"/>
    </row>
    <row r="3" spans="1:13">
      <c r="A3" s="962"/>
      <c r="B3" s="962"/>
      <c r="C3" s="963"/>
      <c r="D3" s="963"/>
      <c r="E3" s="963"/>
      <c r="F3" s="963"/>
      <c r="G3" s="963"/>
      <c r="H3" s="963"/>
    </row>
    <row r="4" spans="1:13">
      <c r="A4" s="962"/>
      <c r="B4" s="962"/>
      <c r="C4" s="963"/>
      <c r="D4" s="963"/>
      <c r="E4" s="963"/>
      <c r="F4" s="963"/>
      <c r="G4" s="963"/>
      <c r="H4" s="963"/>
    </row>
    <row r="5" spans="1:13">
      <c r="A5" s="962"/>
      <c r="B5" s="962"/>
      <c r="C5" s="963"/>
      <c r="D5" s="963"/>
      <c r="E5" s="963"/>
      <c r="F5" s="963"/>
      <c r="G5" s="963"/>
      <c r="H5" s="963"/>
    </row>
    <row r="6" spans="1:13">
      <c r="A6" s="963" t="s">
        <v>80</v>
      </c>
      <c r="B6" s="967"/>
      <c r="C6" s="963" t="s">
        <v>1128</v>
      </c>
      <c r="D6" s="963"/>
      <c r="E6" s="963"/>
      <c r="F6" s="963"/>
      <c r="G6" s="963"/>
      <c r="H6" s="963"/>
    </row>
    <row r="7" spans="1:13">
      <c r="A7" s="967"/>
      <c r="B7" s="967"/>
      <c r="C7" s="963"/>
      <c r="D7" s="963"/>
      <c r="E7" s="963"/>
      <c r="F7" s="963"/>
      <c r="G7" s="963"/>
      <c r="H7" s="963"/>
    </row>
    <row r="8" spans="1:13" ht="15.75" customHeight="1">
      <c r="A8" s="963" t="s">
        <v>1581</v>
      </c>
      <c r="B8" s="963"/>
      <c r="C8" s="963" t="s">
        <v>1032</v>
      </c>
      <c r="D8" s="963"/>
      <c r="E8" s="963"/>
      <c r="F8" s="963"/>
      <c r="G8" s="963"/>
      <c r="H8" s="963"/>
    </row>
    <row r="9" spans="1:13">
      <c r="A9" s="963"/>
      <c r="B9" s="963"/>
      <c r="C9" s="963"/>
      <c r="D9" s="963"/>
      <c r="E9" s="963"/>
      <c r="F9" s="963"/>
      <c r="G9" s="963"/>
      <c r="H9" s="963"/>
    </row>
    <row r="10" spans="1:13" ht="17.25" customHeight="1">
      <c r="A10" s="958" t="s">
        <v>220</v>
      </c>
      <c r="B10" s="958"/>
      <c r="C10" s="621" t="s">
        <v>221</v>
      </c>
      <c r="D10" s="945"/>
      <c r="E10" s="946"/>
      <c r="F10" s="946"/>
      <c r="G10" s="946"/>
      <c r="H10" s="947"/>
    </row>
    <row r="11" spans="1:13">
      <c r="A11" s="964" t="s">
        <v>1127</v>
      </c>
      <c r="B11" s="964"/>
      <c r="C11" s="964"/>
      <c r="D11" s="964"/>
      <c r="E11" s="964"/>
      <c r="F11" s="964"/>
      <c r="G11" s="965" t="s">
        <v>2</v>
      </c>
      <c r="H11" s="966">
        <f>[5]BDI!O29</f>
        <v>0.25215503759149449</v>
      </c>
    </row>
    <row r="12" spans="1:13">
      <c r="A12" s="964" t="s">
        <v>1126</v>
      </c>
      <c r="B12" s="964"/>
      <c r="C12" s="964"/>
      <c r="D12" s="964"/>
      <c r="E12" s="964"/>
      <c r="F12" s="964"/>
      <c r="G12" s="965"/>
      <c r="H12" s="966"/>
    </row>
    <row r="13" spans="1:13">
      <c r="A13" s="968" t="s">
        <v>18</v>
      </c>
      <c r="B13" s="968" t="s">
        <v>19</v>
      </c>
      <c r="C13" s="968" t="s">
        <v>20</v>
      </c>
      <c r="D13" s="972"/>
      <c r="E13" s="972"/>
      <c r="F13" s="972"/>
      <c r="G13" s="972"/>
      <c r="H13" s="972"/>
    </row>
    <row r="14" spans="1:13" ht="12" customHeight="1">
      <c r="A14" s="969"/>
      <c r="B14" s="968"/>
      <c r="C14" s="968"/>
      <c r="D14" s="625" t="s">
        <v>21</v>
      </c>
      <c r="E14" s="2" t="s">
        <v>22</v>
      </c>
      <c r="F14" s="3" t="s">
        <v>23</v>
      </c>
      <c r="G14" s="3" t="s">
        <v>24</v>
      </c>
      <c r="H14" s="3" t="s">
        <v>25</v>
      </c>
    </row>
    <row r="15" spans="1:13" ht="22.5" customHeight="1">
      <c r="A15" s="4"/>
      <c r="B15" s="4" t="s">
        <v>26</v>
      </c>
      <c r="C15" s="305" t="s">
        <v>5</v>
      </c>
      <c r="D15" s="4"/>
      <c r="E15" s="306"/>
      <c r="F15" s="291"/>
      <c r="G15" s="291"/>
      <c r="H15" s="291">
        <f>SUM(H16:H20)</f>
        <v>3085.7572824048702</v>
      </c>
    </row>
    <row r="16" spans="1:13" ht="29.25" customHeight="1">
      <c r="A16" s="639" t="s">
        <v>1084</v>
      </c>
      <c r="B16" s="639" t="s">
        <v>6</v>
      </c>
      <c r="C16" s="310" t="s">
        <v>10</v>
      </c>
      <c r="D16" s="639" t="s">
        <v>7</v>
      </c>
      <c r="E16" s="99">
        <f>'MEMORIA NIVALDO'!L191</f>
        <v>300</v>
      </c>
      <c r="F16" s="32">
        <v>2.73</v>
      </c>
      <c r="G16" s="636">
        <f>F16+F16*$H$11</f>
        <v>3.4183832526247802</v>
      </c>
      <c r="H16" s="32">
        <f>G16*E16</f>
        <v>1025.514975787434</v>
      </c>
      <c r="I16" s="1223" t="s">
        <v>1096</v>
      </c>
      <c r="J16" s="1224"/>
      <c r="K16" s="1224"/>
      <c r="L16" s="1224"/>
      <c r="M16" s="1224"/>
    </row>
    <row r="17" spans="1:13" s="11" customFormat="1" ht="47.25" customHeight="1">
      <c r="A17" s="625" t="s">
        <v>16</v>
      </c>
      <c r="B17" s="639" t="s">
        <v>29</v>
      </c>
      <c r="C17" s="310" t="s">
        <v>27</v>
      </c>
      <c r="D17" s="625" t="s">
        <v>7</v>
      </c>
      <c r="E17" s="99">
        <f>'MEMORIA NIVALDO'!L197</f>
        <v>56</v>
      </c>
      <c r="F17" s="32">
        <v>2.62</v>
      </c>
      <c r="G17" s="624">
        <f t="shared" ref="G17:G63" si="0">F17+F17*$H$11</f>
        <v>3.2806461984897157</v>
      </c>
      <c r="H17" s="32">
        <f>G17*E17</f>
        <v>183.71618711542408</v>
      </c>
      <c r="I17" s="1091" t="s">
        <v>1097</v>
      </c>
      <c r="J17" s="1092"/>
      <c r="K17" s="1092"/>
      <c r="L17" s="1092"/>
      <c r="M17" s="1092"/>
    </row>
    <row r="18" spans="1:13" s="11" customFormat="1" ht="46.5" customHeight="1">
      <c r="A18" s="625" t="s">
        <v>28</v>
      </c>
      <c r="B18" s="639" t="s">
        <v>31</v>
      </c>
      <c r="C18" s="310" t="s">
        <v>8</v>
      </c>
      <c r="D18" s="625" t="s">
        <v>7</v>
      </c>
      <c r="E18" s="99">
        <f>'MEMORIA NIVALDO'!L202</f>
        <v>42</v>
      </c>
      <c r="F18" s="32">
        <v>18.8</v>
      </c>
      <c r="G18" s="624">
        <f t="shared" si="0"/>
        <v>23.540514706720096</v>
      </c>
      <c r="H18" s="32">
        <f>G18*E18</f>
        <v>988.70161768224398</v>
      </c>
      <c r="I18" s="1070" t="s">
        <v>615</v>
      </c>
      <c r="J18" s="1071"/>
      <c r="K18" s="1071"/>
      <c r="L18" s="1071"/>
      <c r="M18" s="1071"/>
    </row>
    <row r="19" spans="1:13" s="11" customFormat="1">
      <c r="A19" s="625" t="str">
        <f>COMPOSIÇÕES!B133</f>
        <v>COMPOSIÇÃO 12</v>
      </c>
      <c r="B19" s="639" t="s">
        <v>79</v>
      </c>
      <c r="C19" s="310" t="str">
        <f>COMPOSIÇÕES!C133</f>
        <v>DEMOLIÇÃO DE FORROS</v>
      </c>
      <c r="D19" s="625" t="s">
        <v>7</v>
      </c>
      <c r="E19" s="99">
        <f>'MEMORIA NIVALDO'!L207</f>
        <v>64</v>
      </c>
      <c r="F19" s="32">
        <f>COMPOSIÇÕES!G139</f>
        <v>3.9748000000000001</v>
      </c>
      <c r="G19" s="624">
        <f t="shared" si="0"/>
        <v>4.9770658434186723</v>
      </c>
      <c r="H19" s="32">
        <f>G19*E19</f>
        <v>318.53221397879503</v>
      </c>
      <c r="I19" s="1097"/>
      <c r="J19" s="1070"/>
      <c r="K19" s="1070"/>
      <c r="L19" s="1070"/>
      <c r="M19" s="623"/>
    </row>
    <row r="20" spans="1:13" s="11" customFormat="1">
      <c r="A20" s="625" t="str">
        <f>COMPOSIÇÕES!B95</f>
        <v>COMPOSIÇÃO 08</v>
      </c>
      <c r="B20" s="639" t="s">
        <v>196</v>
      </c>
      <c r="C20" s="310" t="str">
        <f>COMPOSIÇÕES!C95</f>
        <v>DEMOLIÇAO DE REBOCO</v>
      </c>
      <c r="D20" s="625" t="s">
        <v>7</v>
      </c>
      <c r="E20" s="99">
        <f>'MEMORIA NIVALDO'!L213</f>
        <v>52.5</v>
      </c>
      <c r="F20" s="32">
        <f>COMPOSIÇÕES!G100</f>
        <v>8.66</v>
      </c>
      <c r="G20" s="624">
        <f t="shared" si="0"/>
        <v>10.843662625542343</v>
      </c>
      <c r="H20" s="32">
        <f>G20*E20</f>
        <v>569.29228784097302</v>
      </c>
      <c r="I20" s="1070"/>
      <c r="J20" s="1070"/>
      <c r="K20" s="1070"/>
      <c r="L20" s="1070"/>
      <c r="M20" s="623"/>
    </row>
    <row r="21" spans="1:13" s="11" customFormat="1" ht="16.5" customHeight="1">
      <c r="A21" s="951"/>
      <c r="B21" s="952"/>
      <c r="C21" s="952"/>
      <c r="D21" s="952"/>
      <c r="E21" s="952"/>
      <c r="F21" s="952"/>
      <c r="G21" s="952"/>
      <c r="H21" s="953"/>
      <c r="I21" s="622"/>
      <c r="J21" s="622"/>
      <c r="K21" s="622"/>
      <c r="L21" s="622"/>
      <c r="M21" s="623"/>
    </row>
    <row r="22" spans="1:13" s="11" customFormat="1" ht="17.25" customHeight="1">
      <c r="A22" s="4"/>
      <c r="B22" s="4" t="s">
        <v>32</v>
      </c>
      <c r="C22" s="311" t="s">
        <v>1067</v>
      </c>
      <c r="D22" s="4"/>
      <c r="E22" s="306"/>
      <c r="F22" s="291"/>
      <c r="G22" s="291"/>
      <c r="H22" s="291">
        <f>SUM(H23)</f>
        <v>6493.1663978491915</v>
      </c>
      <c r="I22" s="622"/>
      <c r="J22" s="622"/>
      <c r="K22" s="622"/>
      <c r="L22" s="622"/>
      <c r="M22" s="623"/>
    </row>
    <row r="23" spans="1:13" s="11" customFormat="1">
      <c r="A23" s="625" t="str">
        <f>COMPOSIÇÕES!B542</f>
        <v>COMPOSIÇÃO 22</v>
      </c>
      <c r="B23" s="625" t="s">
        <v>12</v>
      </c>
      <c r="C23" s="310" t="str">
        <f>COMPOSIÇÕES!C542</f>
        <v>RECUPERAÇÃO DE ESTRUTURA</v>
      </c>
      <c r="D23" s="625" t="s">
        <v>7</v>
      </c>
      <c r="E23" s="99">
        <f>'MEMORIA NIVALDO'!L220</f>
        <v>31.5</v>
      </c>
      <c r="F23" s="32">
        <f>COMPOSIÇÕES!G552</f>
        <v>164.62200000000001</v>
      </c>
      <c r="G23" s="624">
        <f t="shared" si="0"/>
        <v>206.13226659838702</v>
      </c>
      <c r="H23" s="32">
        <f>G23*E23</f>
        <v>6493.1663978491915</v>
      </c>
      <c r="I23" s="1097"/>
      <c r="J23" s="1070"/>
      <c r="K23" s="1070"/>
      <c r="L23" s="1070"/>
      <c r="M23" s="623"/>
    </row>
    <row r="24" spans="1:13">
      <c r="A24" s="1090"/>
      <c r="B24" s="1090"/>
      <c r="C24" s="1090"/>
      <c r="D24" s="1090"/>
      <c r="E24" s="1090"/>
      <c r="F24" s="1090"/>
      <c r="G24" s="1090"/>
      <c r="H24" s="1090"/>
      <c r="I24" s="218"/>
      <c r="J24" s="219"/>
      <c r="K24" s="219"/>
      <c r="L24" s="219"/>
      <c r="M24" s="219"/>
    </row>
    <row r="25" spans="1:13">
      <c r="A25" s="4"/>
      <c r="B25" s="4" t="s">
        <v>33</v>
      </c>
      <c r="C25" s="311" t="s">
        <v>34</v>
      </c>
      <c r="D25" s="4"/>
      <c r="E25" s="306"/>
      <c r="F25" s="291"/>
      <c r="G25" s="291"/>
      <c r="H25" s="291">
        <f>SUM(H26:H31)</f>
        <v>132355.46828390448</v>
      </c>
      <c r="I25" s="218"/>
      <c r="J25" s="218"/>
      <c r="K25" s="218"/>
      <c r="L25" s="219"/>
      <c r="M25" s="219"/>
    </row>
    <row r="26" spans="1:13" ht="46.5" customHeight="1">
      <c r="A26" s="270" t="s">
        <v>36</v>
      </c>
      <c r="B26" s="865" t="s">
        <v>14</v>
      </c>
      <c r="C26" s="195" t="str">
        <f>'ESCOLA PASCOAL'!C24</f>
        <v>APLICAÇÃO MANUAL DE PINTURA COM TINTA LÁTEX ACRÍLICA EM PAREDES, DUAS DEMÃOS. AF_06/2014</v>
      </c>
      <c r="D26" s="271" t="s">
        <v>7</v>
      </c>
      <c r="E26" s="34">
        <f>'MEMORIA NIVALDO'!L613</f>
        <v>1348.232</v>
      </c>
      <c r="F26" s="346">
        <v>13.67</v>
      </c>
      <c r="G26" s="273">
        <f t="shared" si="0"/>
        <v>17.116959363875729</v>
      </c>
      <c r="H26" s="346">
        <f t="shared" ref="H26:H31" si="1">G26*E26</f>
        <v>23077.632357076902</v>
      </c>
      <c r="I26" s="1070"/>
      <c r="J26" s="1071"/>
      <c r="K26" s="1071"/>
      <c r="L26" s="1071"/>
      <c r="M26" s="1071"/>
    </row>
    <row r="27" spans="1:13" ht="36.75">
      <c r="A27" s="270" t="s">
        <v>1285</v>
      </c>
      <c r="B27" s="865" t="s">
        <v>35</v>
      </c>
      <c r="C27" s="195" t="s">
        <v>841</v>
      </c>
      <c r="D27" s="271" t="s">
        <v>7</v>
      </c>
      <c r="E27" s="34">
        <f>'MEMORIA NIVALDO'!L644</f>
        <v>1426.4060000000002</v>
      </c>
      <c r="F27" s="346">
        <v>14.26</v>
      </c>
      <c r="G27" s="273">
        <f t="shared" si="0"/>
        <v>17.855730836054711</v>
      </c>
      <c r="H27" s="346">
        <f t="shared" si="1"/>
        <v>25469.521598933461</v>
      </c>
      <c r="I27" s="1070" t="s">
        <v>1104</v>
      </c>
      <c r="J27" s="1071"/>
      <c r="K27" s="1071"/>
      <c r="L27" s="1071"/>
      <c r="M27" s="1071"/>
    </row>
    <row r="28" spans="1:13" ht="36">
      <c r="A28" s="625" t="str">
        <f>COMPOSIÇÕES!B188</f>
        <v>COMPOSIÇÃO 18</v>
      </c>
      <c r="B28" s="865" t="s">
        <v>37</v>
      </c>
      <c r="C28" s="386" t="str">
        <f>COMPOSIÇÕES!C188</f>
        <v>PINTURA DE ACABAMENTO COM APLICAÇÃO DE 02 DEMÃOS DE ESMALTE SOBRE PAREDE (EXTERNO E INTERNO)</v>
      </c>
      <c r="D28" s="13" t="s">
        <v>7</v>
      </c>
      <c r="E28" s="9">
        <f>'MEMORIA NIVALDO'!L676</f>
        <v>2451.7019999999998</v>
      </c>
      <c r="F28" s="32">
        <f>COMPOSIÇÕES!G195</f>
        <v>15.700000000000001</v>
      </c>
      <c r="G28" s="624">
        <f t="shared" si="0"/>
        <v>19.658834090186463</v>
      </c>
      <c r="H28" s="346">
        <f t="shared" si="1"/>
        <v>48197.602856578327</v>
      </c>
      <c r="I28" s="1097" t="s">
        <v>1103</v>
      </c>
      <c r="J28" s="1070"/>
      <c r="K28" s="1070"/>
      <c r="L28" s="1070"/>
      <c r="M28" s="1070"/>
    </row>
    <row r="29" spans="1:13" ht="36.75">
      <c r="A29" s="270" t="str">
        <f>COMPOSIÇÕES!B622</f>
        <v>COMPOSIÇÃO 29</v>
      </c>
      <c r="B29" s="865" t="s">
        <v>39</v>
      </c>
      <c r="C29" s="344" t="str">
        <f>COMPOSIÇÕES!C622</f>
        <v>APLICAÇÃO MECÂNICA DE PINTURA COM TINTA LÁTEX PVA EM TETO, DUAS DEMÃOS</v>
      </c>
      <c r="D29" s="271" t="s">
        <v>7</v>
      </c>
      <c r="E29" s="34">
        <f>'MEMORIA NIVALDO'!L712</f>
        <v>725.7120000000001</v>
      </c>
      <c r="F29" s="346">
        <f>COMPOSIÇÕES!G630</f>
        <v>10.499575999999999</v>
      </c>
      <c r="G29" s="273">
        <f t="shared" si="0"/>
        <v>13.147096980974752</v>
      </c>
      <c r="H29" s="346">
        <f t="shared" si="1"/>
        <v>9541.0060442571503</v>
      </c>
      <c r="I29" s="1070"/>
      <c r="J29" s="1071"/>
      <c r="K29" s="1071"/>
      <c r="L29" s="1071"/>
      <c r="M29" s="1071"/>
    </row>
    <row r="30" spans="1:13" ht="30" customHeight="1">
      <c r="A30" s="270" t="str">
        <f>COMPOSIÇÕES!B74</f>
        <v>COMPOSIÇÃO 07</v>
      </c>
      <c r="B30" s="865" t="s">
        <v>627</v>
      </c>
      <c r="C30" s="910" t="str">
        <f>COMPOSIÇÕES!C74</f>
        <v>PREPARO DE SUPERFICIE COM LIXAMENO DE PAREDES E TETOS</v>
      </c>
      <c r="D30" s="271" t="s">
        <v>7</v>
      </c>
      <c r="E30" s="34">
        <f>SUM(E26:E29)</f>
        <v>5952.0520000000006</v>
      </c>
      <c r="F30" s="346">
        <f>COMPOSIÇÕES!G80</f>
        <v>3.2896000000000005</v>
      </c>
      <c r="G30" s="273">
        <f t="shared" si="0"/>
        <v>4.119089211660981</v>
      </c>
      <c r="H30" s="346">
        <f t="shared" si="1"/>
        <v>24517.033180445167</v>
      </c>
      <c r="I30" s="1070"/>
      <c r="J30" s="1070"/>
      <c r="K30" s="1070"/>
      <c r="L30" s="1070"/>
      <c r="M30" s="1070"/>
    </row>
    <row r="31" spans="1:13" ht="54" customHeight="1">
      <c r="A31" s="270" t="s">
        <v>618</v>
      </c>
      <c r="B31" s="865" t="s">
        <v>639</v>
      </c>
      <c r="C31" s="231" t="s">
        <v>619</v>
      </c>
      <c r="D31" s="271" t="s">
        <v>7</v>
      </c>
      <c r="E31" s="34">
        <v>100</v>
      </c>
      <c r="F31" s="346">
        <v>12.4</v>
      </c>
      <c r="G31" s="273">
        <f t="shared" si="0"/>
        <v>15.526722466134533</v>
      </c>
      <c r="H31" s="346">
        <f t="shared" si="1"/>
        <v>1552.6722466134534</v>
      </c>
      <c r="I31" s="622"/>
      <c r="J31" s="622"/>
      <c r="K31" s="622"/>
      <c r="L31" s="622"/>
      <c r="M31" s="622"/>
    </row>
    <row r="32" spans="1:13">
      <c r="A32" s="968"/>
      <c r="B32" s="968"/>
      <c r="C32" s="968"/>
      <c r="D32" s="968"/>
      <c r="E32" s="968"/>
      <c r="F32" s="968"/>
      <c r="G32" s="968"/>
      <c r="H32" s="968"/>
      <c r="I32" s="218"/>
      <c r="J32" s="218"/>
      <c r="K32" s="218"/>
      <c r="L32" s="219"/>
      <c r="M32" s="219"/>
    </row>
    <row r="33" spans="1:13">
      <c r="A33" s="4"/>
      <c r="B33" s="4" t="s">
        <v>42</v>
      </c>
      <c r="C33" s="311" t="s">
        <v>43</v>
      </c>
      <c r="D33" s="4"/>
      <c r="E33" s="306"/>
      <c r="F33" s="291"/>
      <c r="G33" s="291"/>
      <c r="H33" s="291">
        <f>SUM(H34:H36)</f>
        <v>6622.197218007881</v>
      </c>
      <c r="I33" s="218"/>
      <c r="J33" s="218"/>
      <c r="K33" s="218"/>
      <c r="L33" s="219"/>
      <c r="M33" s="219"/>
    </row>
    <row r="34" spans="1:13" s="11" customFormat="1" ht="71.25" customHeight="1">
      <c r="A34" s="625" t="s">
        <v>44</v>
      </c>
      <c r="B34" s="625" t="s">
        <v>45</v>
      </c>
      <c r="C34" s="344" t="s">
        <v>915</v>
      </c>
      <c r="D34" s="13" t="s">
        <v>7</v>
      </c>
      <c r="E34" s="31">
        <f>'MEMORIA NIVALDO'!L750</f>
        <v>56</v>
      </c>
      <c r="F34" s="32">
        <v>3.85</v>
      </c>
      <c r="G34" s="624">
        <f t="shared" si="0"/>
        <v>4.8207968947272537</v>
      </c>
      <c r="H34" s="32">
        <f>E34*G34</f>
        <v>269.96462610472622</v>
      </c>
      <c r="I34" s="1091"/>
      <c r="J34" s="1091"/>
      <c r="K34" s="1091"/>
      <c r="L34" s="1091"/>
      <c r="M34" s="218"/>
    </row>
    <row r="35" spans="1:13" s="11" customFormat="1" ht="87" customHeight="1">
      <c r="A35" s="625" t="s">
        <v>47</v>
      </c>
      <c r="B35" s="625" t="s">
        <v>198</v>
      </c>
      <c r="C35" s="310" t="s">
        <v>48</v>
      </c>
      <c r="D35" s="13" t="s">
        <v>7</v>
      </c>
      <c r="E35" s="31">
        <f>'MEMORIA NIVALDO'!L755</f>
        <v>56</v>
      </c>
      <c r="F35" s="32">
        <v>32.93</v>
      </c>
      <c r="G35" s="624">
        <f t="shared" si="0"/>
        <v>41.233465387887911</v>
      </c>
      <c r="H35" s="32">
        <f>E35*G35</f>
        <v>2309.074061721723</v>
      </c>
      <c r="I35" s="1091"/>
      <c r="J35" s="1091"/>
      <c r="K35" s="1091"/>
      <c r="L35" s="1091"/>
      <c r="M35" s="218"/>
    </row>
    <row r="36" spans="1:13" s="11" customFormat="1" ht="76.5" customHeight="1">
      <c r="A36" s="625" t="s">
        <v>49</v>
      </c>
      <c r="B36" s="625" t="s">
        <v>50</v>
      </c>
      <c r="C36" s="310" t="s">
        <v>51</v>
      </c>
      <c r="D36" s="13" t="s">
        <v>30</v>
      </c>
      <c r="E36" s="31">
        <f>'MEMORIA NIVALDO'!L760</f>
        <v>42</v>
      </c>
      <c r="F36" s="32">
        <v>76.88</v>
      </c>
      <c r="G36" s="624">
        <f t="shared" si="0"/>
        <v>96.265679290034086</v>
      </c>
      <c r="H36" s="32">
        <f>E36*G36</f>
        <v>4043.1585301814316</v>
      </c>
      <c r="I36" s="1091"/>
      <c r="J36" s="1091"/>
      <c r="K36" s="1091"/>
      <c r="L36" s="1091"/>
      <c r="M36" s="218"/>
    </row>
    <row r="37" spans="1:13">
      <c r="A37" s="1090"/>
      <c r="B37" s="1090"/>
      <c r="C37" s="1090"/>
      <c r="D37" s="1090"/>
      <c r="E37" s="1090"/>
      <c r="F37" s="1090"/>
      <c r="G37" s="1090"/>
      <c r="H37" s="1090"/>
      <c r="I37" s="218"/>
      <c r="J37" s="218"/>
      <c r="K37" s="218"/>
      <c r="L37" s="219"/>
      <c r="M37" s="219"/>
    </row>
    <row r="38" spans="1:13">
      <c r="A38" s="4"/>
      <c r="B38" s="4" t="s">
        <v>52</v>
      </c>
      <c r="C38" s="311" t="s">
        <v>53</v>
      </c>
      <c r="D38" s="4"/>
      <c r="E38" s="306"/>
      <c r="F38" s="291"/>
      <c r="G38" s="291"/>
      <c r="H38" s="291">
        <f>SUM(H39:H46)</f>
        <v>18303.835852978667</v>
      </c>
      <c r="I38" s="218"/>
      <c r="J38" s="218"/>
      <c r="K38" s="218"/>
      <c r="L38" s="219"/>
      <c r="M38" s="219"/>
    </row>
    <row r="39" spans="1:13" ht="60">
      <c r="A39" s="625" t="str">
        <f>COMPOSIÇÕES!B24</f>
        <v>COMPOSIÇÃO 03</v>
      </c>
      <c r="B39" s="625" t="s">
        <v>54</v>
      </c>
      <c r="C39" s="310" t="str">
        <f>COMPOSIÇÕES!C24</f>
        <v>FORNECIMENTO E ASSENTAMENTO DE FERROLHO / FECHO CHATO, DE SOBREPOR, EM FERRO ZINCADO, REFORCADO, 6", COM PORTA CADEADO, PARA PORTAO, PORTA E JANELA</v>
      </c>
      <c r="D39" s="13" t="s">
        <v>21</v>
      </c>
      <c r="E39" s="31">
        <f>'MEMORIA NIVALDO'!L768</f>
        <v>30</v>
      </c>
      <c r="F39" s="314">
        <f>COMPOSIÇÕES!G30</f>
        <v>18.646000000000001</v>
      </c>
      <c r="G39" s="33">
        <f>F39+F39*$H$11</f>
        <v>23.347682830931006</v>
      </c>
      <c r="H39" s="32">
        <f t="shared" ref="H39:H46" si="2">E39*G39</f>
        <v>700.43048492793014</v>
      </c>
      <c r="I39" s="1070"/>
      <c r="J39" s="1071"/>
      <c r="K39" s="1071"/>
      <c r="L39" s="1071"/>
      <c r="M39" s="219"/>
    </row>
    <row r="40" spans="1:13" ht="84">
      <c r="A40" s="639" t="s">
        <v>1085</v>
      </c>
      <c r="B40" s="639" t="s">
        <v>55</v>
      </c>
      <c r="C40" s="310" t="s">
        <v>1086</v>
      </c>
      <c r="D40" s="13" t="s">
        <v>7</v>
      </c>
      <c r="E40" s="31">
        <f>'MEMORIA NIVALDO'!L773</f>
        <v>4.5</v>
      </c>
      <c r="F40" s="314">
        <v>306.13</v>
      </c>
      <c r="G40" s="33">
        <f>F40+F40*$H$11</f>
        <v>383.3222216578842</v>
      </c>
      <c r="H40" s="32">
        <f t="shared" si="2"/>
        <v>1724.9499974604789</v>
      </c>
      <c r="I40" s="634"/>
      <c r="J40" s="635"/>
      <c r="K40" s="635"/>
      <c r="L40" s="635"/>
      <c r="M40" s="219"/>
    </row>
    <row r="41" spans="1:13" ht="24">
      <c r="A41" s="639" t="str">
        <f>COMPOSIÇÕES!B555</f>
        <v xml:space="preserve">COMPOSIÇÃO 23 </v>
      </c>
      <c r="B41" s="639" t="s">
        <v>85</v>
      </c>
      <c r="C41" s="310" t="str">
        <f>COMPOSIÇÕES!C555</f>
        <v>PORTA EM MADEIRA SEMI-OCA(LEVE OU MEDIA) 100X210CM</v>
      </c>
      <c r="D41" s="13" t="s">
        <v>21</v>
      </c>
      <c r="E41" s="31">
        <v>2</v>
      </c>
      <c r="F41" s="314">
        <f>COMPOSIÇÕES!G564</f>
        <v>330.10102000000001</v>
      </c>
      <c r="G41" s="33">
        <f>F41+F41*$H$11</f>
        <v>413.33765510709065</v>
      </c>
      <c r="H41" s="32">
        <f t="shared" si="2"/>
        <v>826.67531021418131</v>
      </c>
      <c r="I41" s="634"/>
      <c r="J41" s="635"/>
      <c r="K41" s="635"/>
      <c r="L41" s="635"/>
      <c r="M41" s="219"/>
    </row>
    <row r="42" spans="1:13" ht="60">
      <c r="A42" s="639" t="s">
        <v>1075</v>
      </c>
      <c r="B42" s="639" t="s">
        <v>200</v>
      </c>
      <c r="C42" s="310" t="s">
        <v>1076</v>
      </c>
      <c r="D42" s="13" t="s">
        <v>21</v>
      </c>
      <c r="E42" s="31">
        <v>2</v>
      </c>
      <c r="F42" s="314">
        <v>323</v>
      </c>
      <c r="G42" s="33">
        <f>F42+F42*$H$11</f>
        <v>404.44607714205273</v>
      </c>
      <c r="H42" s="32">
        <f t="shared" si="2"/>
        <v>808.89215428410546</v>
      </c>
      <c r="I42" s="634"/>
      <c r="J42" s="635"/>
      <c r="K42" s="635"/>
      <c r="L42" s="635"/>
      <c r="M42" s="219"/>
    </row>
    <row r="43" spans="1:13" s="11" customFormat="1" ht="66" customHeight="1">
      <c r="A43" s="625" t="s">
        <v>87</v>
      </c>
      <c r="B43" s="639" t="s">
        <v>536</v>
      </c>
      <c r="C43" s="258" t="s">
        <v>88</v>
      </c>
      <c r="D43" s="13" t="s">
        <v>21</v>
      </c>
      <c r="E43" s="31">
        <v>20</v>
      </c>
      <c r="F43" s="314">
        <v>267.08</v>
      </c>
      <c r="G43" s="33">
        <f t="shared" si="0"/>
        <v>334.42556743993634</v>
      </c>
      <c r="H43" s="32">
        <f t="shared" si="2"/>
        <v>6688.5113487987273</v>
      </c>
      <c r="I43" s="1098"/>
      <c r="J43" s="1099"/>
      <c r="K43" s="1099"/>
      <c r="L43" s="1099"/>
      <c r="M43" s="218"/>
    </row>
    <row r="44" spans="1:13" s="11" customFormat="1" ht="66" customHeight="1">
      <c r="A44" s="639" t="s">
        <v>1294</v>
      </c>
      <c r="B44" s="639" t="s">
        <v>432</v>
      </c>
      <c r="C44" s="258" t="s">
        <v>1074</v>
      </c>
      <c r="D44" s="13" t="s">
        <v>21</v>
      </c>
      <c r="E44" s="31">
        <v>5</v>
      </c>
      <c r="F44" s="314">
        <v>259.56</v>
      </c>
      <c r="G44" s="33">
        <f t="shared" si="0"/>
        <v>325.00936155724833</v>
      </c>
      <c r="H44" s="32">
        <f t="shared" si="2"/>
        <v>1625.0468077862415</v>
      </c>
      <c r="I44" s="637"/>
      <c r="J44" s="638"/>
      <c r="K44" s="638"/>
      <c r="L44" s="638"/>
      <c r="M44" s="218"/>
    </row>
    <row r="45" spans="1:13" s="14" customFormat="1" ht="22.5" customHeight="1">
      <c r="A45" s="38" t="str">
        <f>COMPOSIÇÕES!B59</f>
        <v>COMPOSIÇÃO 06</v>
      </c>
      <c r="B45" s="639" t="s">
        <v>741</v>
      </c>
      <c r="C45" s="312" t="str">
        <f>COMPOSIÇÕES!C59</f>
        <v>REVISÃO DE ESQUADRIA DE MADEIRA</v>
      </c>
      <c r="D45" s="625" t="s">
        <v>30</v>
      </c>
      <c r="E45" s="34">
        <f>'MEMORIA NIVALDO'!L802</f>
        <v>42</v>
      </c>
      <c r="F45" s="32">
        <f>COMPOSIÇÕES!G70</f>
        <v>52.650000000000006</v>
      </c>
      <c r="G45" s="624">
        <f t="shared" si="0"/>
        <v>65.925962729192193</v>
      </c>
      <c r="H45" s="32">
        <f t="shared" si="2"/>
        <v>2768.890434626072</v>
      </c>
      <c r="I45" s="1068"/>
      <c r="J45" s="1069"/>
      <c r="K45" s="1069"/>
      <c r="L45" s="1069"/>
      <c r="M45" s="219"/>
    </row>
    <row r="46" spans="1:13" s="14" customFormat="1" ht="69" customHeight="1">
      <c r="A46" s="216" t="s">
        <v>433</v>
      </c>
      <c r="B46" s="639" t="s">
        <v>1083</v>
      </c>
      <c r="C46" s="258" t="s">
        <v>434</v>
      </c>
      <c r="D46" s="625" t="s">
        <v>21</v>
      </c>
      <c r="E46" s="34">
        <f>'MEMORIA NIVALDO'!L807</f>
        <v>20</v>
      </c>
      <c r="F46" s="32">
        <v>126.2</v>
      </c>
      <c r="G46" s="624">
        <f t="shared" si="0"/>
        <v>158.02196574404661</v>
      </c>
      <c r="H46" s="32">
        <f t="shared" si="2"/>
        <v>3160.4393148809322</v>
      </c>
      <c r="I46" s="1070"/>
      <c r="J46" s="1070"/>
      <c r="K46" s="1070"/>
      <c r="L46" s="1070"/>
      <c r="M46" s="219"/>
    </row>
    <row r="47" spans="1:13">
      <c r="A47" s="948"/>
      <c r="B47" s="949"/>
      <c r="C47" s="949"/>
      <c r="D47" s="949"/>
      <c r="E47" s="949"/>
      <c r="F47" s="949"/>
      <c r="G47" s="949"/>
      <c r="H47" s="950"/>
      <c r="I47" s="218"/>
      <c r="J47" s="218"/>
      <c r="K47" s="218"/>
      <c r="L47" s="219"/>
      <c r="M47" s="219"/>
    </row>
    <row r="48" spans="1:13">
      <c r="A48" s="4"/>
      <c r="B48" s="4" t="s">
        <v>56</v>
      </c>
      <c r="C48" s="311" t="s">
        <v>57</v>
      </c>
      <c r="D48" s="4"/>
      <c r="E48" s="306"/>
      <c r="F48" s="291"/>
      <c r="G48" s="291"/>
      <c r="H48" s="291">
        <f>SUM(H49:H51)</f>
        <v>49754.155030791262</v>
      </c>
      <c r="I48" s="218"/>
      <c r="J48" s="218"/>
      <c r="K48" s="218"/>
      <c r="L48" s="219"/>
      <c r="M48" s="219"/>
    </row>
    <row r="49" spans="1:13" ht="48">
      <c r="A49" s="625" t="s">
        <v>481</v>
      </c>
      <c r="B49" s="625" t="s">
        <v>59</v>
      </c>
      <c r="C49" s="258" t="s">
        <v>483</v>
      </c>
      <c r="D49" s="13" t="s">
        <v>7</v>
      </c>
      <c r="E49" s="31">
        <f>'MEMORIA NIVALDO'!L814</f>
        <v>64</v>
      </c>
      <c r="F49" s="32">
        <v>68.97</v>
      </c>
      <c r="G49" s="624">
        <f t="shared" si="0"/>
        <v>86.361132942685373</v>
      </c>
      <c r="H49" s="32">
        <f>E49*G49</f>
        <v>5527.1125083318639</v>
      </c>
      <c r="I49" s="1097"/>
      <c r="J49" s="1071"/>
      <c r="K49" s="1071"/>
      <c r="L49" s="1071"/>
      <c r="M49" s="387"/>
    </row>
    <row r="50" spans="1:13">
      <c r="A50" s="665" t="str">
        <f>COMPOSIÇÕES!B579</f>
        <v>COMPOSIÇÃO 25</v>
      </c>
      <c r="B50" s="665" t="s">
        <v>61</v>
      </c>
      <c r="C50" s="258" t="str">
        <f>COMPOSIÇÕES!C579</f>
        <v>MANTA PARA SUBCOBERTURA</v>
      </c>
      <c r="D50" s="13" t="s">
        <v>7</v>
      </c>
      <c r="E50" s="31">
        <f>'MEMORIA NIVALDO'!L819</f>
        <v>30</v>
      </c>
      <c r="F50" s="32">
        <f>COMPOSIÇÕES!G587</f>
        <v>121.938</v>
      </c>
      <c r="G50" s="653">
        <f>F50+F50*$H$11</f>
        <v>152.68528097383165</v>
      </c>
      <c r="H50" s="32">
        <f>E50*G50</f>
        <v>4580.5584292149497</v>
      </c>
      <c r="I50" s="651"/>
      <c r="J50" s="652"/>
      <c r="K50" s="652"/>
      <c r="L50" s="652"/>
      <c r="M50" s="387"/>
    </row>
    <row r="51" spans="1:13" s="11" customFormat="1" ht="36">
      <c r="A51" s="625" t="s">
        <v>58</v>
      </c>
      <c r="B51" s="665" t="s">
        <v>469</v>
      </c>
      <c r="C51" s="310" t="s">
        <v>60</v>
      </c>
      <c r="D51" s="13" t="s">
        <v>7</v>
      </c>
      <c r="E51" s="31">
        <v>1868</v>
      </c>
      <c r="F51" s="32">
        <v>16.95</v>
      </c>
      <c r="G51" s="624">
        <f t="shared" si="0"/>
        <v>21.224027887175829</v>
      </c>
      <c r="H51" s="32">
        <f>E51*G51</f>
        <v>39646.484093244449</v>
      </c>
      <c r="I51" s="1070"/>
      <c r="J51" s="1071"/>
      <c r="K51" s="1071"/>
      <c r="L51" s="1071"/>
      <c r="M51" s="1071"/>
    </row>
    <row r="52" spans="1:13">
      <c r="A52" s="948"/>
      <c r="B52" s="949"/>
      <c r="C52" s="949"/>
      <c r="D52" s="949"/>
      <c r="E52" s="949"/>
      <c r="F52" s="949"/>
      <c r="G52" s="949"/>
      <c r="H52" s="950"/>
      <c r="I52" s="218"/>
      <c r="J52" s="218"/>
      <c r="K52" s="218"/>
      <c r="L52" s="219"/>
      <c r="M52" s="219"/>
    </row>
    <row r="53" spans="1:13" ht="23.25" customHeight="1">
      <c r="A53" s="4"/>
      <c r="B53" s="4" t="s">
        <v>62</v>
      </c>
      <c r="C53" s="311" t="s">
        <v>63</v>
      </c>
      <c r="D53" s="4"/>
      <c r="E53" s="306"/>
      <c r="F53" s="291"/>
      <c r="G53" s="291"/>
      <c r="H53" s="291">
        <f>SUM(H54:H58)</f>
        <v>4619.0061000752048</v>
      </c>
      <c r="I53" s="218"/>
      <c r="J53" s="218"/>
      <c r="K53" s="218"/>
      <c r="L53" s="219"/>
      <c r="M53" s="219"/>
    </row>
    <row r="54" spans="1:13" ht="82.5" customHeight="1">
      <c r="A54" s="216" t="s">
        <v>484</v>
      </c>
      <c r="B54" s="15" t="s">
        <v>64</v>
      </c>
      <c r="C54" s="258" t="s">
        <v>486</v>
      </c>
      <c r="D54" s="16" t="s">
        <v>77</v>
      </c>
      <c r="E54" s="308">
        <f>'MEMORIA NIVALDO'!L832</f>
        <v>15</v>
      </c>
      <c r="F54" s="32">
        <v>61.45</v>
      </c>
      <c r="G54" s="624">
        <f t="shared" si="0"/>
        <v>76.94492705999734</v>
      </c>
      <c r="H54" s="32">
        <f>E54*G54</f>
        <v>1154.1739058999601</v>
      </c>
      <c r="I54" s="1070"/>
      <c r="J54" s="1071"/>
      <c r="K54" s="1071"/>
      <c r="L54" s="1071"/>
      <c r="M54" s="219"/>
    </row>
    <row r="55" spans="1:13" ht="24">
      <c r="A55" s="216" t="str">
        <f>COMPOSIÇÕES!B567</f>
        <v>COMPOSIÇÃO 24</v>
      </c>
      <c r="B55" s="15" t="s">
        <v>101</v>
      </c>
      <c r="C55" s="258" t="str">
        <f>COMPOSIÇÕES!C567</f>
        <v>TUBO DE PVC RIGIDO P/ SAIDA DE ÁGUA 50MM</v>
      </c>
      <c r="D55" s="16" t="s">
        <v>77</v>
      </c>
      <c r="E55" s="308">
        <f>'MEMORIA NIVALDO'!L837</f>
        <v>20</v>
      </c>
      <c r="F55" s="32">
        <f>COMPOSIÇÕES!G576</f>
        <v>21.667100000000001</v>
      </c>
      <c r="G55" s="636">
        <f>F55+F55*$H$11</f>
        <v>27.13056841499867</v>
      </c>
      <c r="H55" s="32">
        <f t="shared" ref="H55:H58" si="3">E55*G55</f>
        <v>542.61136829997338</v>
      </c>
      <c r="I55" s="634"/>
      <c r="J55" s="635"/>
      <c r="K55" s="635"/>
      <c r="L55" s="635"/>
      <c r="M55" s="219"/>
    </row>
    <row r="56" spans="1:13" ht="39.75" customHeight="1">
      <c r="A56" s="625" t="s">
        <v>468</v>
      </c>
      <c r="B56" s="15" t="s">
        <v>429</v>
      </c>
      <c r="C56" s="310" t="s">
        <v>470</v>
      </c>
      <c r="D56" s="16" t="s">
        <v>21</v>
      </c>
      <c r="E56" s="308">
        <f>'MEMORIA NIVALDO'!L842</f>
        <v>30</v>
      </c>
      <c r="F56" s="32">
        <v>12.25</v>
      </c>
      <c r="G56" s="624">
        <f t="shared" si="0"/>
        <v>15.338899210495807</v>
      </c>
      <c r="H56" s="32">
        <f t="shared" si="3"/>
        <v>460.1669763148742</v>
      </c>
      <c r="I56" s="1070"/>
      <c r="J56" s="1071"/>
      <c r="K56" s="1071"/>
      <c r="L56" s="1071"/>
      <c r="M56" s="219"/>
    </row>
    <row r="57" spans="1:13" s="11" customFormat="1" ht="19.5" customHeight="1">
      <c r="A57" s="38" t="str">
        <f>COMPOSIÇÕES!B32</f>
        <v>COMPOSIÇÃO 04</v>
      </c>
      <c r="B57" s="15" t="s">
        <v>546</v>
      </c>
      <c r="C57" s="258" t="str">
        <f>COMPOSIÇÕES!C32</f>
        <v>REVISÃO DE PONTO DE ESGOTO</v>
      </c>
      <c r="D57" s="16" t="s">
        <v>21</v>
      </c>
      <c r="E57" s="308">
        <f>'MEMORIA NIVALDO'!L847</f>
        <v>20</v>
      </c>
      <c r="F57" s="32">
        <f>COMPOSIÇÕES!G41</f>
        <v>35.792659999999998</v>
      </c>
      <c r="G57" s="624">
        <f t="shared" si="0"/>
        <v>44.81795952779958</v>
      </c>
      <c r="H57" s="32">
        <f t="shared" si="3"/>
        <v>896.35919055599163</v>
      </c>
      <c r="I57" s="1070"/>
      <c r="J57" s="1071"/>
      <c r="K57" s="1071"/>
      <c r="L57" s="1071"/>
      <c r="M57" s="218"/>
    </row>
    <row r="58" spans="1:13" s="11" customFormat="1" ht="58.5" customHeight="1">
      <c r="A58" s="625" t="s">
        <v>430</v>
      </c>
      <c r="B58" s="15" t="s">
        <v>547</v>
      </c>
      <c r="C58" s="258" t="s">
        <v>431</v>
      </c>
      <c r="D58" s="16" t="s">
        <v>21</v>
      </c>
      <c r="E58" s="308">
        <f>'MEMORIA NIVALDO'!L852</f>
        <v>20</v>
      </c>
      <c r="F58" s="32">
        <v>62.52</v>
      </c>
      <c r="G58" s="624">
        <f t="shared" si="0"/>
        <v>78.284732950220246</v>
      </c>
      <c r="H58" s="32">
        <f t="shared" si="3"/>
        <v>1565.6946590044049</v>
      </c>
      <c r="I58" s="1070"/>
      <c r="J58" s="1071"/>
      <c r="K58" s="1071"/>
      <c r="L58" s="1071"/>
      <c r="M58" s="218"/>
    </row>
    <row r="59" spans="1:13" s="11" customFormat="1">
      <c r="A59" s="948"/>
      <c r="B59" s="949"/>
      <c r="C59" s="949"/>
      <c r="D59" s="949"/>
      <c r="E59" s="949"/>
      <c r="F59" s="949"/>
      <c r="G59" s="949"/>
      <c r="H59" s="950"/>
      <c r="I59" s="218"/>
      <c r="J59" s="218"/>
      <c r="K59" s="218"/>
      <c r="L59" s="218"/>
      <c r="M59" s="218"/>
    </row>
    <row r="60" spans="1:13" s="11" customFormat="1" ht="35.25" customHeight="1">
      <c r="A60" s="4"/>
      <c r="B60" s="4" t="s">
        <v>65</v>
      </c>
      <c r="C60" s="311" t="s">
        <v>66</v>
      </c>
      <c r="D60" s="4"/>
      <c r="E60" s="306"/>
      <c r="F60" s="291"/>
      <c r="G60" s="194"/>
      <c r="H60" s="291">
        <f>SUM(H61:H63)</f>
        <v>9963.0219876042429</v>
      </c>
      <c r="I60" s="218"/>
      <c r="J60" s="218"/>
      <c r="K60" s="218"/>
      <c r="L60" s="218"/>
      <c r="M60" s="218"/>
    </row>
    <row r="61" spans="1:13" ht="55.5" customHeight="1">
      <c r="A61" s="216" t="s">
        <v>427</v>
      </c>
      <c r="B61" s="15" t="s">
        <v>202</v>
      </c>
      <c r="C61" s="258" t="s">
        <v>428</v>
      </c>
      <c r="D61" s="16" t="s">
        <v>21</v>
      </c>
      <c r="E61" s="308">
        <f>'MEMORIA NIVALDO'!L859</f>
        <v>5</v>
      </c>
      <c r="F61" s="32">
        <v>21.14</v>
      </c>
      <c r="G61" s="624">
        <f t="shared" si="0"/>
        <v>26.470557494684194</v>
      </c>
      <c r="H61" s="32">
        <f>E61*G61</f>
        <v>132.35278747342096</v>
      </c>
      <c r="I61" s="1070"/>
      <c r="J61" s="1071"/>
      <c r="K61" s="1071"/>
      <c r="L61" s="1071"/>
      <c r="M61" s="219"/>
    </row>
    <row r="62" spans="1:13" ht="55.5" customHeight="1">
      <c r="A62" s="665" t="s">
        <v>70</v>
      </c>
      <c r="B62" s="15" t="s">
        <v>202</v>
      </c>
      <c r="C62" s="8" t="s">
        <v>71</v>
      </c>
      <c r="D62" s="16" t="s">
        <v>21</v>
      </c>
      <c r="E62" s="308">
        <f>'MEMORIA NIVALDO'!L864</f>
        <v>150</v>
      </c>
      <c r="F62" s="10">
        <v>18.54</v>
      </c>
      <c r="G62" s="653">
        <f t="shared" si="0"/>
        <v>23.214954396946307</v>
      </c>
      <c r="H62" s="32">
        <f>E62*G62</f>
        <v>3482.2431595419462</v>
      </c>
      <c r="I62" s="651"/>
      <c r="J62" s="652"/>
      <c r="K62" s="652"/>
      <c r="L62" s="652"/>
      <c r="M62" s="219"/>
    </row>
    <row r="63" spans="1:13" ht="52.5" customHeight="1">
      <c r="A63" s="625" t="s">
        <v>423</v>
      </c>
      <c r="B63" s="15" t="s">
        <v>525</v>
      </c>
      <c r="C63" s="258" t="s">
        <v>424</v>
      </c>
      <c r="D63" s="13" t="s">
        <v>21</v>
      </c>
      <c r="E63" s="309">
        <v>150</v>
      </c>
      <c r="F63" s="32">
        <v>33.799999999999997</v>
      </c>
      <c r="G63" s="624">
        <f t="shared" si="0"/>
        <v>42.322840270592508</v>
      </c>
      <c r="H63" s="32">
        <f>E63*G63</f>
        <v>6348.4260405888763</v>
      </c>
      <c r="I63" s="1070"/>
      <c r="J63" s="1071"/>
      <c r="K63" s="1071"/>
      <c r="L63" s="1071"/>
      <c r="M63" s="219"/>
    </row>
    <row r="64" spans="1:13" ht="12.75" customHeight="1">
      <c r="A64" s="951"/>
      <c r="B64" s="952"/>
      <c r="C64" s="952"/>
      <c r="D64" s="952"/>
      <c r="E64" s="952"/>
      <c r="F64" s="952"/>
      <c r="G64" s="952"/>
      <c r="H64" s="953"/>
      <c r="I64" s="622"/>
      <c r="J64" s="622"/>
      <c r="K64" s="622"/>
      <c r="L64" s="622"/>
      <c r="M64" s="219"/>
    </row>
    <row r="65" spans="1:13" ht="23.25" customHeight="1">
      <c r="A65" s="4"/>
      <c r="B65" s="4" t="s">
        <v>72</v>
      </c>
      <c r="C65" s="311" t="s">
        <v>616</v>
      </c>
      <c r="D65" s="4"/>
      <c r="E65" s="306"/>
      <c r="F65" s="291"/>
      <c r="G65" s="291"/>
      <c r="H65" s="291">
        <f>SUM(H66:H66)</f>
        <v>3499.7733300682271</v>
      </c>
      <c r="I65" s="622"/>
      <c r="J65" s="622"/>
      <c r="K65" s="622"/>
      <c r="L65" s="622"/>
      <c r="M65" s="219"/>
    </row>
    <row r="66" spans="1:13" ht="55.5" customHeight="1">
      <c r="A66" s="625" t="s">
        <v>517</v>
      </c>
      <c r="B66" s="625" t="s">
        <v>75</v>
      </c>
      <c r="C66" s="258" t="s">
        <v>518</v>
      </c>
      <c r="D66" s="19" t="s">
        <v>7</v>
      </c>
      <c r="E66" s="309">
        <f>'MEMORIA NIVALDO'!L876</f>
        <v>62.5</v>
      </c>
      <c r="F66" s="32">
        <v>44.72</v>
      </c>
      <c r="G66" s="624">
        <f>F66+F66*$H$11</f>
        <v>55.996373281091635</v>
      </c>
      <c r="H66" s="32">
        <f>E66*G66</f>
        <v>3499.7733300682271</v>
      </c>
      <c r="I66" s="1070"/>
      <c r="J66" s="1070"/>
      <c r="K66" s="1070"/>
      <c r="L66" s="1070"/>
      <c r="M66" s="219"/>
    </row>
    <row r="67" spans="1:13">
      <c r="A67" s="12"/>
      <c r="B67" s="12"/>
      <c r="C67" s="12"/>
      <c r="D67" s="12"/>
      <c r="E67" s="12"/>
      <c r="F67" s="12"/>
      <c r="G67" s="12"/>
      <c r="H67" s="12"/>
      <c r="I67" s="12"/>
      <c r="J67" s="12"/>
    </row>
    <row r="68" spans="1:13">
      <c r="A68" s="4"/>
      <c r="B68" s="4" t="s">
        <v>628</v>
      </c>
      <c r="C68" s="311" t="s">
        <v>73</v>
      </c>
      <c r="D68" s="4"/>
      <c r="E68" s="306"/>
      <c r="F68" s="291"/>
      <c r="G68" s="291"/>
      <c r="H68" s="291">
        <f>SUM(H69:H70)</f>
        <v>7295.9067144336095</v>
      </c>
    </row>
    <row r="69" spans="1:13">
      <c r="A69" s="625" t="str">
        <f>COMPOSIÇÕES!B144</f>
        <v>COMPOSIÇÃO 13</v>
      </c>
      <c r="B69" s="625" t="s">
        <v>629</v>
      </c>
      <c r="C69" s="258" t="str">
        <f>COMPOSIÇÕES!C144</f>
        <v>LIMPEZA GERAL</v>
      </c>
      <c r="D69" s="19" t="s">
        <v>7</v>
      </c>
      <c r="E69" s="309">
        <f>'MEMORIA NIVALDO'!L882</f>
        <v>1000</v>
      </c>
      <c r="F69" s="32">
        <f>COMPOSIÇÕES!G151</f>
        <v>2.6900000000000004</v>
      </c>
      <c r="G69" s="624">
        <f>F69+F69*$H$11</f>
        <v>3.3682970511211208</v>
      </c>
      <c r="H69" s="32">
        <f>E69*G69</f>
        <v>3368.2970511211206</v>
      </c>
    </row>
    <row r="70" spans="1:13" ht="99.75" customHeight="1">
      <c r="A70" s="672" t="s">
        <v>74</v>
      </c>
      <c r="B70" s="780" t="s">
        <v>701</v>
      </c>
      <c r="C70" s="36" t="s">
        <v>76</v>
      </c>
      <c r="D70" s="19" t="s">
        <v>77</v>
      </c>
      <c r="E70" s="18">
        <f>'MEMORIA NIVALDO'!L887</f>
        <v>6</v>
      </c>
      <c r="F70" s="10">
        <v>522.78</v>
      </c>
      <c r="G70" s="668">
        <f>F70+F70*$H$11</f>
        <v>654.60161055208141</v>
      </c>
      <c r="H70" s="32">
        <f>E70*G70</f>
        <v>3927.6096633124885</v>
      </c>
    </row>
    <row r="71" spans="1:13">
      <c r="A71" s="951"/>
      <c r="B71" s="952"/>
      <c r="C71" s="952"/>
      <c r="D71" s="952"/>
      <c r="E71" s="952"/>
      <c r="F71" s="952"/>
      <c r="G71" s="952"/>
      <c r="H71" s="953"/>
    </row>
    <row r="72" spans="1:13">
      <c r="A72" s="1087" t="s">
        <v>78</v>
      </c>
      <c r="B72" s="1088"/>
      <c r="C72" s="1088"/>
      <c r="D72" s="1088"/>
      <c r="E72" s="1088"/>
      <c r="F72" s="1088"/>
      <c r="G72" s="1089"/>
      <c r="H72" s="291">
        <f>SUM(H68,H65,H60,H53,H48,H38,H33,H25,H22,H15)</f>
        <v>241992.28819811763</v>
      </c>
    </row>
  </sheetData>
  <mergeCells count="53">
    <mergeCell ref="I63:L63"/>
    <mergeCell ref="A64:H64"/>
    <mergeCell ref="I66:L66"/>
    <mergeCell ref="A71:H71"/>
    <mergeCell ref="A72:G72"/>
    <mergeCell ref="I56:L56"/>
    <mergeCell ref="I57:L57"/>
    <mergeCell ref="I58:L58"/>
    <mergeCell ref="A59:H59"/>
    <mergeCell ref="I61:L61"/>
    <mergeCell ref="I54:L54"/>
    <mergeCell ref="I36:L36"/>
    <mergeCell ref="A37:H37"/>
    <mergeCell ref="I39:L39"/>
    <mergeCell ref="I43:L43"/>
    <mergeCell ref="I45:L45"/>
    <mergeCell ref="I46:L46"/>
    <mergeCell ref="A47:H47"/>
    <mergeCell ref="I49:L49"/>
    <mergeCell ref="I51:M51"/>
    <mergeCell ref="A52:H52"/>
    <mergeCell ref="I35:L35"/>
    <mergeCell ref="I19:L19"/>
    <mergeCell ref="I20:L20"/>
    <mergeCell ref="A21:H21"/>
    <mergeCell ref="I23:L23"/>
    <mergeCell ref="A24:H24"/>
    <mergeCell ref="I26:M26"/>
    <mergeCell ref="I27:M27"/>
    <mergeCell ref="I29:M29"/>
    <mergeCell ref="I30:M30"/>
    <mergeCell ref="A32:H32"/>
    <mergeCell ref="I34:L34"/>
    <mergeCell ref="I28:M28"/>
    <mergeCell ref="I18:M18"/>
    <mergeCell ref="A10:B10"/>
    <mergeCell ref="D10:H10"/>
    <mergeCell ref="A11:F11"/>
    <mergeCell ref="G11:G12"/>
    <mergeCell ref="H11:H12"/>
    <mergeCell ref="A12:F12"/>
    <mergeCell ref="A13:A14"/>
    <mergeCell ref="B13:B14"/>
    <mergeCell ref="C13:C14"/>
    <mergeCell ref="D13:H13"/>
    <mergeCell ref="I17:M17"/>
    <mergeCell ref="I16:M16"/>
    <mergeCell ref="A1:B5"/>
    <mergeCell ref="C1:H5"/>
    <mergeCell ref="A6:B7"/>
    <mergeCell ref="C6:H7"/>
    <mergeCell ref="A8:B9"/>
    <mergeCell ref="C8:H9"/>
  </mergeCells>
  <printOptions horizontalCentered="1"/>
  <pageMargins left="0.78740157480314965" right="0.78740157480314965" top="0.78740157480314965" bottom="0.78740157480314965" header="0.31496062992125984" footer="0.31496062992125984"/>
  <pageSetup paperSize="9" scale="49" orientation="portrait" r:id="rId1"/>
  <headerFooter>
    <oddFooter>Página &amp;P de &amp;N</oddFooter>
  </headerFooter>
  <rowBreaks count="1" manualBreakCount="1">
    <brk id="37" max="7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L890"/>
  <sheetViews>
    <sheetView showGridLines="0" view="pageBreakPreview" topLeftCell="A878" zoomScale="85" zoomScaleNormal="100" zoomScaleSheetLayoutView="85" workbookViewId="0">
      <selection activeCell="J894" sqref="J894"/>
    </sheetView>
  </sheetViews>
  <sheetFormatPr defaultRowHeight="15"/>
  <cols>
    <col min="2" max="8" width="10.7109375" customWidth="1"/>
    <col min="9" max="9" width="12" customWidth="1"/>
    <col min="10" max="10" width="12.85546875" customWidth="1"/>
    <col min="11" max="12" width="10.7109375" customWidth="1"/>
  </cols>
  <sheetData>
    <row r="1" spans="2:12" ht="15.75" thickBot="1"/>
    <row r="2" spans="2:12">
      <c r="B2" s="1033" t="s">
        <v>103</v>
      </c>
      <c r="C2" s="1034"/>
      <c r="D2" s="1039" t="str">
        <f>'[6]PLANILHA ORÇAMENTÁRIA'!E2</f>
        <v>PREFEITURA MUNICIPAL DE ITAMBÉ</v>
      </c>
      <c r="E2" s="1040"/>
      <c r="F2" s="1040"/>
      <c r="G2" s="1040"/>
      <c r="H2" s="1040"/>
      <c r="I2" s="1041"/>
      <c r="J2" s="1042"/>
      <c r="K2" s="1043"/>
      <c r="L2" s="1044"/>
    </row>
    <row r="3" spans="2:12">
      <c r="B3" s="1035"/>
      <c r="C3" s="1036"/>
      <c r="D3" s="1051" t="s">
        <v>1041</v>
      </c>
      <c r="E3" s="1052"/>
      <c r="F3" s="1052"/>
      <c r="G3" s="1052"/>
      <c r="H3" s="1052"/>
      <c r="I3" s="1053"/>
      <c r="J3" s="1045"/>
      <c r="K3" s="1046"/>
      <c r="L3" s="1047"/>
    </row>
    <row r="4" spans="2:12" ht="66.75" customHeight="1">
      <c r="B4" s="1035"/>
      <c r="C4" s="1036"/>
      <c r="D4" s="1054" t="s">
        <v>1130</v>
      </c>
      <c r="E4" s="1055"/>
      <c r="F4" s="1055"/>
      <c r="G4" s="1055"/>
      <c r="H4" s="1055"/>
      <c r="I4" s="1056"/>
      <c r="J4" s="1045"/>
      <c r="K4" s="1046"/>
      <c r="L4" s="1047"/>
    </row>
    <row r="5" spans="2:12" ht="9.75" customHeight="1" thickBot="1">
      <c r="B5" s="1037"/>
      <c r="C5" s="1038"/>
      <c r="D5" s="1057"/>
      <c r="E5" s="1058"/>
      <c r="F5" s="1058"/>
      <c r="G5" s="1058"/>
      <c r="H5" s="1058"/>
      <c r="I5" s="1059"/>
      <c r="J5" s="1048"/>
      <c r="K5" s="1049"/>
      <c r="L5" s="1050"/>
    </row>
    <row r="6" spans="2:12" hidden="1">
      <c r="B6" s="40"/>
      <c r="C6" s="40"/>
      <c r="D6" s="40"/>
      <c r="E6" s="40"/>
      <c r="F6" s="40"/>
      <c r="G6" s="40"/>
      <c r="H6" s="40"/>
      <c r="I6" s="40"/>
      <c r="J6" s="41"/>
      <c r="K6" s="40"/>
      <c r="L6" s="40"/>
    </row>
    <row r="7" spans="2:12" hidden="1">
      <c r="B7" s="1060" t="s">
        <v>104</v>
      </c>
      <c r="C7" s="1060"/>
      <c r="D7" s="42" t="e">
        <f>'[6]PLANILHA ORÇAMENTÁRIA'!J6</f>
        <v>#REF!</v>
      </c>
      <c r="E7" s="43"/>
      <c r="F7" s="658" t="s">
        <v>105</v>
      </c>
      <c r="G7" s="42" t="e">
        <f>'[6]PLANILHA ORÇAMENTÁRIA'!J7</f>
        <v>#REF!</v>
      </c>
      <c r="H7" s="45" t="s">
        <v>1</v>
      </c>
      <c r="I7" s="46"/>
      <c r="J7" s="46" t="str">
        <f>'[6]PLANILHA ORÇAMENTÁRIA'!B8</f>
        <v>SINAPI - FEV/2019 DESONERADO</v>
      </c>
      <c r="K7" s="43"/>
      <c r="L7" s="43"/>
    </row>
    <row r="8" spans="2:12" hidden="1">
      <c r="B8" s="658" t="s">
        <v>106</v>
      </c>
      <c r="C8" s="1061" t="e">
        <f>'[6]PLANILHA ORÇAMENTÁRIA'!J8</f>
        <v>#REF!</v>
      </c>
      <c r="D8" s="1061"/>
      <c r="E8" s="43"/>
      <c r="F8" s="658" t="s">
        <v>0</v>
      </c>
      <c r="G8" s="47">
        <f>'[6]PLANILHA ORÇAMENTÁRIA'!J5</f>
        <v>43641</v>
      </c>
      <c r="H8" s="46"/>
      <c r="I8" s="48"/>
      <c r="J8" s="46"/>
      <c r="K8" s="43"/>
      <c r="L8" s="43"/>
    </row>
    <row r="9" spans="2:12" hidden="1">
      <c r="B9" s="49"/>
      <c r="C9" s="50"/>
      <c r="D9" s="46"/>
      <c r="E9" s="46"/>
      <c r="F9" s="46"/>
      <c r="G9" s="46"/>
      <c r="H9" s="46"/>
      <c r="I9" s="46"/>
      <c r="J9" s="46"/>
      <c r="K9" s="43"/>
      <c r="L9" s="51"/>
    </row>
    <row r="10" spans="2:12" hidden="1">
      <c r="B10" s="52" t="s">
        <v>107</v>
      </c>
      <c r="C10" s="53" t="s">
        <v>108</v>
      </c>
      <c r="D10" s="54"/>
      <c r="E10" s="55"/>
      <c r="F10" s="56"/>
      <c r="G10" s="54"/>
      <c r="H10" s="57" t="s">
        <v>109</v>
      </c>
      <c r="I10" s="53" t="s">
        <v>110</v>
      </c>
      <c r="J10" s="46"/>
      <c r="K10" s="43"/>
      <c r="L10" s="51"/>
    </row>
    <row r="11" spans="2:12" hidden="1">
      <c r="B11" s="49"/>
      <c r="C11" s="50"/>
      <c r="D11" s="46"/>
      <c r="E11" s="46"/>
      <c r="F11" s="46"/>
      <c r="G11" s="46"/>
      <c r="H11" s="46"/>
      <c r="I11" s="46"/>
      <c r="J11" s="46"/>
      <c r="K11" s="43"/>
      <c r="L11" s="51"/>
    </row>
    <row r="12" spans="2:12" hidden="1">
      <c r="B12" s="58" t="str">
        <f>'[6]PLANILHA ORÇAMENTÁRIA'!D11</f>
        <v>1.0</v>
      </c>
      <c r="C12" s="1000" t="str">
        <f>'[6]PLANILHA ORÇAMENTÁRIA'!E11</f>
        <v>SERVIÇOS PRELIMINARES</v>
      </c>
      <c r="D12" s="1000"/>
      <c r="E12" s="1000"/>
      <c r="F12" s="1000"/>
      <c r="G12" s="1000"/>
      <c r="H12" s="1000"/>
      <c r="I12" s="1000"/>
      <c r="J12" s="1000"/>
      <c r="K12" s="59"/>
      <c r="L12" s="59"/>
    </row>
    <row r="13" spans="2:12" hidden="1">
      <c r="B13" s="60" t="str">
        <f>'[6]PLANILHA ORÇAMENTÁRIA'!D12</f>
        <v>1.1</v>
      </c>
      <c r="C13" s="1003" t="str">
        <f>'[6]PLANILHA ORÇAMENTÁRIA'!E12</f>
        <v>PLACA DE OBRA EM CHAPA DE ACO GALVANIZADO</v>
      </c>
      <c r="D13" s="1003"/>
      <c r="E13" s="1003"/>
      <c r="F13" s="1003"/>
      <c r="G13" s="1003"/>
      <c r="H13" s="1003"/>
      <c r="I13" s="1003"/>
      <c r="J13" s="1003"/>
      <c r="K13" s="61" t="str">
        <f>'[6]PLANILHA ORÇAMENTÁRIA'!F12</f>
        <v>M2</v>
      </c>
      <c r="L13" s="62">
        <f>K16</f>
        <v>6</v>
      </c>
    </row>
    <row r="14" spans="2:12" hidden="1">
      <c r="B14" s="63"/>
      <c r="C14" s="1004" t="s">
        <v>20</v>
      </c>
      <c r="D14" s="1004"/>
      <c r="E14" s="1004"/>
      <c r="F14" s="64" t="s">
        <v>3</v>
      </c>
      <c r="G14" s="654" t="s">
        <v>111</v>
      </c>
      <c r="H14" s="64" t="s">
        <v>112</v>
      </c>
      <c r="I14" s="654" t="s">
        <v>113</v>
      </c>
      <c r="J14" s="654" t="s">
        <v>114</v>
      </c>
      <c r="K14" s="66" t="s">
        <v>25</v>
      </c>
      <c r="L14" s="67"/>
    </row>
    <row r="15" spans="2:12" hidden="1">
      <c r="B15" s="63"/>
      <c r="C15" s="1001" t="s">
        <v>115</v>
      </c>
      <c r="D15" s="1001"/>
      <c r="E15" s="1001"/>
      <c r="F15" s="68"/>
      <c r="G15" s="68">
        <v>2</v>
      </c>
      <c r="H15" s="68"/>
      <c r="I15" s="68">
        <v>3</v>
      </c>
      <c r="J15" s="68"/>
      <c r="K15" s="69">
        <f>TRUNC(G15*I15,2)</f>
        <v>6</v>
      </c>
      <c r="L15" s="67"/>
    </row>
    <row r="16" spans="2:12" hidden="1">
      <c r="B16" s="63"/>
      <c r="C16" s="1002" t="s">
        <v>116</v>
      </c>
      <c r="D16" s="1002"/>
      <c r="E16" s="1002"/>
      <c r="F16" s="1002"/>
      <c r="G16" s="1002"/>
      <c r="H16" s="1002"/>
      <c r="I16" s="1002"/>
      <c r="J16" s="1002"/>
      <c r="K16" s="70">
        <f>SUM(K15:K15)</f>
        <v>6</v>
      </c>
      <c r="L16" s="67"/>
    </row>
    <row r="17" spans="2:12" hidden="1"/>
    <row r="18" spans="2:12" ht="25.5" hidden="1" customHeight="1">
      <c r="B18" s="60" t="str">
        <f>'[6]PLANILHA ORÇAMENTÁRIA'!D13</f>
        <v>1.2</v>
      </c>
      <c r="C18" s="1003" t="str">
        <f>'[6]PLANILHA ORÇAMENTÁRIA'!E13</f>
        <v>LIMPEZA MECANIZADA DE TERRENO COM REMOCAO DE CAMADA VEGETAL, UTILIZANDO MOTONIVELADORA</v>
      </c>
      <c r="D18" s="1003"/>
      <c r="E18" s="1003"/>
      <c r="F18" s="1003"/>
      <c r="G18" s="1003"/>
      <c r="H18" s="1003"/>
      <c r="I18" s="1003"/>
      <c r="J18" s="1003"/>
      <c r="K18" s="61" t="str">
        <f>'[6]PLANILHA ORÇAMENTÁRIA'!F13</f>
        <v>M2</v>
      </c>
      <c r="L18" s="62">
        <f>K21</f>
        <v>780.75</v>
      </c>
    </row>
    <row r="19" spans="2:12" hidden="1">
      <c r="B19" s="63"/>
      <c r="C19" s="1004" t="s">
        <v>20</v>
      </c>
      <c r="D19" s="1004"/>
      <c r="E19" s="1004"/>
      <c r="F19" s="64" t="s">
        <v>117</v>
      </c>
      <c r="G19" s="654" t="s">
        <v>111</v>
      </c>
      <c r="H19" s="64" t="s">
        <v>112</v>
      </c>
      <c r="I19" s="654" t="s">
        <v>113</v>
      </c>
      <c r="J19" s="654" t="s">
        <v>114</v>
      </c>
      <c r="K19" s="66" t="s">
        <v>25</v>
      </c>
      <c r="L19" s="67"/>
    </row>
    <row r="20" spans="2:12" ht="27.75" hidden="1" customHeight="1">
      <c r="B20" s="63"/>
      <c r="C20" s="1001" t="s">
        <v>118</v>
      </c>
      <c r="D20" s="1001"/>
      <c r="E20" s="1001"/>
      <c r="F20" s="68">
        <v>780.75</v>
      </c>
      <c r="G20" s="68"/>
      <c r="H20" s="68"/>
      <c r="I20" s="68"/>
      <c r="J20" s="68"/>
      <c r="K20" s="69">
        <f>F20</f>
        <v>780.75</v>
      </c>
      <c r="L20" s="67"/>
    </row>
    <row r="21" spans="2:12" hidden="1">
      <c r="B21" s="63"/>
      <c r="C21" s="1002" t="s">
        <v>116</v>
      </c>
      <c r="D21" s="1002"/>
      <c r="E21" s="1002"/>
      <c r="F21" s="1002"/>
      <c r="G21" s="1002"/>
      <c r="H21" s="1002"/>
      <c r="I21" s="1002"/>
      <c r="J21" s="1002"/>
      <c r="K21" s="70">
        <f>SUM(K20:K20)</f>
        <v>780.75</v>
      </c>
      <c r="L21" s="67"/>
    </row>
    <row r="22" spans="2:12" hidden="1">
      <c r="B22" s="63"/>
      <c r="C22" s="71"/>
      <c r="D22" s="71"/>
      <c r="E22" s="71"/>
      <c r="F22" s="71"/>
      <c r="G22" s="71"/>
      <c r="H22" s="71"/>
      <c r="I22" s="71"/>
      <c r="J22" s="71"/>
      <c r="K22" s="72"/>
      <c r="L22" s="67"/>
    </row>
    <row r="23" spans="2:12" ht="15" hidden="1" customHeight="1">
      <c r="B23" s="60" t="str">
        <f>'[6]PLANILHA ORÇAMENTÁRIA'!D14</f>
        <v>1.3</v>
      </c>
      <c r="C23" s="1003" t="str">
        <f>'[6]PLANILHA ORÇAMENTÁRIA'!E14</f>
        <v>LOCAÇÃO DA OBRA - EXECUÇÃO DE GABARITO</v>
      </c>
      <c r="D23" s="1003"/>
      <c r="E23" s="1003"/>
      <c r="F23" s="1003"/>
      <c r="G23" s="1003"/>
      <c r="H23" s="1003"/>
      <c r="I23" s="1003"/>
      <c r="J23" s="1003"/>
      <c r="K23" s="61" t="str">
        <f>'[6]PLANILHA ORÇAMENTÁRIA'!F14</f>
        <v>M2</v>
      </c>
      <c r="L23" s="62">
        <f>K27</f>
        <v>157.78</v>
      </c>
    </row>
    <row r="24" spans="2:12" hidden="1">
      <c r="B24" s="63"/>
      <c r="C24" s="1004" t="s">
        <v>20</v>
      </c>
      <c r="D24" s="1004"/>
      <c r="E24" s="1004"/>
      <c r="F24" s="64" t="s">
        <v>22</v>
      </c>
      <c r="G24" s="654" t="s">
        <v>111</v>
      </c>
      <c r="H24" s="64" t="s">
        <v>112</v>
      </c>
      <c r="I24" s="654" t="s">
        <v>113</v>
      </c>
      <c r="J24" s="654" t="s">
        <v>114</v>
      </c>
      <c r="K24" s="66" t="s">
        <v>25</v>
      </c>
      <c r="L24" s="67"/>
    </row>
    <row r="25" spans="2:12" hidden="1">
      <c r="B25" s="63"/>
      <c r="C25" s="1001" t="s">
        <v>119</v>
      </c>
      <c r="D25" s="1001"/>
      <c r="E25" s="1001"/>
      <c r="F25" s="68">
        <v>1</v>
      </c>
      <c r="G25" s="68"/>
      <c r="H25" s="68">
        <v>6.7</v>
      </c>
      <c r="I25" s="68">
        <v>12</v>
      </c>
      <c r="J25" s="68"/>
      <c r="K25" s="69">
        <f>PRODUCT(F25:I25)</f>
        <v>80.400000000000006</v>
      </c>
      <c r="L25" s="67"/>
    </row>
    <row r="26" spans="2:12" hidden="1">
      <c r="B26" s="63"/>
      <c r="C26" s="1001" t="s">
        <v>120</v>
      </c>
      <c r="D26" s="1001"/>
      <c r="E26" s="1001"/>
      <c r="F26" s="68">
        <v>4</v>
      </c>
      <c r="G26" s="68"/>
      <c r="H26" s="68">
        <v>3.65</v>
      </c>
      <c r="I26" s="68">
        <v>5.3</v>
      </c>
      <c r="J26" s="68"/>
      <c r="K26" s="69">
        <f>PRODUCT(F26:I26)</f>
        <v>77.38</v>
      </c>
      <c r="L26" s="67"/>
    </row>
    <row r="27" spans="2:12" hidden="1">
      <c r="B27" s="63"/>
      <c r="C27" s="1002" t="s">
        <v>116</v>
      </c>
      <c r="D27" s="1002"/>
      <c r="E27" s="1002"/>
      <c r="F27" s="1002"/>
      <c r="G27" s="1002"/>
      <c r="H27" s="1002"/>
      <c r="I27" s="1002"/>
      <c r="J27" s="1002"/>
      <c r="K27" s="70">
        <f>SUM(K25:K26)</f>
        <v>157.78</v>
      </c>
      <c r="L27" s="67"/>
    </row>
    <row r="28" spans="2:12" hidden="1">
      <c r="B28" s="63"/>
      <c r="C28" s="71"/>
      <c r="D28" s="71"/>
      <c r="E28" s="71"/>
      <c r="F28" s="71"/>
      <c r="G28" s="71"/>
      <c r="H28" s="71"/>
      <c r="I28" s="71"/>
      <c r="J28" s="71"/>
      <c r="K28" s="72"/>
      <c r="L28" s="67"/>
    </row>
    <row r="29" spans="2:12" hidden="1">
      <c r="B29" s="58" t="str">
        <f>'[6]PLANILHA ORÇAMENTÁRIA'!D15</f>
        <v>2.0</v>
      </c>
      <c r="C29" s="1000" t="str">
        <f>'[6]PLANILHA ORÇAMENTÁRIA'!E15</f>
        <v>DEMOLIÇÕES</v>
      </c>
      <c r="D29" s="1000"/>
      <c r="E29" s="1000"/>
      <c r="F29" s="1000"/>
      <c r="G29" s="1000"/>
      <c r="H29" s="1000"/>
      <c r="I29" s="1000"/>
      <c r="J29" s="1000"/>
      <c r="K29" s="59"/>
      <c r="L29" s="59"/>
    </row>
    <row r="30" spans="2:12" ht="23.25" hidden="1" customHeight="1">
      <c r="B30" s="60" t="str">
        <f>'[6]PLANILHA ORÇAMENTÁRIA'!D16</f>
        <v>2.1</v>
      </c>
      <c r="C30" s="1003" t="str">
        <f>'[6]PLANILHA ORÇAMENTÁRIA'!E16</f>
        <v>DEMOLIÇÃO DE ALVENARIA DE BLOCO FURADO, SEM REAPROVEITAMENTO, INCLUSIVE REVESTIMENTO.</v>
      </c>
      <c r="D30" s="1003"/>
      <c r="E30" s="1003"/>
      <c r="F30" s="1003"/>
      <c r="G30" s="1003"/>
      <c r="H30" s="1003"/>
      <c r="I30" s="1003"/>
      <c r="J30" s="1003"/>
      <c r="K30" s="61" t="str">
        <f>'[6]PLANILHA ORÇAMENTÁRIA'!F16</f>
        <v>M3</v>
      </c>
      <c r="L30" s="62">
        <f>K33</f>
        <v>17.39</v>
      </c>
    </row>
    <row r="31" spans="2:12" hidden="1">
      <c r="B31" s="63"/>
      <c r="C31" s="1004" t="s">
        <v>20</v>
      </c>
      <c r="D31" s="1004"/>
      <c r="E31" s="1004"/>
      <c r="F31" s="64" t="s">
        <v>117</v>
      </c>
      <c r="G31" s="654" t="s">
        <v>111</v>
      </c>
      <c r="H31" s="64" t="s">
        <v>112</v>
      </c>
      <c r="I31" s="654" t="s">
        <v>113</v>
      </c>
      <c r="J31" s="654" t="s">
        <v>114</v>
      </c>
      <c r="K31" s="66" t="s">
        <v>25</v>
      </c>
      <c r="L31" s="67"/>
    </row>
    <row r="32" spans="2:12" hidden="1">
      <c r="B32" s="63"/>
      <c r="C32" s="1001" t="s">
        <v>121</v>
      </c>
      <c r="D32" s="1001"/>
      <c r="E32" s="1001"/>
      <c r="F32" s="68"/>
      <c r="G32" s="68">
        <v>2.2000000000000002</v>
      </c>
      <c r="H32" s="68">
        <v>0.15</v>
      </c>
      <c r="I32" s="68">
        <v>52.71</v>
      </c>
      <c r="J32" s="68"/>
      <c r="K32" s="69">
        <f>TRUNC(I32*G32*H32,2)</f>
        <v>17.39</v>
      </c>
      <c r="L32" s="67"/>
    </row>
    <row r="33" spans="2:12" hidden="1">
      <c r="B33" s="63"/>
      <c r="C33" s="1002" t="s">
        <v>116</v>
      </c>
      <c r="D33" s="1002"/>
      <c r="E33" s="1002"/>
      <c r="F33" s="1002"/>
      <c r="G33" s="1002"/>
      <c r="H33" s="1002"/>
      <c r="I33" s="1002"/>
      <c r="J33" s="1002"/>
      <c r="K33" s="70">
        <f>SUM(K32:K32)</f>
        <v>17.39</v>
      </c>
      <c r="L33" s="67"/>
    </row>
    <row r="34" spans="2:12" hidden="1">
      <c r="B34" s="63"/>
      <c r="C34" s="71"/>
      <c r="D34" s="71"/>
      <c r="E34" s="71"/>
      <c r="F34" s="71"/>
      <c r="G34" s="71"/>
      <c r="H34" s="71"/>
      <c r="I34" s="71"/>
      <c r="J34" s="71"/>
      <c r="K34" s="72"/>
      <c r="L34" s="67"/>
    </row>
    <row r="35" spans="2:12" hidden="1">
      <c r="B35" s="58" t="str">
        <f>'[6]PLANILHA ORÇAMENTÁRIA'!D17</f>
        <v>3.0</v>
      </c>
      <c r="C35" s="1000" t="str">
        <f>'[6]PLANILHA ORÇAMENTÁRIA'!E17</f>
        <v>TRABALHOS EM TERRA</v>
      </c>
      <c r="D35" s="1000"/>
      <c r="E35" s="1000"/>
      <c r="F35" s="1000"/>
      <c r="G35" s="1000"/>
      <c r="H35" s="1000"/>
      <c r="I35" s="1000"/>
      <c r="J35" s="1000"/>
      <c r="K35" s="59"/>
      <c r="L35" s="59"/>
    </row>
    <row r="36" spans="2:12" ht="15" hidden="1" customHeight="1">
      <c r="B36" s="60" t="str">
        <f>'[6]PLANILHA ORÇAMENTÁRIA'!D18</f>
        <v>3.1</v>
      </c>
      <c r="C36" s="1003" t="str">
        <f>'[6]PLANILHA ORÇAMENTÁRIA'!E18</f>
        <v>CORTE E ATERRO COMPENSADO</v>
      </c>
      <c r="D36" s="1003"/>
      <c r="E36" s="1003"/>
      <c r="F36" s="1003"/>
      <c r="G36" s="1003"/>
      <c r="H36" s="1003"/>
      <c r="I36" s="1003"/>
      <c r="J36" s="1003"/>
      <c r="K36" s="61" t="str">
        <f>'[6]PLANILHA ORÇAMENTÁRIA'!F18</f>
        <v>M3</v>
      </c>
      <c r="L36" s="62">
        <f>K39</f>
        <v>156.15</v>
      </c>
    </row>
    <row r="37" spans="2:12" hidden="1">
      <c r="B37" s="63"/>
      <c r="C37" s="1004" t="s">
        <v>20</v>
      </c>
      <c r="D37" s="1004"/>
      <c r="E37" s="1004"/>
      <c r="F37" s="64" t="s">
        <v>117</v>
      </c>
      <c r="G37" s="654" t="s">
        <v>111</v>
      </c>
      <c r="H37" s="64" t="s">
        <v>112</v>
      </c>
      <c r="I37" s="654" t="s">
        <v>113</v>
      </c>
      <c r="J37" s="654" t="s">
        <v>114</v>
      </c>
      <c r="K37" s="66" t="s">
        <v>25</v>
      </c>
      <c r="L37" s="67"/>
    </row>
    <row r="38" spans="2:12" hidden="1">
      <c r="B38" s="63"/>
      <c r="C38" s="1001" t="s">
        <v>122</v>
      </c>
      <c r="D38" s="1001"/>
      <c r="E38" s="1001"/>
      <c r="F38" s="68">
        <f>F20</f>
        <v>780.75</v>
      </c>
      <c r="G38" s="68">
        <v>0.2</v>
      </c>
      <c r="H38" s="68"/>
      <c r="I38" s="68"/>
      <c r="J38" s="68"/>
      <c r="K38" s="69">
        <f>TRUNC(F38*G38,2)</f>
        <v>156.15</v>
      </c>
      <c r="L38" s="67"/>
    </row>
    <row r="39" spans="2:12" hidden="1">
      <c r="B39" s="63"/>
      <c r="C39" s="1002" t="s">
        <v>116</v>
      </c>
      <c r="D39" s="1002"/>
      <c r="E39" s="1002"/>
      <c r="F39" s="1002"/>
      <c r="G39" s="1002"/>
      <c r="H39" s="1002"/>
      <c r="I39" s="1002"/>
      <c r="J39" s="1002"/>
      <c r="K39" s="70">
        <f>SUM(K38:K38)</f>
        <v>156.15</v>
      </c>
      <c r="L39" s="67"/>
    </row>
    <row r="40" spans="2:12" hidden="1"/>
    <row r="41" spans="2:12" ht="15" hidden="1" customHeight="1">
      <c r="B41" s="60" t="str">
        <f>'[6]PLANILHA ORÇAMENTÁRIA'!D19</f>
        <v>3.2</v>
      </c>
      <c r="C41" s="1003" t="str">
        <f>'[6]PLANILHA ORÇAMENTÁRIA'!E19</f>
        <v>ESCAVAÇÃO MANUAL DE VALA COM PROFUNDIDADE MENOR OU IGUAL A 1,30 M. AF_ 03/2016</v>
      </c>
      <c r="D41" s="1003"/>
      <c r="E41" s="1003"/>
      <c r="F41" s="1003"/>
      <c r="G41" s="1003"/>
      <c r="H41" s="1003"/>
      <c r="I41" s="1003"/>
      <c r="J41" s="1003"/>
      <c r="K41" s="61" t="str">
        <f>'[6]PLANILHA ORÇAMENTÁRIA'!F19</f>
        <v>M3</v>
      </c>
      <c r="L41" s="62">
        <f>K49</f>
        <v>12.827999999999999</v>
      </c>
    </row>
    <row r="42" spans="2:12" hidden="1">
      <c r="B42" s="63"/>
      <c r="C42" s="1004" t="s">
        <v>20</v>
      </c>
      <c r="D42" s="1004"/>
      <c r="E42" s="1004"/>
      <c r="F42" s="64" t="s">
        <v>22</v>
      </c>
      <c r="G42" s="654" t="s">
        <v>111</v>
      </c>
      <c r="H42" s="64" t="s">
        <v>112</v>
      </c>
      <c r="I42" s="654" t="s">
        <v>113</v>
      </c>
      <c r="J42" s="654" t="s">
        <v>114</v>
      </c>
      <c r="K42" s="66" t="s">
        <v>25</v>
      </c>
      <c r="L42" s="67"/>
    </row>
    <row r="43" spans="2:12" hidden="1">
      <c r="B43" s="63"/>
      <c r="C43" s="1001" t="s">
        <v>123</v>
      </c>
      <c r="D43" s="1001"/>
      <c r="E43" s="1001"/>
      <c r="F43" s="68">
        <v>2</v>
      </c>
      <c r="G43" s="68">
        <v>0.6</v>
      </c>
      <c r="H43" s="68">
        <v>0.4</v>
      </c>
      <c r="I43" s="68">
        <v>5.4</v>
      </c>
      <c r="J43" s="68"/>
      <c r="K43" s="69">
        <f t="shared" ref="K43:K48" si="0">PRODUCT(F43:I43)</f>
        <v>2.5920000000000001</v>
      </c>
      <c r="L43" s="67"/>
    </row>
    <row r="44" spans="2:12" hidden="1">
      <c r="B44" s="63"/>
      <c r="C44" s="1001" t="s">
        <v>124</v>
      </c>
      <c r="D44" s="1001"/>
      <c r="E44" s="1001"/>
      <c r="F44" s="68">
        <v>2</v>
      </c>
      <c r="G44" s="68">
        <v>0.6</v>
      </c>
      <c r="H44" s="68">
        <v>0.4</v>
      </c>
      <c r="I44" s="68">
        <v>3.6</v>
      </c>
      <c r="J44" s="68"/>
      <c r="K44" s="69">
        <f t="shared" si="0"/>
        <v>1.728</v>
      </c>
      <c r="L44" s="67"/>
    </row>
    <row r="45" spans="2:12" hidden="1">
      <c r="B45" s="63"/>
      <c r="C45" s="1001" t="s">
        <v>125</v>
      </c>
      <c r="D45" s="1001"/>
      <c r="E45" s="1001"/>
      <c r="F45" s="68">
        <v>1</v>
      </c>
      <c r="G45" s="68">
        <v>0.6</v>
      </c>
      <c r="H45" s="68">
        <v>0.4</v>
      </c>
      <c r="I45" s="68">
        <v>4.2</v>
      </c>
      <c r="J45" s="68"/>
      <c r="K45" s="69">
        <f t="shared" si="0"/>
        <v>1.008</v>
      </c>
      <c r="L45" s="67"/>
    </row>
    <row r="46" spans="2:12" hidden="1">
      <c r="B46" s="63"/>
      <c r="C46" s="1001" t="s">
        <v>126</v>
      </c>
      <c r="D46" s="1001"/>
      <c r="E46" s="1001"/>
      <c r="F46" s="68">
        <v>1</v>
      </c>
      <c r="G46" s="68">
        <v>0.6</v>
      </c>
      <c r="H46" s="68">
        <v>0.4</v>
      </c>
      <c r="I46" s="68">
        <v>3.15</v>
      </c>
      <c r="J46" s="68"/>
      <c r="K46" s="69">
        <f t="shared" si="0"/>
        <v>0.75600000000000001</v>
      </c>
      <c r="L46" s="67"/>
    </row>
    <row r="47" spans="2:12" hidden="1">
      <c r="B47" s="63"/>
      <c r="C47" s="1001" t="s">
        <v>127</v>
      </c>
      <c r="D47" s="1001"/>
      <c r="E47" s="1001"/>
      <c r="F47" s="68">
        <v>1</v>
      </c>
      <c r="G47" s="68">
        <v>0.6</v>
      </c>
      <c r="H47" s="68">
        <v>0.4</v>
      </c>
      <c r="I47" s="68">
        <f>5.7+5.7+4.7</f>
        <v>16.100000000000001</v>
      </c>
      <c r="J47" s="68"/>
      <c r="K47" s="69">
        <f t="shared" si="0"/>
        <v>3.8640000000000003</v>
      </c>
      <c r="L47" s="67"/>
    </row>
    <row r="48" spans="2:12" hidden="1">
      <c r="B48" s="63"/>
      <c r="C48" s="1001" t="s">
        <v>128</v>
      </c>
      <c r="D48" s="1001"/>
      <c r="E48" s="1001"/>
      <c r="F48" s="68">
        <v>8</v>
      </c>
      <c r="G48" s="68">
        <v>1</v>
      </c>
      <c r="H48" s="68">
        <v>0.6</v>
      </c>
      <c r="I48" s="68">
        <v>0.6</v>
      </c>
      <c r="J48" s="68"/>
      <c r="K48" s="69">
        <f t="shared" si="0"/>
        <v>2.88</v>
      </c>
      <c r="L48" s="67"/>
    </row>
    <row r="49" spans="2:12" hidden="1">
      <c r="B49" s="63"/>
      <c r="C49" s="1002" t="s">
        <v>116</v>
      </c>
      <c r="D49" s="1002"/>
      <c r="E49" s="1002"/>
      <c r="F49" s="1002"/>
      <c r="G49" s="1002"/>
      <c r="H49" s="1002"/>
      <c r="I49" s="1002"/>
      <c r="J49" s="1002"/>
      <c r="K49" s="70">
        <f>SUM(K43:K48)</f>
        <v>12.827999999999999</v>
      </c>
      <c r="L49" s="67"/>
    </row>
    <row r="50" spans="2:12" hidden="1"/>
    <row r="51" spans="2:12" ht="15" hidden="1" customHeight="1">
      <c r="B51" s="60" t="str">
        <f>'[6]PLANILHA ORÇAMENTÁRIA'!D20</f>
        <v>3.3</v>
      </c>
      <c r="C51" s="1003" t="str">
        <f>'[6]PLANILHA ORÇAMENTÁRIA'!E20</f>
        <v>REATERRO MANUAL APILOADO COM SOQUETE</v>
      </c>
      <c r="D51" s="1003"/>
      <c r="E51" s="1003"/>
      <c r="F51" s="1003"/>
      <c r="G51" s="1003"/>
      <c r="H51" s="1003"/>
      <c r="I51" s="1003"/>
      <c r="J51" s="1003"/>
      <c r="K51" s="61" t="str">
        <f>'[6]PLANILHA ORÇAMENTÁRIA'!F20</f>
        <v>M3</v>
      </c>
      <c r="L51" s="62">
        <f>K54</f>
        <v>4.0992499999999996</v>
      </c>
    </row>
    <row r="52" spans="2:12" hidden="1">
      <c r="B52" s="63"/>
      <c r="C52" s="1004" t="s">
        <v>20</v>
      </c>
      <c r="D52" s="1004"/>
      <c r="E52" s="1004"/>
      <c r="F52" s="64" t="s">
        <v>129</v>
      </c>
      <c r="G52" s="654" t="s">
        <v>130</v>
      </c>
      <c r="H52" s="64" t="s">
        <v>131</v>
      </c>
      <c r="I52" s="654" t="s">
        <v>132</v>
      </c>
      <c r="J52" s="654"/>
      <c r="K52" s="66" t="s">
        <v>25</v>
      </c>
      <c r="L52" s="67"/>
    </row>
    <row r="53" spans="2:12" hidden="1">
      <c r="B53" s="63"/>
      <c r="C53" s="1001"/>
      <c r="D53" s="1001"/>
      <c r="E53" s="1001"/>
      <c r="F53" s="68">
        <f>L41</f>
        <v>12.827999999999999</v>
      </c>
      <c r="G53" s="68">
        <f>L67</f>
        <v>3.4812500000000002</v>
      </c>
      <c r="H53" s="68">
        <f>L76</f>
        <v>4.1775000000000002</v>
      </c>
      <c r="I53" s="68">
        <v>1.07</v>
      </c>
      <c r="J53" s="68"/>
      <c r="K53" s="69">
        <f>F53-G53-H53-I53</f>
        <v>4.0992499999999996</v>
      </c>
      <c r="L53" s="67"/>
    </row>
    <row r="54" spans="2:12" hidden="1">
      <c r="B54" s="63"/>
      <c r="C54" s="1002" t="s">
        <v>116</v>
      </c>
      <c r="D54" s="1002"/>
      <c r="E54" s="1002"/>
      <c r="F54" s="1002"/>
      <c r="G54" s="1002"/>
      <c r="H54" s="1002"/>
      <c r="I54" s="1002"/>
      <c r="J54" s="1002"/>
      <c r="K54" s="70">
        <f>SUM(K53:K53)</f>
        <v>4.0992499999999996</v>
      </c>
      <c r="L54" s="67"/>
    </row>
    <row r="55" spans="2:12" hidden="1"/>
    <row r="56" spans="2:12" hidden="1">
      <c r="B56" s="58" t="str">
        <f>'[6]PLANILHA ORÇAMENTÁRIA'!D21</f>
        <v>4.0</v>
      </c>
      <c r="C56" s="1000" t="str">
        <f>'[6]PLANILHA ORÇAMENTÁRIA'!E21</f>
        <v>FUNDAÇÃO</v>
      </c>
      <c r="D56" s="1000"/>
      <c r="E56" s="1000"/>
      <c r="F56" s="1000"/>
      <c r="G56" s="1000"/>
      <c r="H56" s="1000"/>
      <c r="I56" s="1000"/>
      <c r="J56" s="1000"/>
      <c r="K56" s="59"/>
      <c r="L56" s="59"/>
    </row>
    <row r="57" spans="2:12" ht="24.75" hidden="1" customHeight="1">
      <c r="B57" s="60" t="str">
        <f>'[6]PLANILHA ORÇAMENTÁRIA'!D22</f>
        <v>4.1</v>
      </c>
      <c r="C57" s="1003" t="str">
        <f>'[6]PLANILHA ORÇAMENTÁRIA'!E22</f>
        <v>LASTRO DE CONCRETO MAGRO, APLICADO EM BLOCOS DE COROAMENTO OU SAPATAS, ESPESSURA DE 5 CM. AF_08/2017</v>
      </c>
      <c r="D57" s="1003"/>
      <c r="E57" s="1003"/>
      <c r="F57" s="1003"/>
      <c r="G57" s="1003"/>
      <c r="H57" s="1003"/>
      <c r="I57" s="1003"/>
      <c r="J57" s="1003"/>
      <c r="K57" s="61" t="str">
        <f>'[6]PLANILHA ORÇAMENTÁRIA'!F22</f>
        <v>M2</v>
      </c>
      <c r="L57" s="62">
        <f>K65</f>
        <v>21.532500000000002</v>
      </c>
    </row>
    <row r="58" spans="2:12" hidden="1">
      <c r="B58" s="63"/>
      <c r="C58" s="1004" t="s">
        <v>20</v>
      </c>
      <c r="D58" s="1004"/>
      <c r="E58" s="1004"/>
      <c r="F58" s="64" t="s">
        <v>22</v>
      </c>
      <c r="G58" s="654" t="s">
        <v>111</v>
      </c>
      <c r="H58" s="64" t="s">
        <v>112</v>
      </c>
      <c r="I58" s="654" t="s">
        <v>113</v>
      </c>
      <c r="J58" s="654" t="s">
        <v>114</v>
      </c>
      <c r="K58" s="66" t="s">
        <v>25</v>
      </c>
      <c r="L58" s="67"/>
    </row>
    <row r="59" spans="2:12" hidden="1">
      <c r="B59" s="63"/>
      <c r="C59" s="1001" t="s">
        <v>123</v>
      </c>
      <c r="D59" s="1001"/>
      <c r="E59" s="1001"/>
      <c r="F59" s="68">
        <v>2</v>
      </c>
      <c r="G59" s="68"/>
      <c r="H59" s="68">
        <v>0.45</v>
      </c>
      <c r="I59" s="68">
        <v>5.4</v>
      </c>
      <c r="J59" s="68"/>
      <c r="K59" s="69">
        <f t="shared" ref="K59:K64" si="1">PRODUCT(F59:I59)</f>
        <v>4.8600000000000003</v>
      </c>
      <c r="L59" s="67"/>
    </row>
    <row r="60" spans="2:12" hidden="1">
      <c r="B60" s="63"/>
      <c r="C60" s="1001" t="s">
        <v>124</v>
      </c>
      <c r="D60" s="1001"/>
      <c r="E60" s="1001"/>
      <c r="F60" s="68">
        <v>2</v>
      </c>
      <c r="G60" s="68"/>
      <c r="H60" s="68">
        <v>0.45</v>
      </c>
      <c r="I60" s="68">
        <v>3.6</v>
      </c>
      <c r="J60" s="68"/>
      <c r="K60" s="69">
        <f t="shared" si="1"/>
        <v>3.24</v>
      </c>
      <c r="L60" s="67"/>
    </row>
    <row r="61" spans="2:12" hidden="1">
      <c r="B61" s="63"/>
      <c r="C61" s="1001" t="s">
        <v>125</v>
      </c>
      <c r="D61" s="1001"/>
      <c r="E61" s="1001"/>
      <c r="F61" s="68">
        <v>1</v>
      </c>
      <c r="G61" s="68"/>
      <c r="H61" s="68">
        <v>0.45</v>
      </c>
      <c r="I61" s="68">
        <v>4.2</v>
      </c>
      <c r="J61" s="68"/>
      <c r="K61" s="69">
        <f t="shared" si="1"/>
        <v>1.8900000000000001</v>
      </c>
      <c r="L61" s="67"/>
    </row>
    <row r="62" spans="2:12" hidden="1">
      <c r="B62" s="63"/>
      <c r="C62" s="1001" t="s">
        <v>126</v>
      </c>
      <c r="D62" s="1001"/>
      <c r="E62" s="1001"/>
      <c r="F62" s="68">
        <v>1</v>
      </c>
      <c r="G62" s="68"/>
      <c r="H62" s="68">
        <v>0.45</v>
      </c>
      <c r="I62" s="68">
        <v>3.15</v>
      </c>
      <c r="J62" s="68"/>
      <c r="K62" s="69">
        <f t="shared" si="1"/>
        <v>1.4175</v>
      </c>
      <c r="L62" s="67"/>
    </row>
    <row r="63" spans="2:12" hidden="1">
      <c r="B63" s="63"/>
      <c r="C63" s="1001" t="s">
        <v>127</v>
      </c>
      <c r="D63" s="1001"/>
      <c r="E63" s="1001"/>
      <c r="F63" s="68">
        <v>1</v>
      </c>
      <c r="G63" s="68"/>
      <c r="H63" s="68">
        <v>0.45</v>
      </c>
      <c r="I63" s="68">
        <f>5.7+5.7+4.7</f>
        <v>16.100000000000001</v>
      </c>
      <c r="J63" s="68"/>
      <c r="K63" s="69">
        <f t="shared" si="1"/>
        <v>7.245000000000001</v>
      </c>
      <c r="L63" s="67"/>
    </row>
    <row r="64" spans="2:12" hidden="1">
      <c r="B64" s="63"/>
      <c r="C64" s="1001" t="s">
        <v>128</v>
      </c>
      <c r="D64" s="1001"/>
      <c r="E64" s="1001"/>
      <c r="F64" s="68">
        <v>8</v>
      </c>
      <c r="G64" s="68"/>
      <c r="H64" s="68">
        <v>0.6</v>
      </c>
      <c r="I64" s="68">
        <v>0.6</v>
      </c>
      <c r="J64" s="68"/>
      <c r="K64" s="69">
        <f t="shared" si="1"/>
        <v>2.88</v>
      </c>
      <c r="L64" s="67"/>
    </row>
    <row r="65" spans="2:12" hidden="1">
      <c r="B65" s="63"/>
      <c r="C65" s="1002" t="s">
        <v>116</v>
      </c>
      <c r="D65" s="1002"/>
      <c r="E65" s="1002"/>
      <c r="F65" s="1002"/>
      <c r="G65" s="1002"/>
      <c r="H65" s="1002"/>
      <c r="I65" s="1002"/>
      <c r="J65" s="1002"/>
      <c r="K65" s="70">
        <f>SUM(K59:K64)</f>
        <v>21.532500000000002</v>
      </c>
      <c r="L65" s="67"/>
    </row>
    <row r="66" spans="2:12" hidden="1">
      <c r="B66" s="63"/>
      <c r="C66" s="71"/>
      <c r="D66" s="71"/>
      <c r="E66" s="71"/>
      <c r="F66" s="71"/>
      <c r="G66" s="71"/>
      <c r="H66" s="71"/>
      <c r="I66" s="71"/>
      <c r="J66" s="71"/>
      <c r="K66" s="72"/>
      <c r="L66" s="67"/>
    </row>
    <row r="67" spans="2:12" ht="15" hidden="1" customHeight="1">
      <c r="B67" s="60" t="str">
        <f>'[6]PLANILHA ORÇAMENTÁRIA'!D23</f>
        <v>4.2</v>
      </c>
      <c r="C67" s="1003" t="str">
        <f>'[6]PLANILHA ORÇAMENTÁRIA'!E23</f>
        <v>EMBASAMENTO C/PEDRA ARGAMASSADA UTILIZANDO ARG.CIM/AREIA 1:4</v>
      </c>
      <c r="D67" s="1003"/>
      <c r="E67" s="1003"/>
      <c r="F67" s="1003"/>
      <c r="G67" s="1003"/>
      <c r="H67" s="1003"/>
      <c r="I67" s="1003"/>
      <c r="J67" s="1003"/>
      <c r="K67" s="61" t="str">
        <f>'[6]PLANILHA ORÇAMENTÁRIA'!F23</f>
        <v>M3</v>
      </c>
      <c r="L67" s="62">
        <f>K74</f>
        <v>3.4812500000000002</v>
      </c>
    </row>
    <row r="68" spans="2:12" hidden="1">
      <c r="B68" s="63"/>
      <c r="C68" s="1004" t="s">
        <v>20</v>
      </c>
      <c r="D68" s="1004"/>
      <c r="E68" s="1004"/>
      <c r="F68" s="64" t="s">
        <v>22</v>
      </c>
      <c r="G68" s="654" t="s">
        <v>111</v>
      </c>
      <c r="H68" s="64" t="s">
        <v>112</v>
      </c>
      <c r="I68" s="654" t="s">
        <v>113</v>
      </c>
      <c r="J68" s="654" t="s">
        <v>114</v>
      </c>
      <c r="K68" s="66" t="s">
        <v>25</v>
      </c>
      <c r="L68" s="67"/>
    </row>
    <row r="69" spans="2:12" hidden="1">
      <c r="B69" s="63"/>
      <c r="C69" s="1001" t="s">
        <v>123</v>
      </c>
      <c r="D69" s="1001"/>
      <c r="E69" s="1001"/>
      <c r="F69" s="68">
        <v>2</v>
      </c>
      <c r="G69" s="68">
        <v>0.25</v>
      </c>
      <c r="H69" s="68">
        <v>0.4</v>
      </c>
      <c r="I69" s="68">
        <v>5.4</v>
      </c>
      <c r="J69" s="68"/>
      <c r="K69" s="69">
        <f>PRODUCT(F69:J69)</f>
        <v>1.08</v>
      </c>
      <c r="L69" s="67"/>
    </row>
    <row r="70" spans="2:12" hidden="1">
      <c r="B70" s="63"/>
      <c r="C70" s="1001" t="s">
        <v>124</v>
      </c>
      <c r="D70" s="1001"/>
      <c r="E70" s="1001"/>
      <c r="F70" s="68">
        <v>2</v>
      </c>
      <c r="G70" s="68">
        <v>0.25</v>
      </c>
      <c r="H70" s="68">
        <v>0.4</v>
      </c>
      <c r="I70" s="68">
        <v>3.6</v>
      </c>
      <c r="J70" s="68"/>
      <c r="K70" s="69">
        <f>PRODUCT(F70:J70)</f>
        <v>0.72000000000000008</v>
      </c>
      <c r="L70" s="67"/>
    </row>
    <row r="71" spans="2:12" hidden="1">
      <c r="B71" s="63"/>
      <c r="C71" s="1001" t="s">
        <v>125</v>
      </c>
      <c r="D71" s="1001"/>
      <c r="E71" s="1001"/>
      <c r="F71" s="68">
        <v>1</v>
      </c>
      <c r="G71" s="68">
        <v>0.25</v>
      </c>
      <c r="H71" s="68">
        <v>0.4</v>
      </c>
      <c r="I71" s="68">
        <v>3.6</v>
      </c>
      <c r="J71" s="68"/>
      <c r="K71" s="69">
        <f>PRODUCT(F71:J71)</f>
        <v>0.36000000000000004</v>
      </c>
      <c r="L71" s="67"/>
    </row>
    <row r="72" spans="2:12" hidden="1">
      <c r="B72" s="63"/>
      <c r="C72" s="1001" t="s">
        <v>127</v>
      </c>
      <c r="D72" s="1001"/>
      <c r="E72" s="1001"/>
      <c r="F72" s="68">
        <v>1</v>
      </c>
      <c r="G72" s="68">
        <v>0.25</v>
      </c>
      <c r="H72" s="68">
        <v>0.25</v>
      </c>
      <c r="I72" s="68">
        <f>5.7+5.7+4.7</f>
        <v>16.100000000000001</v>
      </c>
      <c r="J72" s="68"/>
      <c r="K72" s="69">
        <f>PRODUCT(F72:I72)</f>
        <v>1.0062500000000001</v>
      </c>
      <c r="L72" s="67"/>
    </row>
    <row r="73" spans="2:12" hidden="1">
      <c r="B73" s="63"/>
      <c r="C73" s="1001" t="s">
        <v>126</v>
      </c>
      <c r="D73" s="1001"/>
      <c r="E73" s="1001"/>
      <c r="F73" s="68">
        <v>1</v>
      </c>
      <c r="G73" s="68">
        <v>0.25</v>
      </c>
      <c r="H73" s="68">
        <v>0.4</v>
      </c>
      <c r="I73" s="68">
        <v>3.15</v>
      </c>
      <c r="J73" s="68"/>
      <c r="K73" s="69">
        <f>PRODUCT(F73:J73)</f>
        <v>0.315</v>
      </c>
      <c r="L73" s="67"/>
    </row>
    <row r="74" spans="2:12" hidden="1">
      <c r="B74" s="63"/>
      <c r="C74" s="1002" t="s">
        <v>116</v>
      </c>
      <c r="D74" s="1002"/>
      <c r="E74" s="1002"/>
      <c r="F74" s="1002"/>
      <c r="G74" s="1002"/>
      <c r="H74" s="1002"/>
      <c r="I74" s="1002"/>
      <c r="J74" s="1002"/>
      <c r="K74" s="70">
        <f>SUM(K69:K73)</f>
        <v>3.4812500000000002</v>
      </c>
      <c r="L74" s="67"/>
    </row>
    <row r="75" spans="2:12" hidden="1">
      <c r="B75" s="63"/>
      <c r="C75" s="71"/>
      <c r="D75" s="71"/>
      <c r="E75" s="71"/>
      <c r="F75" s="71"/>
      <c r="G75" s="71"/>
      <c r="H75" s="71"/>
      <c r="I75" s="71"/>
      <c r="J75" s="71"/>
      <c r="K75" s="72"/>
      <c r="L75" s="67"/>
    </row>
    <row r="76" spans="2:12" ht="27" hidden="1" customHeight="1">
      <c r="B76" s="60" t="str">
        <f>'[6]PLANILHA ORÇAMENTÁRIA'!D24</f>
        <v>4.3</v>
      </c>
      <c r="C76" s="1003" t="str">
        <f>'[6]PLANILHA ORÇAMENTÁRIA'!E24</f>
        <v>ALVENARIA DE EMBASAMENTO EM BLOCO CERAMICO, 8 FUROS, DE 9 X 19 X 19 CM, ASSENTADO COM ARGAMASSA TRACO 1:2:8 (CIMENTO, CAL E AREIA)</v>
      </c>
      <c r="D76" s="1003"/>
      <c r="E76" s="1003"/>
      <c r="F76" s="1003"/>
      <c r="G76" s="1003"/>
      <c r="H76" s="1003"/>
      <c r="I76" s="1003"/>
      <c r="J76" s="1003"/>
      <c r="K76" s="61" t="str">
        <f>'[6]PLANILHA ORÇAMENTÁRIA'!F24</f>
        <v>M3</v>
      </c>
      <c r="L76" s="62">
        <f>K83</f>
        <v>4.1775000000000002</v>
      </c>
    </row>
    <row r="77" spans="2:12" hidden="1">
      <c r="B77" s="63"/>
      <c r="C77" s="1004" t="s">
        <v>20</v>
      </c>
      <c r="D77" s="1004"/>
      <c r="E77" s="1004"/>
      <c r="F77" s="64" t="s">
        <v>22</v>
      </c>
      <c r="G77" s="654" t="s">
        <v>111</v>
      </c>
      <c r="H77" s="64" t="s">
        <v>112</v>
      </c>
      <c r="I77" s="654" t="s">
        <v>113</v>
      </c>
      <c r="J77" s="654" t="s">
        <v>114</v>
      </c>
      <c r="K77" s="66" t="s">
        <v>25</v>
      </c>
      <c r="L77" s="67"/>
    </row>
    <row r="78" spans="2:12" hidden="1">
      <c r="B78" s="63"/>
      <c r="C78" s="1001" t="s">
        <v>123</v>
      </c>
      <c r="D78" s="1001"/>
      <c r="E78" s="1001"/>
      <c r="F78" s="68">
        <v>2</v>
      </c>
      <c r="G78" s="68">
        <v>0.3</v>
      </c>
      <c r="H78" s="68">
        <v>0.4</v>
      </c>
      <c r="I78" s="68">
        <v>5.4</v>
      </c>
      <c r="J78" s="68"/>
      <c r="K78" s="69">
        <f>PRODUCT(F78:J78)</f>
        <v>1.296</v>
      </c>
      <c r="L78" s="67"/>
    </row>
    <row r="79" spans="2:12" hidden="1">
      <c r="B79" s="63"/>
      <c r="C79" s="1001" t="s">
        <v>124</v>
      </c>
      <c r="D79" s="1001"/>
      <c r="E79" s="1001"/>
      <c r="F79" s="68">
        <v>2</v>
      </c>
      <c r="G79" s="68">
        <v>0.3</v>
      </c>
      <c r="H79" s="68">
        <v>0.4</v>
      </c>
      <c r="I79" s="68">
        <v>3.6</v>
      </c>
      <c r="J79" s="68"/>
      <c r="K79" s="69">
        <f>PRODUCT(F79:J79)</f>
        <v>0.86399999999999999</v>
      </c>
      <c r="L79" s="67"/>
    </row>
    <row r="80" spans="2:12" hidden="1">
      <c r="B80" s="63"/>
      <c r="C80" s="1001" t="s">
        <v>125</v>
      </c>
      <c r="D80" s="1001"/>
      <c r="E80" s="1001"/>
      <c r="F80" s="68">
        <v>1</v>
      </c>
      <c r="G80" s="68">
        <v>0.3</v>
      </c>
      <c r="H80" s="68">
        <v>0.4</v>
      </c>
      <c r="I80" s="68">
        <v>3.6</v>
      </c>
      <c r="J80" s="68"/>
      <c r="K80" s="69">
        <f>PRODUCT(F80:J80)</f>
        <v>0.432</v>
      </c>
      <c r="L80" s="67"/>
    </row>
    <row r="81" spans="2:12" hidden="1">
      <c r="B81" s="63"/>
      <c r="C81" s="1001" t="s">
        <v>127</v>
      </c>
      <c r="D81" s="1001"/>
      <c r="E81" s="1001"/>
      <c r="F81" s="68">
        <v>1</v>
      </c>
      <c r="G81" s="68">
        <v>0.3</v>
      </c>
      <c r="H81" s="68">
        <v>0.25</v>
      </c>
      <c r="I81" s="68">
        <f>5.7+5.7+4.7</f>
        <v>16.100000000000001</v>
      </c>
      <c r="J81" s="68"/>
      <c r="K81" s="69">
        <f>PRODUCT(F81:I81)</f>
        <v>1.2075</v>
      </c>
      <c r="L81" s="67"/>
    </row>
    <row r="82" spans="2:12" hidden="1">
      <c r="B82" s="63"/>
      <c r="C82" s="1001" t="s">
        <v>126</v>
      </c>
      <c r="D82" s="1001"/>
      <c r="E82" s="1001"/>
      <c r="F82" s="68">
        <v>1</v>
      </c>
      <c r="G82" s="68">
        <v>0.3</v>
      </c>
      <c r="H82" s="68">
        <v>0.4</v>
      </c>
      <c r="I82" s="68">
        <v>3.15</v>
      </c>
      <c r="J82" s="68"/>
      <c r="K82" s="69">
        <f>PRODUCT(F82:J82)</f>
        <v>0.378</v>
      </c>
      <c r="L82" s="67"/>
    </row>
    <row r="83" spans="2:12" hidden="1">
      <c r="B83" s="63"/>
      <c r="C83" s="1002" t="s">
        <v>116</v>
      </c>
      <c r="D83" s="1002"/>
      <c r="E83" s="1002"/>
      <c r="F83" s="1002"/>
      <c r="G83" s="1002"/>
      <c r="H83" s="1002"/>
      <c r="I83" s="1002"/>
      <c r="J83" s="1002"/>
      <c r="K83" s="70">
        <f>SUM(K78:K82)</f>
        <v>4.1775000000000002</v>
      </c>
      <c r="L83" s="67"/>
    </row>
    <row r="84" spans="2:12" hidden="1">
      <c r="B84" s="63"/>
      <c r="C84" s="71"/>
      <c r="D84" s="71"/>
      <c r="E84" s="71"/>
      <c r="F84" s="71"/>
      <c r="G84" s="71"/>
      <c r="H84" s="71"/>
      <c r="I84" s="71"/>
      <c r="J84" s="71"/>
      <c r="K84" s="72"/>
      <c r="L84" s="67"/>
    </row>
    <row r="85" spans="2:12" ht="29.25" hidden="1" customHeight="1">
      <c r="B85" s="60" t="str">
        <f>'[6]PLANILHA ORÇAMENTÁRIA'!D25</f>
        <v>4.4</v>
      </c>
      <c r="C85" s="1003" t="str">
        <f>'[6]PLANILHA ORÇAMENTÁRIA'!E25</f>
        <v>ARMAÇÃO DE BLOCO, VIGA BALDRAME OU SAPATA UTILIZANDO AÇO CA-50 DE 10 MM - MONTAGEM. AF_06/2017</v>
      </c>
      <c r="D85" s="1003"/>
      <c r="E85" s="1003"/>
      <c r="F85" s="1003"/>
      <c r="G85" s="1003"/>
      <c r="H85" s="1003"/>
      <c r="I85" s="1003"/>
      <c r="J85" s="1003"/>
      <c r="K85" s="61" t="str">
        <f>'[6]PLANILHA ORÇAMENTÁRIA'!F25</f>
        <v>KG</v>
      </c>
      <c r="L85" s="62">
        <f>K88</f>
        <v>41.32</v>
      </c>
    </row>
    <row r="86" spans="2:12" hidden="1">
      <c r="B86" s="63"/>
      <c r="C86" s="1004" t="s">
        <v>20</v>
      </c>
      <c r="D86" s="1004"/>
      <c r="E86" s="1004"/>
      <c r="F86" s="64" t="s">
        <v>22</v>
      </c>
      <c r="G86" s="654" t="s">
        <v>113</v>
      </c>
      <c r="H86" s="64" t="s">
        <v>133</v>
      </c>
      <c r="I86" s="654" t="s">
        <v>112</v>
      </c>
      <c r="J86" s="654" t="s">
        <v>114</v>
      </c>
      <c r="K86" s="66" t="s">
        <v>25</v>
      </c>
      <c r="L86" s="67"/>
    </row>
    <row r="87" spans="2:12" ht="22.5" hidden="1" customHeight="1">
      <c r="B87" s="63"/>
      <c r="C87" s="1001" t="s">
        <v>134</v>
      </c>
      <c r="D87" s="1001"/>
      <c r="E87" s="1001"/>
      <c r="F87" s="68">
        <v>8</v>
      </c>
      <c r="G87" s="68">
        <v>8.1999999999999993</v>
      </c>
      <c r="H87" s="68">
        <v>0.63</v>
      </c>
      <c r="I87" s="68"/>
      <c r="J87" s="68"/>
      <c r="K87" s="655">
        <f>TRUNC((G87*H87)*F87,2)</f>
        <v>41.32</v>
      </c>
      <c r="L87" s="67"/>
    </row>
    <row r="88" spans="2:12" hidden="1">
      <c r="B88" s="63"/>
      <c r="C88" s="1002" t="s">
        <v>116</v>
      </c>
      <c r="D88" s="1002"/>
      <c r="E88" s="1002"/>
      <c r="F88" s="1002"/>
      <c r="G88" s="1002"/>
      <c r="H88" s="1002"/>
      <c r="I88" s="1002"/>
      <c r="J88" s="1002"/>
      <c r="K88" s="66">
        <f>SUM(K87:K87)</f>
        <v>41.32</v>
      </c>
      <c r="L88" s="67"/>
    </row>
    <row r="89" spans="2:12" hidden="1"/>
    <row r="90" spans="2:12" ht="27.75" hidden="1" customHeight="1">
      <c r="B90" s="60" t="str">
        <f>'[6]PLANILHA ORÇAMENTÁRIA'!D26</f>
        <v>4.5</v>
      </c>
      <c r="C90" s="1003" t="str">
        <f>'[6]PLANILHA ORÇAMENTÁRIA'!E26</f>
        <v>CONCRETAGEM DE BLOCOS DE COROAMENTO E VIGAS BALDRAMES, FCK 30 MPA, COM USO DE BOMBA LANÇAMENTO, ADENSAMENTO E ACABAMENTO. AF_06/2017</v>
      </c>
      <c r="D90" s="1003"/>
      <c r="E90" s="1003"/>
      <c r="F90" s="1003"/>
      <c r="G90" s="1003"/>
      <c r="H90" s="1003"/>
      <c r="I90" s="1003"/>
      <c r="J90" s="1003"/>
      <c r="K90" s="61" t="str">
        <f>'[6]PLANILHA ORÇAMENTÁRIA'!F26</f>
        <v>M3</v>
      </c>
      <c r="L90" s="62">
        <f>K93</f>
        <v>1.72</v>
      </c>
    </row>
    <row r="91" spans="2:12" hidden="1">
      <c r="B91" s="63"/>
      <c r="C91" s="1004" t="s">
        <v>20</v>
      </c>
      <c r="D91" s="1004"/>
      <c r="E91" s="1004"/>
      <c r="F91" s="64" t="s">
        <v>22</v>
      </c>
      <c r="G91" s="654" t="s">
        <v>111</v>
      </c>
      <c r="H91" s="64" t="s">
        <v>112</v>
      </c>
      <c r="I91" s="654" t="s">
        <v>113</v>
      </c>
      <c r="J91" s="654" t="s">
        <v>114</v>
      </c>
      <c r="K91" s="66" t="s">
        <v>25</v>
      </c>
      <c r="L91" s="67"/>
    </row>
    <row r="92" spans="2:12" hidden="1">
      <c r="B92" s="63"/>
      <c r="C92" s="1001" t="s">
        <v>135</v>
      </c>
      <c r="D92" s="1001"/>
      <c r="E92" s="1001"/>
      <c r="F92" s="68">
        <v>8</v>
      </c>
      <c r="G92" s="68">
        <v>0.6</v>
      </c>
      <c r="H92" s="68">
        <v>0.6</v>
      </c>
      <c r="I92" s="68">
        <v>0.6</v>
      </c>
      <c r="J92" s="68"/>
      <c r="K92" s="655">
        <f>TRUNC(G92*H92*F92*I92,2)</f>
        <v>1.72</v>
      </c>
      <c r="L92" s="67"/>
    </row>
    <row r="93" spans="2:12" hidden="1">
      <c r="B93" s="63"/>
      <c r="C93" s="1002" t="s">
        <v>116</v>
      </c>
      <c r="D93" s="1002"/>
      <c r="E93" s="1002"/>
      <c r="F93" s="1002"/>
      <c r="G93" s="1002"/>
      <c r="H93" s="1002"/>
      <c r="I93" s="1002"/>
      <c r="J93" s="1002"/>
      <c r="K93" s="66">
        <f>SUM(K92:K92)</f>
        <v>1.72</v>
      </c>
      <c r="L93" s="67"/>
    </row>
    <row r="94" spans="2:12" hidden="1"/>
    <row r="95" spans="2:12" ht="15" hidden="1" customHeight="1">
      <c r="B95" s="60" t="str">
        <f>'[6]PLANILHA ORÇAMENTÁRIA'!D27</f>
        <v>4.6</v>
      </c>
      <c r="C95" s="1003" t="str">
        <f>'[6]PLANILHA ORÇAMENTÁRIA'!E27</f>
        <v>IMPERMEABILIZAÇÃO DE ESTRUTURAS ENTERRADAS, COM TINTA ASFALTICA, DUAS DEMAOS.</v>
      </c>
      <c r="D95" s="1003"/>
      <c r="E95" s="1003"/>
      <c r="F95" s="1003"/>
      <c r="G95" s="1003"/>
      <c r="H95" s="1003"/>
      <c r="I95" s="1003"/>
      <c r="J95" s="1003"/>
      <c r="K95" s="61" t="str">
        <f>'[6]PLANILHA ORÇAMENTÁRIA'!F27</f>
        <v>M2</v>
      </c>
      <c r="L95" s="62">
        <f>K98</f>
        <v>23.88</v>
      </c>
    </row>
    <row r="96" spans="2:12" hidden="1">
      <c r="B96" s="63"/>
      <c r="C96" s="1004" t="s">
        <v>20</v>
      </c>
      <c r="D96" s="1004"/>
      <c r="E96" s="1004"/>
      <c r="F96" s="64" t="s">
        <v>22</v>
      </c>
      <c r="G96" s="654" t="s">
        <v>111</v>
      </c>
      <c r="H96" s="64" t="s">
        <v>112</v>
      </c>
      <c r="I96" s="654" t="s">
        <v>113</v>
      </c>
      <c r="J96" s="654" t="s">
        <v>136</v>
      </c>
      <c r="K96" s="66" t="s">
        <v>25</v>
      </c>
      <c r="L96" s="67"/>
    </row>
    <row r="97" spans="2:12" hidden="1">
      <c r="B97" s="63"/>
      <c r="C97" s="1001"/>
      <c r="D97" s="1001"/>
      <c r="E97" s="1001"/>
      <c r="F97" s="68"/>
      <c r="G97" s="68">
        <v>0.3</v>
      </c>
      <c r="H97" s="68">
        <v>0.15</v>
      </c>
      <c r="I97" s="68">
        <v>31.85</v>
      </c>
      <c r="J97" s="68">
        <v>2</v>
      </c>
      <c r="K97" s="655">
        <f>TRUNC((G97*I97*J97)+(H97*I97),2)</f>
        <v>23.88</v>
      </c>
      <c r="L97" s="67"/>
    </row>
    <row r="98" spans="2:12" hidden="1">
      <c r="B98" s="63"/>
      <c r="C98" s="1002" t="s">
        <v>116</v>
      </c>
      <c r="D98" s="1002"/>
      <c r="E98" s="1002"/>
      <c r="F98" s="1002"/>
      <c r="G98" s="1002"/>
      <c r="H98" s="1002"/>
      <c r="I98" s="1002"/>
      <c r="J98" s="1002"/>
      <c r="K98" s="66">
        <f>SUM(K97:K97)</f>
        <v>23.88</v>
      </c>
      <c r="L98" s="67"/>
    </row>
    <row r="99" spans="2:12" hidden="1"/>
    <row r="100" spans="2:12" hidden="1">
      <c r="B100" s="58" t="str">
        <f>'[6]PLANILHA ORÇAMENTÁRIA'!D28</f>
        <v>5.0</v>
      </c>
      <c r="C100" s="1000" t="str">
        <f>'[6]PLANILHA ORÇAMENTÁRIA'!E28</f>
        <v>ESTRUTURA EM CONCRETO ARMADO</v>
      </c>
      <c r="D100" s="1000"/>
      <c r="E100" s="1000"/>
      <c r="F100" s="1000"/>
      <c r="G100" s="1000"/>
      <c r="H100" s="1000"/>
      <c r="I100" s="1000"/>
      <c r="J100" s="1000"/>
      <c r="K100" s="59"/>
      <c r="L100" s="59"/>
    </row>
    <row r="101" spans="2:12" ht="15" hidden="1" customHeight="1">
      <c r="B101" s="60" t="e">
        <f>'[6]PLANILHA ORÇAMENTÁRIA'!#REF!</f>
        <v>#REF!</v>
      </c>
      <c r="C101" s="1003" t="e">
        <f>'[6]PLANILHA ORÇAMENTÁRIA'!#REF!</f>
        <v>#REF!</v>
      </c>
      <c r="D101" s="1003"/>
      <c r="E101" s="1003"/>
      <c r="F101" s="1003"/>
      <c r="G101" s="1003"/>
      <c r="H101" s="1003"/>
      <c r="I101" s="1003"/>
      <c r="J101" s="1003"/>
      <c r="K101" s="61" t="e">
        <f>'[6]PLANILHA ORÇAMENTÁRIA'!#REF!</f>
        <v>#REF!</v>
      </c>
      <c r="L101" s="62">
        <f>K104</f>
        <v>31.85</v>
      </c>
    </row>
    <row r="102" spans="2:12" hidden="1">
      <c r="B102" s="63"/>
      <c r="C102" s="1004" t="s">
        <v>20</v>
      </c>
      <c r="D102" s="1004"/>
      <c r="E102" s="1004"/>
      <c r="F102" s="64" t="s">
        <v>22</v>
      </c>
      <c r="G102" s="654" t="s">
        <v>111</v>
      </c>
      <c r="H102" s="64" t="s">
        <v>112</v>
      </c>
      <c r="I102" s="654" t="s">
        <v>113</v>
      </c>
      <c r="J102" s="654" t="s">
        <v>114</v>
      </c>
      <c r="K102" s="66" t="s">
        <v>25</v>
      </c>
      <c r="L102" s="67"/>
    </row>
    <row r="103" spans="2:12" hidden="1">
      <c r="B103" s="63"/>
      <c r="C103" s="1001" t="s">
        <v>137</v>
      </c>
      <c r="D103" s="1001"/>
      <c r="E103" s="1001"/>
      <c r="F103" s="68">
        <v>1</v>
      </c>
      <c r="G103" s="68"/>
      <c r="H103" s="68"/>
      <c r="I103" s="68">
        <v>31.85</v>
      </c>
      <c r="J103" s="68"/>
      <c r="K103" s="655">
        <f>I103*F103</f>
        <v>31.85</v>
      </c>
      <c r="L103" s="67"/>
    </row>
    <row r="104" spans="2:12" hidden="1">
      <c r="B104" s="63"/>
      <c r="C104" s="1002" t="s">
        <v>116</v>
      </c>
      <c r="D104" s="1002"/>
      <c r="E104" s="1002"/>
      <c r="F104" s="1002"/>
      <c r="G104" s="1002"/>
      <c r="H104" s="1002"/>
      <c r="I104" s="1002"/>
      <c r="J104" s="1002"/>
      <c r="K104" s="66">
        <f>SUM(K103:K103)</f>
        <v>31.85</v>
      </c>
      <c r="L104" s="67"/>
    </row>
    <row r="105" spans="2:12" hidden="1"/>
    <row r="106" spans="2:12" ht="15" hidden="1" customHeight="1">
      <c r="B106" s="60" t="str">
        <f>'[6]PLANILHA ORÇAMENTÁRIA'!D29</f>
        <v>5.1</v>
      </c>
      <c r="C106" s="1003" t="str">
        <f>'[6]PLANILHA ORÇAMENTÁRIA'!E29</f>
        <v>FORMA PLANA PARA PILARES, EM COMPENSADO RESINADO DE 14MM, 12 USOS, INCLUSIVE ESCORAMENTO</v>
      </c>
      <c r="D106" s="1003"/>
      <c r="E106" s="1003"/>
      <c r="F106" s="1003"/>
      <c r="G106" s="1003"/>
      <c r="H106" s="1003"/>
      <c r="I106" s="1003"/>
      <c r="J106" s="1003"/>
      <c r="K106" s="61" t="str">
        <f>'[6]PLANILHA ORÇAMENTÁRIA'!F29</f>
        <v>M2</v>
      </c>
      <c r="L106" s="62">
        <f>K111</f>
        <v>26.689999999999998</v>
      </c>
    </row>
    <row r="107" spans="2:12" hidden="1">
      <c r="B107" s="63"/>
      <c r="C107" s="1004" t="s">
        <v>20</v>
      </c>
      <c r="D107" s="1004"/>
      <c r="E107" s="1004"/>
      <c r="F107" s="64" t="s">
        <v>22</v>
      </c>
      <c r="G107" s="654" t="s">
        <v>111</v>
      </c>
      <c r="H107" s="64" t="s">
        <v>112</v>
      </c>
      <c r="I107" s="654" t="s">
        <v>113</v>
      </c>
      <c r="J107" s="654" t="s">
        <v>136</v>
      </c>
      <c r="K107" s="66" t="s">
        <v>25</v>
      </c>
      <c r="L107" s="67"/>
    </row>
    <row r="108" spans="2:12" hidden="1">
      <c r="B108" s="63"/>
      <c r="C108" s="1001" t="s">
        <v>138</v>
      </c>
      <c r="D108" s="1001"/>
      <c r="E108" s="1001"/>
      <c r="F108" s="68">
        <v>4</v>
      </c>
      <c r="G108" s="68">
        <v>5.05</v>
      </c>
      <c r="H108" s="68">
        <v>0.19</v>
      </c>
      <c r="I108" s="68">
        <v>0.19</v>
      </c>
      <c r="J108" s="68">
        <v>2</v>
      </c>
      <c r="K108" s="655">
        <f>TRUNC((H108*G108*J108*F108)+(I108*G108*J108*F108),2)</f>
        <v>15.35</v>
      </c>
      <c r="L108" s="67"/>
    </row>
    <row r="109" spans="2:12" hidden="1">
      <c r="B109" s="63"/>
      <c r="C109" s="1001" t="s">
        <v>138</v>
      </c>
      <c r="D109" s="1001"/>
      <c r="E109" s="1001"/>
      <c r="F109" s="68">
        <v>2</v>
      </c>
      <c r="G109" s="68">
        <v>3.7</v>
      </c>
      <c r="H109" s="68">
        <v>0.19</v>
      </c>
      <c r="I109" s="68">
        <v>0.19</v>
      </c>
      <c r="J109" s="68">
        <v>2</v>
      </c>
      <c r="K109" s="655">
        <f>TRUNC((H109*G109*J109*F109)+(I109*G109*J109*F109),2)</f>
        <v>5.62</v>
      </c>
      <c r="L109" s="67"/>
    </row>
    <row r="110" spans="2:12" hidden="1">
      <c r="B110" s="63"/>
      <c r="C110" s="1001" t="s">
        <v>139</v>
      </c>
      <c r="D110" s="1001"/>
      <c r="E110" s="1001"/>
      <c r="F110" s="68">
        <v>2</v>
      </c>
      <c r="G110" s="68">
        <v>2.6</v>
      </c>
      <c r="H110" s="68">
        <v>0.15</v>
      </c>
      <c r="I110" s="68">
        <v>0.4</v>
      </c>
      <c r="J110" s="68">
        <v>2</v>
      </c>
      <c r="K110" s="655">
        <f>TRUNC((H110*G110*J110*F110)+(I110*G110*J110*F110),2)</f>
        <v>5.72</v>
      </c>
      <c r="L110" s="67"/>
    </row>
    <row r="111" spans="2:12" hidden="1">
      <c r="B111" s="63"/>
      <c r="C111" s="1002" t="s">
        <v>116</v>
      </c>
      <c r="D111" s="1002"/>
      <c r="E111" s="1002"/>
      <c r="F111" s="1002"/>
      <c r="G111" s="1002"/>
      <c r="H111" s="1002"/>
      <c r="I111" s="1002"/>
      <c r="J111" s="1002"/>
      <c r="K111" s="66">
        <f>SUM(K108:K110)</f>
        <v>26.689999999999998</v>
      </c>
      <c r="L111" s="67"/>
    </row>
    <row r="112" spans="2:12" hidden="1"/>
    <row r="113" spans="2:12" ht="23.25" hidden="1" customHeight="1">
      <c r="B113" s="60" t="str">
        <f>'[6]PLANILHA ORÇAMENTÁRIA'!D30</f>
        <v>5.2</v>
      </c>
      <c r="C113" s="1003" t="str">
        <f>'[6]PLANILHA ORÇAMENTÁRIA'!E30</f>
        <v>ARMAÇÃO DE PILAR OU VIGA DE UMA ESTRUTURA CONVENCIONAL DE CONCRETO ARMADO EM UMA EDIFICAÇÃO TÉRREA OU SOBRADO UTILIZANDO AÇO CA-50 DE 10,0 MM - MONTAGEM. AF_12/2015</v>
      </c>
      <c r="D113" s="1003"/>
      <c r="E113" s="1003"/>
      <c r="F113" s="1003"/>
      <c r="G113" s="1003"/>
      <c r="H113" s="1003"/>
      <c r="I113" s="1003"/>
      <c r="J113" s="1003"/>
      <c r="K113" s="61" t="str">
        <f>'[6]PLANILHA ORÇAMENTÁRIA'!F30</f>
        <v>KG</v>
      </c>
      <c r="L113" s="62">
        <f>K120</f>
        <v>262.81</v>
      </c>
    </row>
    <row r="114" spans="2:12" hidden="1">
      <c r="B114" s="63"/>
      <c r="C114" s="1004" t="s">
        <v>20</v>
      </c>
      <c r="D114" s="1004"/>
      <c r="E114" s="1004"/>
      <c r="F114" s="64" t="s">
        <v>22</v>
      </c>
      <c r="G114" s="654" t="s">
        <v>113</v>
      </c>
      <c r="H114" s="64" t="s">
        <v>133</v>
      </c>
      <c r="I114" s="654" t="s">
        <v>112</v>
      </c>
      <c r="J114" s="654" t="s">
        <v>114</v>
      </c>
      <c r="K114" s="66" t="s">
        <v>25</v>
      </c>
      <c r="L114" s="67"/>
    </row>
    <row r="115" spans="2:12" hidden="1">
      <c r="B115" s="63"/>
      <c r="C115" s="1001" t="s">
        <v>140</v>
      </c>
      <c r="D115" s="1001"/>
      <c r="E115" s="1001"/>
      <c r="F115" s="68">
        <v>4</v>
      </c>
      <c r="G115" s="68">
        <f>5.05*4</f>
        <v>20.2</v>
      </c>
      <c r="H115" s="68">
        <v>0.63</v>
      </c>
      <c r="I115" s="68"/>
      <c r="J115" s="68"/>
      <c r="K115" s="655">
        <f>TRUNC((G115*F115)*H115,2)</f>
        <v>50.9</v>
      </c>
      <c r="L115" s="67"/>
    </row>
    <row r="116" spans="2:12" hidden="1">
      <c r="B116" s="63"/>
      <c r="C116" s="1001" t="s">
        <v>140</v>
      </c>
      <c r="D116" s="1001"/>
      <c r="E116" s="1001"/>
      <c r="F116" s="68">
        <v>2</v>
      </c>
      <c r="G116" s="68">
        <f>3.7*4</f>
        <v>14.8</v>
      </c>
      <c r="H116" s="68">
        <v>0.63</v>
      </c>
      <c r="I116" s="68"/>
      <c r="J116" s="68"/>
      <c r="K116" s="655">
        <f>TRUNC((G116*F116)*H116,2)</f>
        <v>18.64</v>
      </c>
      <c r="L116" s="67"/>
    </row>
    <row r="117" spans="2:12" hidden="1">
      <c r="B117" s="63"/>
      <c r="C117" s="1001" t="s">
        <v>141</v>
      </c>
      <c r="D117" s="1001"/>
      <c r="E117" s="1001"/>
      <c r="F117" s="68">
        <v>2</v>
      </c>
      <c r="G117" s="68">
        <f>2.6*6</f>
        <v>15.600000000000001</v>
      </c>
      <c r="H117" s="68">
        <v>0.63</v>
      </c>
      <c r="I117" s="68"/>
      <c r="J117" s="68"/>
      <c r="K117" s="655">
        <f>TRUNC((G117*F117)*H117,2)</f>
        <v>19.649999999999999</v>
      </c>
      <c r="L117" s="67"/>
    </row>
    <row r="118" spans="2:12" hidden="1">
      <c r="B118" s="63"/>
      <c r="C118" s="1001" t="s">
        <v>142</v>
      </c>
      <c r="D118" s="1001"/>
      <c r="E118" s="1001"/>
      <c r="F118" s="68">
        <v>2</v>
      </c>
      <c r="G118" s="68">
        <f>25.8*4</f>
        <v>103.2</v>
      </c>
      <c r="H118" s="68">
        <v>0.63</v>
      </c>
      <c r="I118" s="68"/>
      <c r="J118" s="68"/>
      <c r="K118" s="655">
        <f>TRUNC((G118*F118)*H118,2)</f>
        <v>130.03</v>
      </c>
      <c r="L118" s="67"/>
    </row>
    <row r="119" spans="2:12" hidden="1">
      <c r="B119" s="63"/>
      <c r="C119" s="1001" t="s">
        <v>142</v>
      </c>
      <c r="D119" s="1001"/>
      <c r="E119" s="1001"/>
      <c r="F119" s="68">
        <v>1</v>
      </c>
      <c r="G119" s="68">
        <f>17.3*4</f>
        <v>69.2</v>
      </c>
      <c r="H119" s="68">
        <v>0.63</v>
      </c>
      <c r="I119" s="68"/>
      <c r="J119" s="68"/>
      <c r="K119" s="655">
        <f>TRUNC((G119*F119)*H119,2)</f>
        <v>43.59</v>
      </c>
      <c r="L119" s="67"/>
    </row>
    <row r="120" spans="2:12" hidden="1">
      <c r="B120" s="63"/>
      <c r="C120" s="1002" t="s">
        <v>116</v>
      </c>
      <c r="D120" s="1002"/>
      <c r="E120" s="1002"/>
      <c r="F120" s="1002"/>
      <c r="G120" s="1002"/>
      <c r="H120" s="1002"/>
      <c r="I120" s="1002"/>
      <c r="J120" s="1002"/>
      <c r="K120" s="66">
        <f>SUM(K115:K119)</f>
        <v>262.81</v>
      </c>
      <c r="L120" s="67"/>
    </row>
    <row r="121" spans="2:12" hidden="1"/>
    <row r="122" spans="2:12" ht="27" hidden="1" customHeight="1">
      <c r="B122" s="60" t="str">
        <f>'[6]PLANILHA ORÇAMENTÁRIA'!D31</f>
        <v>5.3</v>
      </c>
      <c r="C122" s="1003" t="str">
        <f>'[6]PLANILHA ORÇAMENTÁRIA'!E31</f>
        <v>ARMAÇÃO DE PILAR OU VIGA DE UMA ESTRUTURA CONVENCIONAL DE CONCRETO ARMADO EM UMA EDIFICAÇÃO TÉRREA OU SOBRADO UTILIZANDO AÇO CA-60 DE 5,0 MM - MONTAGEM. AF_12/2015</v>
      </c>
      <c r="D122" s="1003"/>
      <c r="E122" s="1003"/>
      <c r="F122" s="1003"/>
      <c r="G122" s="1003"/>
      <c r="H122" s="1003"/>
      <c r="I122" s="1003"/>
      <c r="J122" s="1003"/>
      <c r="K122" s="61" t="str">
        <f>'[6]PLANILHA ORÇAMENTÁRIA'!F31</f>
        <v>KG</v>
      </c>
      <c r="L122" s="62">
        <f>K129</f>
        <v>67.75</v>
      </c>
    </row>
    <row r="123" spans="2:12" hidden="1">
      <c r="B123" s="63"/>
      <c r="C123" s="1004" t="s">
        <v>20</v>
      </c>
      <c r="D123" s="1004"/>
      <c r="E123" s="1004"/>
      <c r="F123" s="64" t="s">
        <v>22</v>
      </c>
      <c r="G123" s="654" t="s">
        <v>113</v>
      </c>
      <c r="H123" s="64" t="s">
        <v>143</v>
      </c>
      <c r="I123" s="64" t="s">
        <v>144</v>
      </c>
      <c r="J123" s="64" t="s">
        <v>133</v>
      </c>
      <c r="K123" s="66" t="s">
        <v>25</v>
      </c>
      <c r="L123" s="67"/>
    </row>
    <row r="124" spans="2:12" hidden="1">
      <c r="B124" s="63"/>
      <c r="C124" s="1001" t="s">
        <v>145</v>
      </c>
      <c r="D124" s="1001"/>
      <c r="E124" s="1001"/>
      <c r="F124" s="68">
        <v>4</v>
      </c>
      <c r="G124" s="68">
        <f>0.13+0.13+0.13+0.13+0.16</f>
        <v>0.68</v>
      </c>
      <c r="H124" s="68">
        <f>TRUNC(G108/0.2,2)</f>
        <v>25.25</v>
      </c>
      <c r="I124" s="68">
        <f>TRUNC(G124*H124,2)</f>
        <v>17.170000000000002</v>
      </c>
      <c r="J124" s="68">
        <v>0.16</v>
      </c>
      <c r="K124" s="655">
        <f>TRUNC((I124*G124*J124)*F124,2)</f>
        <v>7.47</v>
      </c>
      <c r="L124" s="67"/>
    </row>
    <row r="125" spans="2:12" hidden="1">
      <c r="B125" s="63"/>
      <c r="C125" s="1001" t="s">
        <v>145</v>
      </c>
      <c r="D125" s="1001"/>
      <c r="E125" s="1001"/>
      <c r="F125" s="68">
        <v>2</v>
      </c>
      <c r="G125" s="68">
        <f>0.13+0.13+0.13+0.13+0.16</f>
        <v>0.68</v>
      </c>
      <c r="H125" s="68">
        <f>TRUNC(G109/0.2,2)</f>
        <v>18.5</v>
      </c>
      <c r="I125" s="68">
        <f>TRUNC(G125*H125,2)</f>
        <v>12.58</v>
      </c>
      <c r="J125" s="68">
        <v>0.16</v>
      </c>
      <c r="K125" s="655">
        <f>TRUNC((I125*G125*J125)*F125,2)</f>
        <v>2.73</v>
      </c>
      <c r="L125" s="67"/>
    </row>
    <row r="126" spans="2:12" hidden="1">
      <c r="B126" s="63"/>
      <c r="C126" s="1001" t="s">
        <v>146</v>
      </c>
      <c r="D126" s="1001"/>
      <c r="E126" s="1001"/>
      <c r="F126" s="68">
        <v>2</v>
      </c>
      <c r="G126" s="68">
        <f>0.9+0.9+0.34+0.34+0.16</f>
        <v>2.64</v>
      </c>
      <c r="H126" s="68">
        <f>TRUNC(G110/0.2,2)</f>
        <v>13</v>
      </c>
      <c r="I126" s="68">
        <f>TRUNC(G126*H126,2)</f>
        <v>34.32</v>
      </c>
      <c r="J126" s="68">
        <v>0.16</v>
      </c>
      <c r="K126" s="655">
        <f>TRUNC((I126*G126*J126)*F126,2)</f>
        <v>28.99</v>
      </c>
      <c r="L126" s="67"/>
    </row>
    <row r="127" spans="2:12" hidden="1">
      <c r="B127" s="63"/>
      <c r="C127" s="1001" t="s">
        <v>147</v>
      </c>
      <c r="D127" s="1001"/>
      <c r="E127" s="1001"/>
      <c r="F127" s="68">
        <v>2</v>
      </c>
      <c r="G127" s="68">
        <f>0.09+0.09+0.19+0.19+0.16</f>
        <v>0.72000000000000008</v>
      </c>
      <c r="H127" s="68">
        <f>TRUNC(I140/0.2,2)</f>
        <v>129</v>
      </c>
      <c r="I127" s="68">
        <f>TRUNC(G127*H127,2)</f>
        <v>92.88</v>
      </c>
      <c r="J127" s="68">
        <v>0.16</v>
      </c>
      <c r="K127" s="655">
        <f>TRUNC((I127*G127*J127)*F127,2)</f>
        <v>21.39</v>
      </c>
      <c r="L127" s="67"/>
    </row>
    <row r="128" spans="2:12" hidden="1">
      <c r="B128" s="63"/>
      <c r="C128" s="1001" t="s">
        <v>147</v>
      </c>
      <c r="D128" s="1001"/>
      <c r="E128" s="1001"/>
      <c r="F128" s="68">
        <v>1</v>
      </c>
      <c r="G128" s="68">
        <f>0.09+0.09+0.19+0.19+0.16</f>
        <v>0.72000000000000008</v>
      </c>
      <c r="H128" s="68">
        <f>TRUNC(I141/0.2,2)</f>
        <v>86.5</v>
      </c>
      <c r="I128" s="68">
        <f>TRUNC(G128*H128,2)</f>
        <v>62.28</v>
      </c>
      <c r="J128" s="68">
        <v>0.16</v>
      </c>
      <c r="K128" s="655">
        <f>TRUNC((I128*G128*J128)*F128,2)</f>
        <v>7.17</v>
      </c>
      <c r="L128" s="67"/>
    </row>
    <row r="129" spans="2:12" hidden="1">
      <c r="B129" s="63"/>
      <c r="C129" s="1002" t="s">
        <v>116</v>
      </c>
      <c r="D129" s="1002"/>
      <c r="E129" s="1002"/>
      <c r="F129" s="1002"/>
      <c r="G129" s="1002"/>
      <c r="H129" s="1002"/>
      <c r="I129" s="1002"/>
      <c r="J129" s="1002"/>
      <c r="K129" s="66">
        <f>SUM(K124:K128)</f>
        <v>67.75</v>
      </c>
      <c r="L129" s="67"/>
    </row>
    <row r="130" spans="2:12" hidden="1">
      <c r="B130" s="63"/>
      <c r="C130" s="71"/>
      <c r="D130" s="71"/>
      <c r="E130" s="71"/>
      <c r="F130" s="71"/>
      <c r="G130" s="71"/>
      <c r="H130" s="71"/>
      <c r="I130" s="71"/>
      <c r="J130" s="71"/>
      <c r="K130" s="73"/>
      <c r="L130" s="67"/>
    </row>
    <row r="131" spans="2:12" ht="24.75" hidden="1" customHeight="1">
      <c r="B131" s="60" t="str">
        <f>'[6]PLANILHA ORÇAMENTÁRIA'!D32</f>
        <v>5.4</v>
      </c>
      <c r="C131" s="1003" t="str">
        <f>'[6]PLANILHA ORÇAMENTÁRIA'!E32</f>
        <v>CONCRETAGEM DE PILARES, FCK = 25 MPA, COM USO DE GRUA EM EDIFICAÇÃO COM SEÇÃO MÉDIA DE PILARES MAIOR QUE 0,25 M² - LANÇAMENTO, ADENSAMENTO E ACABAMENTO. AF_12/2015</v>
      </c>
      <c r="D131" s="1003"/>
      <c r="E131" s="1003"/>
      <c r="F131" s="1003"/>
      <c r="G131" s="1003"/>
      <c r="H131" s="1003"/>
      <c r="I131" s="1003"/>
      <c r="J131" s="1003"/>
      <c r="K131" s="61" t="str">
        <f>'[6]PLANILHA ORÇAMENTÁRIA'!F32</f>
        <v>M3</v>
      </c>
      <c r="L131" s="62">
        <f>K136</f>
        <v>1.29</v>
      </c>
    </row>
    <row r="132" spans="2:12" hidden="1">
      <c r="B132" s="63"/>
      <c r="C132" s="1004" t="s">
        <v>20</v>
      </c>
      <c r="D132" s="1004"/>
      <c r="E132" s="1004"/>
      <c r="F132" s="64" t="s">
        <v>22</v>
      </c>
      <c r="G132" s="654" t="s">
        <v>111</v>
      </c>
      <c r="H132" s="64" t="s">
        <v>112</v>
      </c>
      <c r="I132" s="654" t="s">
        <v>113</v>
      </c>
      <c r="J132" s="654" t="s">
        <v>114</v>
      </c>
      <c r="K132" s="66" t="s">
        <v>25</v>
      </c>
      <c r="L132" s="67"/>
    </row>
    <row r="133" spans="2:12" hidden="1">
      <c r="B133" s="63"/>
      <c r="C133" s="1001" t="s">
        <v>138</v>
      </c>
      <c r="D133" s="1001"/>
      <c r="E133" s="1001"/>
      <c r="F133" s="68">
        <v>4</v>
      </c>
      <c r="G133" s="68">
        <v>5.05</v>
      </c>
      <c r="H133" s="68">
        <v>0.19</v>
      </c>
      <c r="I133" s="68">
        <v>0.19</v>
      </c>
      <c r="J133" s="68"/>
      <c r="K133" s="655">
        <f>TRUNC(H133*I133*G133*F133,2)</f>
        <v>0.72</v>
      </c>
      <c r="L133" s="67"/>
    </row>
    <row r="134" spans="2:12" hidden="1">
      <c r="B134" s="63"/>
      <c r="C134" s="1001" t="s">
        <v>138</v>
      </c>
      <c r="D134" s="1001"/>
      <c r="E134" s="1001"/>
      <c r="F134" s="68">
        <v>2</v>
      </c>
      <c r="G134" s="68">
        <v>3.7</v>
      </c>
      <c r="H134" s="68">
        <v>0.19</v>
      </c>
      <c r="I134" s="68">
        <v>0.19</v>
      </c>
      <c r="J134" s="68"/>
      <c r="K134" s="655">
        <f>TRUNC(H134*I134*G134*F134,2)</f>
        <v>0.26</v>
      </c>
      <c r="L134" s="67"/>
    </row>
    <row r="135" spans="2:12" hidden="1">
      <c r="B135" s="63"/>
      <c r="C135" s="1001" t="s">
        <v>139</v>
      </c>
      <c r="D135" s="1001"/>
      <c r="E135" s="1001"/>
      <c r="F135" s="68">
        <v>2</v>
      </c>
      <c r="G135" s="68">
        <v>2.6</v>
      </c>
      <c r="H135" s="68">
        <v>0.15</v>
      </c>
      <c r="I135" s="68">
        <v>0.4</v>
      </c>
      <c r="J135" s="68"/>
      <c r="K135" s="655">
        <f>TRUNC(H135*I135*G135*F135,2)</f>
        <v>0.31</v>
      </c>
      <c r="L135" s="67"/>
    </row>
    <row r="136" spans="2:12" hidden="1">
      <c r="B136" s="63"/>
      <c r="C136" s="1002" t="s">
        <v>116</v>
      </c>
      <c r="D136" s="1002"/>
      <c r="E136" s="1002"/>
      <c r="F136" s="1002"/>
      <c r="G136" s="1002"/>
      <c r="H136" s="1002"/>
      <c r="I136" s="1002"/>
      <c r="J136" s="1002"/>
      <c r="K136" s="66">
        <f>SUM(K133:K135)</f>
        <v>1.29</v>
      </c>
      <c r="L136" s="67"/>
    </row>
    <row r="137" spans="2:12" hidden="1"/>
    <row r="138" spans="2:12" ht="15" hidden="1" customHeight="1">
      <c r="B138" s="60" t="str">
        <f>'[6]PLANILHA ORÇAMENTÁRIA'!D33</f>
        <v>5.5</v>
      </c>
      <c r="C138" s="1003" t="str">
        <f>'[6]PLANILHA ORÇAMENTÁRIA'!E33</f>
        <v>FORMA PLANA PARA VIGAS, EM COMPENSADO RESINADO DE 14MM, 12 USOS, INCLUSIVE ESCORAMENTO</v>
      </c>
      <c r="D138" s="1003"/>
      <c r="E138" s="1003"/>
      <c r="F138" s="1003"/>
      <c r="G138" s="1003"/>
      <c r="H138" s="1003"/>
      <c r="I138" s="1003"/>
      <c r="J138" s="1003"/>
      <c r="K138" s="61" t="str">
        <f>'[6]PLANILHA ORÇAMENTÁRIA'!F33</f>
        <v>M2</v>
      </c>
      <c r="L138" s="62">
        <f>K142</f>
        <v>16.77</v>
      </c>
    </row>
    <row r="139" spans="2:12" hidden="1">
      <c r="B139" s="63"/>
      <c r="C139" s="1004" t="s">
        <v>20</v>
      </c>
      <c r="D139" s="1004"/>
      <c r="E139" s="1004"/>
      <c r="F139" s="64" t="s">
        <v>22</v>
      </c>
      <c r="G139" s="654" t="s">
        <v>111</v>
      </c>
      <c r="H139" s="64" t="s">
        <v>112</v>
      </c>
      <c r="I139" s="654" t="s">
        <v>113</v>
      </c>
      <c r="J139" s="654" t="s">
        <v>148</v>
      </c>
      <c r="K139" s="66" t="s">
        <v>25</v>
      </c>
      <c r="L139" s="67"/>
    </row>
    <row r="140" spans="2:12" hidden="1">
      <c r="B140" s="63"/>
      <c r="C140" s="1001" t="s">
        <v>149</v>
      </c>
      <c r="D140" s="1001"/>
      <c r="E140" s="1001"/>
      <c r="F140" s="68">
        <v>2</v>
      </c>
      <c r="G140" s="68">
        <v>0.25</v>
      </c>
      <c r="H140" s="68">
        <v>0.15</v>
      </c>
      <c r="I140" s="68">
        <v>25.8</v>
      </c>
      <c r="J140" s="68">
        <v>2</v>
      </c>
      <c r="K140" s="655">
        <f>TRUNC((G140*I140*J140)+(H140*I140),2)</f>
        <v>16.77</v>
      </c>
      <c r="L140" s="67"/>
    </row>
    <row r="141" spans="2:12" hidden="1">
      <c r="B141" s="63"/>
      <c r="C141" s="1001" t="s">
        <v>149</v>
      </c>
      <c r="D141" s="1001"/>
      <c r="E141" s="1001"/>
      <c r="F141" s="68">
        <v>1</v>
      </c>
      <c r="G141" s="68">
        <v>0.25</v>
      </c>
      <c r="H141" s="68">
        <v>0.15</v>
      </c>
      <c r="I141" s="68">
        <v>17.3</v>
      </c>
      <c r="J141" s="68">
        <v>2</v>
      </c>
      <c r="K141" s="655">
        <f>TRUNC((G141*I141*J141)+(H141*I141),2)</f>
        <v>11.24</v>
      </c>
      <c r="L141" s="67"/>
    </row>
    <row r="142" spans="2:12" hidden="1">
      <c r="B142" s="63"/>
      <c r="C142" s="1002" t="s">
        <v>116</v>
      </c>
      <c r="D142" s="1002"/>
      <c r="E142" s="1002"/>
      <c r="F142" s="1002"/>
      <c r="G142" s="1002"/>
      <c r="H142" s="1002"/>
      <c r="I142" s="1002"/>
      <c r="J142" s="1002"/>
      <c r="K142" s="66">
        <f>SUM(K140:K140)</f>
        <v>16.77</v>
      </c>
      <c r="L142" s="67"/>
    </row>
    <row r="143" spans="2:12" hidden="1"/>
    <row r="144" spans="2:12" ht="25.5" hidden="1" customHeight="1">
      <c r="B144" s="60" t="str">
        <f>'[6]PLANILHA ORÇAMENTÁRIA'!D34</f>
        <v>5.6</v>
      </c>
      <c r="C144" s="1003" t="str">
        <f>'[6]PLANILHA ORÇAMENTÁRIA'!E34</f>
        <v>CONCRETAGEM DE VIGAS E LAJES, FCK=20 MPA, PARA LAJES MACIÇAS OU NERVURADAS COM GRUA DE CAÇAMBA DE 500 L EM EDIFICAÇÃO DE MULTIPAVIMENTOS ATÉ 16 ANDARES, COM ÁREA MÉDIA DE LAJES MAIOR QUE 20 M² - LANÇAMENTO, ADENSAMENTO E ACABAMENTO. AF_12/2015</v>
      </c>
      <c r="D144" s="1003"/>
      <c r="E144" s="1003"/>
      <c r="F144" s="1003"/>
      <c r="G144" s="1003"/>
      <c r="H144" s="1003"/>
      <c r="I144" s="1003"/>
      <c r="J144" s="1003"/>
      <c r="K144" s="61" t="str">
        <f>'[6]PLANILHA ORÇAMENTÁRIA'!F34</f>
        <v>M3</v>
      </c>
      <c r="L144" s="62">
        <f>K148</f>
        <v>2.57</v>
      </c>
    </row>
    <row r="145" spans="2:12" hidden="1">
      <c r="B145" s="63"/>
      <c r="C145" s="1004" t="s">
        <v>20</v>
      </c>
      <c r="D145" s="1004"/>
      <c r="E145" s="1004"/>
      <c r="F145" s="64" t="s">
        <v>22</v>
      </c>
      <c r="G145" s="654" t="s">
        <v>111</v>
      </c>
      <c r="H145" s="64" t="s">
        <v>112</v>
      </c>
      <c r="I145" s="654" t="s">
        <v>113</v>
      </c>
      <c r="J145" s="654" t="s">
        <v>114</v>
      </c>
      <c r="K145" s="66" t="s">
        <v>25</v>
      </c>
      <c r="L145" s="67"/>
    </row>
    <row r="146" spans="2:12" hidden="1">
      <c r="B146" s="63"/>
      <c r="C146" s="1001" t="s">
        <v>149</v>
      </c>
      <c r="D146" s="1001"/>
      <c r="E146" s="1001"/>
      <c r="F146" s="68">
        <v>2</v>
      </c>
      <c r="G146" s="68">
        <v>0.25</v>
      </c>
      <c r="H146" s="68">
        <v>0.15</v>
      </c>
      <c r="I146" s="68">
        <v>25.8</v>
      </c>
      <c r="J146" s="68"/>
      <c r="K146" s="655">
        <f>TRUNC(G146*H146*I146*F146,2)</f>
        <v>1.93</v>
      </c>
      <c r="L146" s="67"/>
    </row>
    <row r="147" spans="2:12" hidden="1">
      <c r="B147" s="63"/>
      <c r="C147" s="1001" t="s">
        <v>149</v>
      </c>
      <c r="D147" s="1001"/>
      <c r="E147" s="1001"/>
      <c r="F147" s="68">
        <v>1</v>
      </c>
      <c r="G147" s="68">
        <v>0.25</v>
      </c>
      <c r="H147" s="68">
        <v>0.15</v>
      </c>
      <c r="I147" s="68">
        <v>17.3</v>
      </c>
      <c r="J147" s="68"/>
      <c r="K147" s="655">
        <f>TRUNC(G147*H147*I147*F147,2)</f>
        <v>0.64</v>
      </c>
      <c r="L147" s="67"/>
    </row>
    <row r="148" spans="2:12" hidden="1">
      <c r="B148" s="63"/>
      <c r="C148" s="1002" t="s">
        <v>116</v>
      </c>
      <c r="D148" s="1002"/>
      <c r="E148" s="1002"/>
      <c r="F148" s="1002"/>
      <c r="G148" s="1002"/>
      <c r="H148" s="1002"/>
      <c r="I148" s="1002"/>
      <c r="J148" s="1002"/>
      <c r="K148" s="66">
        <f>SUM(K146:K147)</f>
        <v>2.57</v>
      </c>
      <c r="L148" s="67"/>
    </row>
    <row r="149" spans="2:12" hidden="1"/>
    <row r="150" spans="2:12" ht="29.25" hidden="1" customHeight="1">
      <c r="B150" s="60" t="str">
        <f>'[6]PLANILHA ORÇAMENTÁRIA'!D35</f>
        <v>5.7</v>
      </c>
      <c r="C150" s="1003" t="str">
        <f>'[6]PLANILHA ORÇAMENTÁRIA'!E35</f>
        <v>LAJE PRE-MOLDADA P/FORRO, SOBRECARGA 100KG/M2, VAOS ATE 3,50M/E=8CM, C/LAJOTAS E CAP.C/CONC FCK=20MPA, 3CM, INTER-EIXO 38CM, C/ESCORAMENTO (REAPR.3X) E FERRAGEM NEGATIVA</v>
      </c>
      <c r="D150" s="1003"/>
      <c r="E150" s="1003"/>
      <c r="F150" s="1003"/>
      <c r="G150" s="1003"/>
      <c r="H150" s="1003"/>
      <c r="I150" s="1003"/>
      <c r="J150" s="1003"/>
      <c r="K150" s="61" t="str">
        <f>'[6]PLANILHA ORÇAMENTÁRIA'!F35</f>
        <v>M2</v>
      </c>
      <c r="L150" s="62">
        <f>K154</f>
        <v>74.02</v>
      </c>
    </row>
    <row r="151" spans="2:12" hidden="1">
      <c r="B151" s="63"/>
      <c r="C151" s="1004" t="s">
        <v>20</v>
      </c>
      <c r="D151" s="1004"/>
      <c r="E151" s="1004"/>
      <c r="F151" s="64" t="s">
        <v>22</v>
      </c>
      <c r="G151" s="654" t="s">
        <v>111</v>
      </c>
      <c r="H151" s="64" t="s">
        <v>112</v>
      </c>
      <c r="I151" s="654" t="s">
        <v>113</v>
      </c>
      <c r="J151" s="654" t="s">
        <v>114</v>
      </c>
      <c r="K151" s="66" t="s">
        <v>25</v>
      </c>
      <c r="L151" s="67"/>
    </row>
    <row r="152" spans="2:12" hidden="1">
      <c r="B152" s="63"/>
      <c r="C152" s="1001" t="s">
        <v>150</v>
      </c>
      <c r="D152" s="1001"/>
      <c r="E152" s="1001"/>
      <c r="F152" s="68">
        <v>2</v>
      </c>
      <c r="G152" s="68"/>
      <c r="H152" s="68">
        <v>4.5</v>
      </c>
      <c r="I152" s="68">
        <v>6</v>
      </c>
      <c r="J152" s="68"/>
      <c r="K152" s="655">
        <f>TRUNC(H152*I152*F152,2)</f>
        <v>54</v>
      </c>
      <c r="L152" s="67"/>
    </row>
    <row r="153" spans="2:12" hidden="1">
      <c r="B153" s="63"/>
      <c r="C153" s="1001" t="s">
        <v>151</v>
      </c>
      <c r="D153" s="1001"/>
      <c r="E153" s="1001"/>
      <c r="F153" s="68">
        <v>1</v>
      </c>
      <c r="G153" s="68"/>
      <c r="H153" s="68">
        <v>4.45</v>
      </c>
      <c r="I153" s="68">
        <v>4.5</v>
      </c>
      <c r="J153" s="68"/>
      <c r="K153" s="655">
        <f>TRUNC(H153*I153*F153,2)</f>
        <v>20.02</v>
      </c>
      <c r="L153" s="67"/>
    </row>
    <row r="154" spans="2:12" hidden="1">
      <c r="B154" s="63"/>
      <c r="C154" s="1002" t="s">
        <v>116</v>
      </c>
      <c r="D154" s="1002"/>
      <c r="E154" s="1002"/>
      <c r="F154" s="1002"/>
      <c r="G154" s="1002"/>
      <c r="H154" s="1002"/>
      <c r="I154" s="1002"/>
      <c r="J154" s="1002"/>
      <c r="K154" s="66">
        <f>SUM(K152:K153)</f>
        <v>74.02</v>
      </c>
      <c r="L154" s="67"/>
    </row>
    <row r="155" spans="2:12" hidden="1"/>
    <row r="156" spans="2:12" ht="22.5" hidden="1" customHeight="1">
      <c r="B156" s="60" t="str">
        <f>'[6]PLANILHA ORÇAMENTÁRIA'!D36</f>
        <v>5.8</v>
      </c>
      <c r="C156" s="1003" t="str">
        <f>'[6]PLANILHA ORÇAMENTÁRIA'!E36</f>
        <v>IMPERMEABILIZAÇÃO DE PISO COM ARGAMASSA DE CIMENTO E AREIA, COM ADITIVO IMPERMEABILIZANTE, E = 2CM. AF_06/2018</v>
      </c>
      <c r="D156" s="1003"/>
      <c r="E156" s="1003"/>
      <c r="F156" s="1003"/>
      <c r="G156" s="1003"/>
      <c r="H156" s="1003"/>
      <c r="I156" s="1003"/>
      <c r="J156" s="1003"/>
      <c r="K156" s="61" t="str">
        <f>'[6]PLANILHA ORÇAMENTÁRIA'!F36</f>
        <v>M2</v>
      </c>
      <c r="L156" s="62">
        <f>K159</f>
        <v>27</v>
      </c>
    </row>
    <row r="157" spans="2:12" hidden="1">
      <c r="B157" s="63"/>
      <c r="C157" s="1004" t="s">
        <v>20</v>
      </c>
      <c r="D157" s="1004"/>
      <c r="E157" s="1004"/>
      <c r="F157" s="64" t="s">
        <v>22</v>
      </c>
      <c r="G157" s="654" t="s">
        <v>111</v>
      </c>
      <c r="H157" s="64" t="s">
        <v>112</v>
      </c>
      <c r="I157" s="654" t="s">
        <v>113</v>
      </c>
      <c r="J157" s="654" t="s">
        <v>114</v>
      </c>
      <c r="K157" s="66" t="s">
        <v>25</v>
      </c>
      <c r="L157" s="67"/>
    </row>
    <row r="158" spans="2:12" hidden="1">
      <c r="B158" s="63"/>
      <c r="C158" s="1001" t="s">
        <v>152</v>
      </c>
      <c r="D158" s="1001"/>
      <c r="E158" s="1001"/>
      <c r="F158" s="68">
        <v>1</v>
      </c>
      <c r="G158" s="68"/>
      <c r="H158" s="68">
        <v>4.5</v>
      </c>
      <c r="I158" s="68">
        <v>6</v>
      </c>
      <c r="J158" s="68"/>
      <c r="K158" s="655">
        <f>TRUNC(H158*I158*F158,2)</f>
        <v>27</v>
      </c>
      <c r="L158" s="67"/>
    </row>
    <row r="159" spans="2:12" hidden="1">
      <c r="B159" s="63"/>
      <c r="C159" s="1002" t="s">
        <v>116</v>
      </c>
      <c r="D159" s="1002"/>
      <c r="E159" s="1002"/>
      <c r="F159" s="1002"/>
      <c r="G159" s="1002"/>
      <c r="H159" s="1002"/>
      <c r="I159" s="1002"/>
      <c r="J159" s="1002"/>
      <c r="K159" s="66">
        <f>SUM(K158:K158)</f>
        <v>27</v>
      </c>
      <c r="L159" s="67"/>
    </row>
    <row r="160" spans="2:12" hidden="1"/>
    <row r="161" spans="2:12" ht="20.25" hidden="1" customHeight="1">
      <c r="B161" s="60" t="str">
        <f>'[6]PLANILHA ORÇAMENTÁRIA'!D37</f>
        <v>5.9</v>
      </c>
      <c r="C161" s="1003" t="str">
        <f>'[6]PLANILHA ORÇAMENTÁRIA'!E37</f>
        <v>TAMPA DE CONCRETO ARMADO 60X60X5CM PARA CAIXA</v>
      </c>
      <c r="D161" s="1003"/>
      <c r="E161" s="1003"/>
      <c r="F161" s="1003"/>
      <c r="G161" s="1003"/>
      <c r="H161" s="1003"/>
      <c r="I161" s="1003"/>
      <c r="J161" s="1003"/>
      <c r="K161" s="61" t="str">
        <f>'[6]PLANILHA ORÇAMENTÁRIA'!F37</f>
        <v>UND</v>
      </c>
      <c r="L161" s="62">
        <f>K164</f>
        <v>1</v>
      </c>
    </row>
    <row r="162" spans="2:12" hidden="1">
      <c r="B162" s="63"/>
      <c r="C162" s="1004" t="s">
        <v>20</v>
      </c>
      <c r="D162" s="1004"/>
      <c r="E162" s="1004"/>
      <c r="F162" s="64" t="s">
        <v>22</v>
      </c>
      <c r="G162" s="654" t="s">
        <v>111</v>
      </c>
      <c r="H162" s="64" t="s">
        <v>112</v>
      </c>
      <c r="I162" s="654" t="s">
        <v>113</v>
      </c>
      <c r="J162" s="654" t="s">
        <v>114</v>
      </c>
      <c r="K162" s="66" t="s">
        <v>25</v>
      </c>
      <c r="L162" s="67"/>
    </row>
    <row r="163" spans="2:12" hidden="1">
      <c r="B163" s="63"/>
      <c r="C163" s="1001" t="s">
        <v>153</v>
      </c>
      <c r="D163" s="1001"/>
      <c r="E163" s="1001"/>
      <c r="F163" s="68">
        <v>1</v>
      </c>
      <c r="G163" s="68"/>
      <c r="H163" s="68"/>
      <c r="I163" s="68"/>
      <c r="J163" s="68"/>
      <c r="K163" s="655">
        <f>F163</f>
        <v>1</v>
      </c>
      <c r="L163" s="67"/>
    </row>
    <row r="164" spans="2:12" hidden="1">
      <c r="B164" s="63"/>
      <c r="C164" s="1002" t="s">
        <v>116</v>
      </c>
      <c r="D164" s="1002"/>
      <c r="E164" s="1002"/>
      <c r="F164" s="1002"/>
      <c r="G164" s="1002"/>
      <c r="H164" s="1002"/>
      <c r="I164" s="1002"/>
      <c r="J164" s="1002"/>
      <c r="K164" s="66">
        <f>SUM(K163:K163)</f>
        <v>1</v>
      </c>
      <c r="L164" s="67"/>
    </row>
    <row r="165" spans="2:12" hidden="1">
      <c r="B165" s="63"/>
      <c r="C165" s="71"/>
      <c r="D165" s="71"/>
      <c r="E165" s="71"/>
      <c r="F165" s="71"/>
      <c r="G165" s="71"/>
      <c r="H165" s="71"/>
      <c r="I165" s="71"/>
      <c r="J165" s="71"/>
      <c r="K165" s="73"/>
      <c r="L165" s="67"/>
    </row>
    <row r="166" spans="2:12" hidden="1">
      <c r="B166" s="60" t="str">
        <f>'[6]PLANILHA ORÇAMENTÁRIA'!D38</f>
        <v>5.10</v>
      </c>
      <c r="C166" s="1003" t="str">
        <f>'[6]PLANILHA ORÇAMENTÁRIA'!E38</f>
        <v>VERGA PRÉ-MOLDADA PARA JANELAS COM ATÉ 1,5 M DE VÃO. AF_03/2016</v>
      </c>
      <c r="D166" s="1003"/>
      <c r="E166" s="1003"/>
      <c r="F166" s="1003"/>
      <c r="G166" s="1003"/>
      <c r="H166" s="1003"/>
      <c r="I166" s="1003"/>
      <c r="J166" s="1003"/>
      <c r="K166" s="61" t="str">
        <f>'[6]PLANILHA ORÇAMENTÁRIA'!F38</f>
        <v>M</v>
      </c>
      <c r="L166" s="62">
        <f>K169</f>
        <v>3.3000000000000003</v>
      </c>
    </row>
    <row r="167" spans="2:12" hidden="1">
      <c r="B167" s="63"/>
      <c r="C167" s="1004" t="s">
        <v>20</v>
      </c>
      <c r="D167" s="1004"/>
      <c r="E167" s="1004"/>
      <c r="F167" s="64" t="s">
        <v>22</v>
      </c>
      <c r="G167" s="654" t="s">
        <v>111</v>
      </c>
      <c r="H167" s="64" t="s">
        <v>112</v>
      </c>
      <c r="I167" s="654" t="s">
        <v>113</v>
      </c>
      <c r="J167" s="654" t="s">
        <v>114</v>
      </c>
      <c r="K167" s="66" t="s">
        <v>25</v>
      </c>
      <c r="L167" s="67"/>
    </row>
    <row r="168" spans="2:12" hidden="1">
      <c r="B168" s="63"/>
      <c r="C168" s="1001"/>
      <c r="D168" s="1001"/>
      <c r="E168" s="1001"/>
      <c r="F168" s="68">
        <v>3</v>
      </c>
      <c r="G168" s="68"/>
      <c r="H168" s="68"/>
      <c r="I168" s="68">
        <v>1.1000000000000001</v>
      </c>
      <c r="J168" s="68"/>
      <c r="K168" s="655">
        <f>F168*I168</f>
        <v>3.3000000000000003</v>
      </c>
      <c r="L168" s="67"/>
    </row>
    <row r="169" spans="2:12" hidden="1">
      <c r="B169" s="63"/>
      <c r="C169" s="1002" t="s">
        <v>116</v>
      </c>
      <c r="D169" s="1002"/>
      <c r="E169" s="1002"/>
      <c r="F169" s="1002"/>
      <c r="G169" s="1002"/>
      <c r="H169" s="1002"/>
      <c r="I169" s="1002"/>
      <c r="J169" s="1002"/>
      <c r="K169" s="66">
        <f>SUM(K168:K168)</f>
        <v>3.3000000000000003</v>
      </c>
      <c r="L169" s="67"/>
    </row>
    <row r="170" spans="2:12" hidden="1">
      <c r="B170" s="63"/>
      <c r="C170" s="71"/>
      <c r="D170" s="71"/>
      <c r="E170" s="71"/>
      <c r="F170" s="71"/>
      <c r="G170" s="71"/>
      <c r="H170" s="71"/>
      <c r="I170" s="71"/>
      <c r="J170" s="71"/>
      <c r="K170" s="73"/>
      <c r="L170" s="67"/>
    </row>
    <row r="171" spans="2:12" hidden="1">
      <c r="B171" s="60" t="str">
        <f>'[6]PLANILHA ORÇAMENTÁRIA'!D39</f>
        <v>5.11</v>
      </c>
      <c r="C171" s="1003" t="str">
        <f>'[6]PLANILHA ORÇAMENTÁRIA'!E39</f>
        <v>VERGA PRÉ-MOLDADA PARA PORTAS COM ATÉ 1,5 M DE VÃO. AF_03/2016</v>
      </c>
      <c r="D171" s="1003"/>
      <c r="E171" s="1003"/>
      <c r="F171" s="1003"/>
      <c r="G171" s="1003"/>
      <c r="H171" s="1003"/>
      <c r="I171" s="1003"/>
      <c r="J171" s="1003"/>
      <c r="K171" s="61" t="str">
        <f>'[6]PLANILHA ORÇAMENTÁRIA'!F39</f>
        <v>M</v>
      </c>
      <c r="L171" s="62">
        <f>K174</f>
        <v>3.3000000000000003</v>
      </c>
    </row>
    <row r="172" spans="2:12" hidden="1">
      <c r="B172" s="63"/>
      <c r="C172" s="1004" t="s">
        <v>20</v>
      </c>
      <c r="D172" s="1004"/>
      <c r="E172" s="1004"/>
      <c r="F172" s="64" t="s">
        <v>22</v>
      </c>
      <c r="G172" s="654" t="s">
        <v>111</v>
      </c>
      <c r="H172" s="64" t="s">
        <v>112</v>
      </c>
      <c r="I172" s="654" t="s">
        <v>113</v>
      </c>
      <c r="J172" s="654" t="s">
        <v>114</v>
      </c>
      <c r="K172" s="66" t="s">
        <v>25</v>
      </c>
      <c r="L172" s="67"/>
    </row>
    <row r="173" spans="2:12" ht="15" hidden="1" customHeight="1">
      <c r="B173" s="63"/>
      <c r="C173" s="1001"/>
      <c r="D173" s="1001"/>
      <c r="E173" s="1001"/>
      <c r="F173" s="68">
        <v>3</v>
      </c>
      <c r="G173" s="68"/>
      <c r="H173" s="68"/>
      <c r="I173" s="68">
        <v>1.1000000000000001</v>
      </c>
      <c r="J173" s="68"/>
      <c r="K173" s="655">
        <f>F173*I173</f>
        <v>3.3000000000000003</v>
      </c>
      <c r="L173" s="67"/>
    </row>
    <row r="174" spans="2:12" hidden="1">
      <c r="B174" s="63"/>
      <c r="C174" s="1002" t="s">
        <v>116</v>
      </c>
      <c r="D174" s="1002"/>
      <c r="E174" s="1002"/>
      <c r="F174" s="1002"/>
      <c r="G174" s="1002"/>
      <c r="H174" s="1002"/>
      <c r="I174" s="1002"/>
      <c r="J174" s="1002"/>
      <c r="K174" s="66">
        <f>SUM(K173:K173)</f>
        <v>3.3000000000000003</v>
      </c>
      <c r="L174" s="67"/>
    </row>
    <row r="175" spans="2:12" hidden="1">
      <c r="B175" s="63"/>
      <c r="C175" s="71"/>
      <c r="D175" s="71"/>
      <c r="E175" s="71"/>
      <c r="F175" s="71"/>
      <c r="G175" s="71"/>
      <c r="H175" s="71"/>
      <c r="I175" s="71"/>
      <c r="J175" s="71"/>
      <c r="K175" s="73"/>
      <c r="L175" s="67"/>
    </row>
    <row r="176" spans="2:12" hidden="1">
      <c r="B176" s="60" t="str">
        <f>'[6]PLANILHA ORÇAMENTÁRIA'!D40</f>
        <v>5.12</v>
      </c>
      <c r="C176" s="1003" t="str">
        <f>'[6]PLANILHA ORÇAMENTÁRIA'!E40</f>
        <v>CONTRAVERGA PRÉ-MOLDADA PARA VÃOS DE ATÉ 1,5 M DE COMPRIMENTO. AF_03/2016</v>
      </c>
      <c r="D176" s="1003"/>
      <c r="E176" s="1003"/>
      <c r="F176" s="1003"/>
      <c r="G176" s="1003"/>
      <c r="H176" s="1003"/>
      <c r="I176" s="1003"/>
      <c r="J176" s="1003"/>
      <c r="K176" s="61" t="str">
        <f>'[6]PLANILHA ORÇAMENTÁRIA'!F40</f>
        <v>M</v>
      </c>
      <c r="L176" s="62">
        <f>K179</f>
        <v>3.3000000000000003</v>
      </c>
    </row>
    <row r="177" spans="2:12" hidden="1">
      <c r="B177" s="63"/>
      <c r="C177" s="1004" t="s">
        <v>20</v>
      </c>
      <c r="D177" s="1004"/>
      <c r="E177" s="1004"/>
      <c r="F177" s="64" t="s">
        <v>22</v>
      </c>
      <c r="G177" s="654" t="s">
        <v>111</v>
      </c>
      <c r="H177" s="64" t="s">
        <v>112</v>
      </c>
      <c r="I177" s="654" t="s">
        <v>113</v>
      </c>
      <c r="J177" s="654" t="s">
        <v>114</v>
      </c>
      <c r="K177" s="66" t="s">
        <v>25</v>
      </c>
      <c r="L177" s="67"/>
    </row>
    <row r="178" spans="2:12" ht="15" hidden="1" customHeight="1">
      <c r="B178" s="63"/>
      <c r="C178" s="1001"/>
      <c r="D178" s="1001"/>
      <c r="E178" s="1001"/>
      <c r="F178" s="68">
        <v>3</v>
      </c>
      <c r="G178" s="68"/>
      <c r="H178" s="68"/>
      <c r="I178" s="68">
        <v>1.1000000000000001</v>
      </c>
      <c r="J178" s="68"/>
      <c r="K178" s="655">
        <f>F178*I178</f>
        <v>3.3000000000000003</v>
      </c>
      <c r="L178" s="67"/>
    </row>
    <row r="179" spans="2:12" hidden="1">
      <c r="B179" s="63"/>
      <c r="C179" s="1002" t="s">
        <v>116</v>
      </c>
      <c r="D179" s="1002"/>
      <c r="E179" s="1002"/>
      <c r="F179" s="1002"/>
      <c r="G179" s="1002"/>
      <c r="H179" s="1002"/>
      <c r="I179" s="1002"/>
      <c r="J179" s="1002"/>
      <c r="K179" s="66">
        <f>SUM(K178:K178)</f>
        <v>3.3000000000000003</v>
      </c>
      <c r="L179" s="67"/>
    </row>
    <row r="180" spans="2:12" hidden="1">
      <c r="B180" s="63"/>
      <c r="C180" s="71"/>
      <c r="D180" s="71"/>
      <c r="E180" s="71"/>
      <c r="F180" s="71"/>
      <c r="G180" s="71"/>
      <c r="H180" s="71"/>
      <c r="I180" s="71"/>
      <c r="J180" s="71"/>
      <c r="K180" s="73"/>
      <c r="L180" s="67"/>
    </row>
    <row r="181" spans="2:12" hidden="1">
      <c r="B181" s="58" t="str">
        <f>'[6]PLANILHA ORÇAMENTÁRIA'!D41</f>
        <v>6.0</v>
      </c>
      <c r="C181" s="1000" t="str">
        <f>'[6]PLANILHA ORÇAMENTÁRIA'!E41</f>
        <v>ALVENARIA DE VEDAÇÃO</v>
      </c>
      <c r="D181" s="1000"/>
      <c r="E181" s="1000"/>
      <c r="F181" s="1000"/>
      <c r="G181" s="1000"/>
      <c r="H181" s="1000"/>
      <c r="I181" s="1000"/>
      <c r="J181" s="1000"/>
      <c r="K181" s="59"/>
      <c r="L181" s="59"/>
    </row>
    <row r="182" spans="2:12" ht="23.25" hidden="1" customHeight="1">
      <c r="B182" s="60" t="str">
        <f>'[6]PLANILHA ORÇAMENTÁRIA'!D42</f>
        <v>6.1</v>
      </c>
      <c r="C182" s="1003" t="str">
        <f>'[6]PLANILHA ORÇAMENTÁRIA'!E42</f>
        <v>ALVENARIA DE BLOCO CERÂMICO FURADO (9x19x19)cm C/ARGAMASSA MISTA DE CAL HIDRATADA, ESP=9 cm</v>
      </c>
      <c r="D182" s="1003"/>
      <c r="E182" s="1003"/>
      <c r="F182" s="1003"/>
      <c r="G182" s="1003"/>
      <c r="H182" s="1003"/>
      <c r="I182" s="1003"/>
      <c r="J182" s="1003"/>
      <c r="K182" s="61" t="str">
        <f>'[6]PLANILHA ORÇAMENTÁRIA'!F42</f>
        <v>M2</v>
      </c>
      <c r="L182" s="62">
        <f>K187</f>
        <v>133.51999999999998</v>
      </c>
    </row>
    <row r="183" spans="2:12" hidden="1">
      <c r="B183" s="63"/>
      <c r="C183" s="1004" t="s">
        <v>20</v>
      </c>
      <c r="D183" s="1004"/>
      <c r="E183" s="1004"/>
      <c r="F183" s="64" t="s">
        <v>22</v>
      </c>
      <c r="G183" s="654" t="s">
        <v>111</v>
      </c>
      <c r="H183" s="64" t="s">
        <v>112</v>
      </c>
      <c r="I183" s="654" t="s">
        <v>154</v>
      </c>
      <c r="J183" s="654" t="s">
        <v>114</v>
      </c>
      <c r="K183" s="66" t="s">
        <v>25</v>
      </c>
      <c r="L183" s="67"/>
    </row>
    <row r="184" spans="2:12" hidden="1">
      <c r="B184" s="63"/>
      <c r="C184" s="1001" t="s">
        <v>155</v>
      </c>
      <c r="D184" s="1001"/>
      <c r="E184" s="1001"/>
      <c r="F184" s="68"/>
      <c r="G184" s="68">
        <v>2.6</v>
      </c>
      <c r="H184" s="68"/>
      <c r="I184" s="68">
        <f>(6.6*2)+(4.2*3)+3.15+2.16+(1.05*2)</f>
        <v>33.21</v>
      </c>
      <c r="J184" s="68">
        <v>3.88</v>
      </c>
      <c r="K184" s="655">
        <f>TRUNC((G184*I184)-J184,2)</f>
        <v>82.46</v>
      </c>
      <c r="L184" s="67"/>
    </row>
    <row r="185" spans="2:12" hidden="1">
      <c r="B185" s="63"/>
      <c r="C185" s="1001" t="s">
        <v>156</v>
      </c>
      <c r="D185" s="1001"/>
      <c r="E185" s="1001"/>
      <c r="F185" s="68"/>
      <c r="G185" s="68">
        <v>2.15</v>
      </c>
      <c r="H185" s="68"/>
      <c r="I185" s="68">
        <f>(6.6*2)+(4.2*2)</f>
        <v>21.6</v>
      </c>
      <c r="J185" s="68"/>
      <c r="K185" s="655">
        <f>TRUNC((G185*I185),2)</f>
        <v>46.44</v>
      </c>
      <c r="L185" s="67"/>
    </row>
    <row r="186" spans="2:12" hidden="1">
      <c r="B186" s="63"/>
      <c r="C186" s="1001" t="s">
        <v>157</v>
      </c>
      <c r="D186" s="1001"/>
      <c r="E186" s="1001"/>
      <c r="F186" s="68"/>
      <c r="G186" s="68">
        <v>2.1</v>
      </c>
      <c r="H186" s="68"/>
      <c r="I186" s="68">
        <v>2.2000000000000002</v>
      </c>
      <c r="J186" s="68"/>
      <c r="K186" s="655">
        <f>TRUNC((G186*I186),2)</f>
        <v>4.62</v>
      </c>
      <c r="L186" s="67"/>
    </row>
    <row r="187" spans="2:12" hidden="1">
      <c r="B187" s="63"/>
      <c r="C187" s="1002" t="s">
        <v>116</v>
      </c>
      <c r="D187" s="1002"/>
      <c r="E187" s="1002"/>
      <c r="F187" s="1002"/>
      <c r="G187" s="1002"/>
      <c r="H187" s="1002"/>
      <c r="I187" s="1002"/>
      <c r="J187" s="1002"/>
      <c r="K187" s="66">
        <f>SUM(K184:K186)</f>
        <v>133.51999999999998</v>
      </c>
      <c r="L187" s="67"/>
    </row>
    <row r="188" spans="2:12">
      <c r="B188" s="63"/>
      <c r="C188" s="71"/>
      <c r="D188" s="71"/>
      <c r="E188" s="71"/>
      <c r="F188" s="71"/>
      <c r="G188" s="71"/>
      <c r="H188" s="71"/>
      <c r="I188" s="71"/>
      <c r="J188" s="71"/>
      <c r="K188" s="73"/>
      <c r="L188" s="67"/>
    </row>
    <row r="189" spans="2:12">
      <c r="B189" s="292" t="s">
        <v>4</v>
      </c>
      <c r="C189" s="1093" t="s">
        <v>5</v>
      </c>
      <c r="D189" s="1093"/>
      <c r="E189" s="1093"/>
      <c r="F189" s="1093"/>
      <c r="G189" s="1093"/>
      <c r="H189" s="1093"/>
      <c r="I189" s="1093"/>
      <c r="J189" s="1093"/>
      <c r="K189" s="293"/>
      <c r="L189" s="293"/>
    </row>
    <row r="190" spans="2:12">
      <c r="B190" s="292"/>
      <c r="C190" s="662"/>
      <c r="D190" s="662"/>
      <c r="E190" s="662"/>
      <c r="F190" s="662"/>
      <c r="G190" s="662"/>
      <c r="H190" s="662"/>
      <c r="I190" s="662"/>
      <c r="J190" s="662"/>
      <c r="K190" s="293"/>
      <c r="L190" s="293"/>
    </row>
    <row r="191" spans="2:12">
      <c r="B191" s="663" t="s">
        <v>6</v>
      </c>
      <c r="C191" s="980" t="s">
        <v>10</v>
      </c>
      <c r="D191" s="981"/>
      <c r="E191" s="981"/>
      <c r="F191" s="981"/>
      <c r="G191" s="981"/>
      <c r="H191" s="981"/>
      <c r="I191" s="981"/>
      <c r="J191" s="982"/>
      <c r="K191" s="97" t="str">
        <f>'[6]PLANILHA ORÇAMENTÁRIA'!F44</f>
        <v>M2</v>
      </c>
      <c r="L191" s="97">
        <f>K194</f>
        <v>300</v>
      </c>
    </row>
    <row r="192" spans="2:12">
      <c r="B192" s="663"/>
      <c r="C192" s="1027" t="s">
        <v>20</v>
      </c>
      <c r="D192" s="1027"/>
      <c r="E192" s="1027"/>
      <c r="F192" s="92" t="s">
        <v>22</v>
      </c>
      <c r="G192" s="657" t="s">
        <v>111</v>
      </c>
      <c r="H192" s="92" t="s">
        <v>112</v>
      </c>
      <c r="I192" s="657" t="s">
        <v>113</v>
      </c>
      <c r="J192" s="657" t="s">
        <v>114</v>
      </c>
      <c r="K192" s="94" t="s">
        <v>25</v>
      </c>
      <c r="L192" s="90"/>
    </row>
    <row r="193" spans="2:12">
      <c r="B193" s="663"/>
      <c r="C193" s="984" t="s">
        <v>587</v>
      </c>
      <c r="D193" s="985"/>
      <c r="E193" s="986"/>
      <c r="F193" s="91">
        <v>1</v>
      </c>
      <c r="G193" s="91">
        <v>1</v>
      </c>
      <c r="H193" s="91">
        <v>10</v>
      </c>
      <c r="I193" s="91">
        <v>30</v>
      </c>
      <c r="J193" s="91">
        <v>0</v>
      </c>
      <c r="K193" s="664">
        <f>(H193*I193*G193*F193)-J193</f>
        <v>300</v>
      </c>
      <c r="L193" s="90"/>
    </row>
    <row r="194" spans="2:12">
      <c r="B194" s="663"/>
      <c r="C194" s="987" t="s">
        <v>116</v>
      </c>
      <c r="D194" s="987"/>
      <c r="E194" s="987"/>
      <c r="F194" s="987"/>
      <c r="G194" s="987"/>
      <c r="H194" s="987"/>
      <c r="I194" s="987"/>
      <c r="J194" s="987"/>
      <c r="K194" s="89">
        <f>SUM(K193:K193)</f>
        <v>300</v>
      </c>
      <c r="L194" s="90"/>
    </row>
    <row r="195" spans="2:12">
      <c r="B195" s="663"/>
      <c r="C195" s="211"/>
      <c r="D195" s="211"/>
      <c r="E195" s="211"/>
      <c r="F195" s="211"/>
      <c r="G195" s="211"/>
      <c r="H195" s="211"/>
      <c r="I195" s="211"/>
      <c r="J195" s="211"/>
      <c r="K195" s="212"/>
      <c r="L195" s="90"/>
    </row>
    <row r="196" spans="2:12">
      <c r="B196" s="663"/>
      <c r="C196" s="211"/>
      <c r="D196" s="211"/>
      <c r="E196" s="211"/>
      <c r="F196" s="211"/>
      <c r="G196" s="211"/>
      <c r="H196" s="211"/>
      <c r="I196" s="211"/>
      <c r="J196" s="211"/>
      <c r="K196" s="212"/>
      <c r="L196" s="90"/>
    </row>
    <row r="197" spans="2:12" ht="15" customHeight="1">
      <c r="B197" s="663" t="s">
        <v>29</v>
      </c>
      <c r="C197" s="980" t="s">
        <v>27</v>
      </c>
      <c r="D197" s="981"/>
      <c r="E197" s="981"/>
      <c r="F197" s="981"/>
      <c r="G197" s="981"/>
      <c r="H197" s="981"/>
      <c r="I197" s="981"/>
      <c r="J197" s="982"/>
      <c r="K197" s="97" t="str">
        <f>'[6]PLANILHA ORÇAMENTÁRIA'!F51</f>
        <v>M2</v>
      </c>
      <c r="L197" s="97">
        <f>K200</f>
        <v>56</v>
      </c>
    </row>
    <row r="198" spans="2:12">
      <c r="B198" s="663"/>
      <c r="C198" s="1027" t="s">
        <v>20</v>
      </c>
      <c r="D198" s="1027"/>
      <c r="E198" s="1027"/>
      <c r="F198" s="92" t="s">
        <v>22</v>
      </c>
      <c r="G198" s="657" t="s">
        <v>111</v>
      </c>
      <c r="H198" s="92" t="s">
        <v>112</v>
      </c>
      <c r="I198" s="657" t="s">
        <v>113</v>
      </c>
      <c r="J198" s="657" t="s">
        <v>114</v>
      </c>
      <c r="K198" s="94" t="s">
        <v>25</v>
      </c>
      <c r="L198" s="90"/>
    </row>
    <row r="199" spans="2:12">
      <c r="B199" s="663"/>
      <c r="C199" s="984" t="s">
        <v>237</v>
      </c>
      <c r="D199" s="985"/>
      <c r="E199" s="986"/>
      <c r="F199" s="91">
        <v>1</v>
      </c>
      <c r="G199" s="91">
        <v>2.8</v>
      </c>
      <c r="H199" s="91">
        <v>1</v>
      </c>
      <c r="I199" s="91">
        <v>20</v>
      </c>
      <c r="J199" s="91">
        <v>0</v>
      </c>
      <c r="K199" s="664">
        <f>(H199*I199*G199*F199)-J199</f>
        <v>56</v>
      </c>
      <c r="L199" s="90"/>
    </row>
    <row r="200" spans="2:12">
      <c r="B200" s="663"/>
      <c r="C200" s="987" t="s">
        <v>116</v>
      </c>
      <c r="D200" s="987"/>
      <c r="E200" s="987"/>
      <c r="F200" s="987"/>
      <c r="G200" s="987"/>
      <c r="H200" s="987"/>
      <c r="I200" s="987"/>
      <c r="J200" s="987"/>
      <c r="K200" s="89">
        <f>SUM(K199:K199)</f>
        <v>56</v>
      </c>
      <c r="L200" s="90"/>
    </row>
    <row r="201" spans="2:12">
      <c r="B201" s="663"/>
      <c r="C201" s="211"/>
      <c r="D201" s="211"/>
      <c r="E201" s="211"/>
      <c r="F201" s="211"/>
      <c r="G201" s="211"/>
      <c r="H201" s="211"/>
      <c r="I201" s="211"/>
      <c r="J201" s="211"/>
      <c r="K201" s="212"/>
      <c r="L201" s="90"/>
    </row>
    <row r="202" spans="2:12" ht="15" customHeight="1">
      <c r="B202" s="663" t="s">
        <v>31</v>
      </c>
      <c r="C202" s="1225" t="s">
        <v>8</v>
      </c>
      <c r="D202" s="1226"/>
      <c r="E202" s="1226"/>
      <c r="F202" s="1226"/>
      <c r="G202" s="1226"/>
      <c r="H202" s="1226"/>
      <c r="I202" s="1226"/>
      <c r="J202" s="1227"/>
      <c r="K202" s="97" t="s">
        <v>7</v>
      </c>
      <c r="L202" s="97">
        <f>K205</f>
        <v>42</v>
      </c>
    </row>
    <row r="203" spans="2:12">
      <c r="B203" s="663"/>
      <c r="C203" s="983" t="s">
        <v>20</v>
      </c>
      <c r="D203" s="983"/>
      <c r="E203" s="983"/>
      <c r="F203" s="87" t="s">
        <v>22</v>
      </c>
      <c r="G203" s="656" t="s">
        <v>111</v>
      </c>
      <c r="H203" s="87" t="s">
        <v>112</v>
      </c>
      <c r="I203" s="656" t="s">
        <v>113</v>
      </c>
      <c r="J203" s="656" t="s">
        <v>114</v>
      </c>
      <c r="K203" s="89" t="s">
        <v>25</v>
      </c>
      <c r="L203" s="90"/>
    </row>
    <row r="204" spans="2:12">
      <c r="B204" s="663"/>
      <c r="C204" s="984" t="s">
        <v>97</v>
      </c>
      <c r="D204" s="985"/>
      <c r="E204" s="986"/>
      <c r="F204" s="91">
        <v>1</v>
      </c>
      <c r="G204" s="91">
        <v>2.8</v>
      </c>
      <c r="H204" s="91">
        <v>1</v>
      </c>
      <c r="I204" s="91">
        <v>15</v>
      </c>
      <c r="J204" s="91">
        <v>0</v>
      </c>
      <c r="K204" s="89">
        <f>(H204*G204*F204*I204)-J204</f>
        <v>42</v>
      </c>
      <c r="L204" s="90"/>
    </row>
    <row r="205" spans="2:12">
      <c r="B205" s="663"/>
      <c r="C205" s="987" t="s">
        <v>116</v>
      </c>
      <c r="D205" s="987"/>
      <c r="E205" s="987"/>
      <c r="F205" s="987"/>
      <c r="G205" s="987"/>
      <c r="H205" s="987"/>
      <c r="I205" s="987"/>
      <c r="J205" s="987"/>
      <c r="K205" s="89">
        <f>SUM(K204:K204)</f>
        <v>42</v>
      </c>
      <c r="L205" s="90"/>
    </row>
    <row r="206" spans="2:12">
      <c r="B206" s="663"/>
      <c r="C206" s="211"/>
      <c r="D206" s="211"/>
      <c r="E206" s="211"/>
      <c r="F206" s="211"/>
      <c r="G206" s="211"/>
      <c r="H206" s="211"/>
      <c r="I206" s="211"/>
      <c r="J206" s="211"/>
      <c r="K206" s="212"/>
      <c r="L206" s="90"/>
    </row>
    <row r="207" spans="2:12">
      <c r="B207" s="663" t="s">
        <v>79</v>
      </c>
      <c r="C207" s="1024" t="s">
        <v>575</v>
      </c>
      <c r="D207" s="1025"/>
      <c r="E207" s="1025"/>
      <c r="F207" s="1025"/>
      <c r="G207" s="1025"/>
      <c r="H207" s="1025"/>
      <c r="I207" s="1025"/>
      <c r="J207" s="1026"/>
      <c r="K207" s="97" t="s">
        <v>7</v>
      </c>
      <c r="L207" s="97">
        <f>K210</f>
        <v>64</v>
      </c>
    </row>
    <row r="208" spans="2:12">
      <c r="B208" s="663"/>
      <c r="C208" s="983" t="s">
        <v>20</v>
      </c>
      <c r="D208" s="983"/>
      <c r="E208" s="983"/>
      <c r="F208" s="87" t="s">
        <v>22</v>
      </c>
      <c r="G208" s="656" t="s">
        <v>111</v>
      </c>
      <c r="H208" s="87" t="s">
        <v>112</v>
      </c>
      <c r="I208" s="656" t="s">
        <v>113</v>
      </c>
      <c r="J208" s="656" t="s">
        <v>114</v>
      </c>
      <c r="K208" s="89" t="s">
        <v>25</v>
      </c>
      <c r="L208" s="90"/>
    </row>
    <row r="209" spans="2:12">
      <c r="B209" s="663"/>
      <c r="C209" s="984" t="s">
        <v>1098</v>
      </c>
      <c r="D209" s="985"/>
      <c r="E209" s="986"/>
      <c r="F209" s="91">
        <v>1</v>
      </c>
      <c r="G209" s="91">
        <v>1</v>
      </c>
      <c r="H209" s="91">
        <v>8</v>
      </c>
      <c r="I209" s="91">
        <v>8</v>
      </c>
      <c r="J209" s="91">
        <v>0</v>
      </c>
      <c r="K209" s="89">
        <f>(H209*G209*F209*I209)-J209</f>
        <v>64</v>
      </c>
      <c r="L209" s="90"/>
    </row>
    <row r="210" spans="2:12">
      <c r="B210" s="663"/>
      <c r="C210" s="987" t="s">
        <v>116</v>
      </c>
      <c r="D210" s="987"/>
      <c r="E210" s="987"/>
      <c r="F210" s="987"/>
      <c r="G210" s="987"/>
      <c r="H210" s="987"/>
      <c r="I210" s="987"/>
      <c r="J210" s="987"/>
      <c r="K210" s="89">
        <f>SUM(K209:K209)</f>
        <v>64</v>
      </c>
      <c r="L210" s="90"/>
    </row>
    <row r="211" spans="2:12">
      <c r="B211" s="663"/>
      <c r="C211" s="211"/>
      <c r="D211" s="211"/>
      <c r="E211" s="211"/>
      <c r="F211" s="211"/>
      <c r="G211" s="211"/>
      <c r="H211" s="211"/>
      <c r="I211" s="211"/>
      <c r="J211" s="211"/>
      <c r="K211" s="212"/>
      <c r="L211" s="90"/>
    </row>
    <row r="212" spans="2:12">
      <c r="B212" s="663"/>
      <c r="C212" s="211"/>
      <c r="D212" s="211"/>
      <c r="E212" s="211"/>
      <c r="F212" s="211"/>
      <c r="G212" s="211"/>
      <c r="H212" s="211"/>
      <c r="I212" s="211"/>
      <c r="J212" s="211"/>
      <c r="K212" s="212"/>
      <c r="L212" s="90"/>
    </row>
    <row r="213" spans="2:12">
      <c r="B213" s="663" t="s">
        <v>196</v>
      </c>
      <c r="C213" s="1024" t="s">
        <v>446</v>
      </c>
      <c r="D213" s="1025"/>
      <c r="E213" s="1025"/>
      <c r="F213" s="1025"/>
      <c r="G213" s="1025"/>
      <c r="H213" s="1025"/>
      <c r="I213" s="1025"/>
      <c r="J213" s="1026"/>
      <c r="K213" s="97" t="s">
        <v>7</v>
      </c>
      <c r="L213" s="97">
        <f>K216</f>
        <v>52.5</v>
      </c>
    </row>
    <row r="214" spans="2:12">
      <c r="B214" s="663"/>
      <c r="C214" s="983" t="s">
        <v>20</v>
      </c>
      <c r="D214" s="983"/>
      <c r="E214" s="983"/>
      <c r="F214" s="87" t="s">
        <v>22</v>
      </c>
      <c r="G214" s="656" t="s">
        <v>111</v>
      </c>
      <c r="H214" s="87" t="s">
        <v>112</v>
      </c>
      <c r="I214" s="656" t="s">
        <v>113</v>
      </c>
      <c r="J214" s="656" t="s">
        <v>114</v>
      </c>
      <c r="K214" s="89" t="s">
        <v>25</v>
      </c>
      <c r="L214" s="90"/>
    </row>
    <row r="215" spans="2:12" ht="15" customHeight="1">
      <c r="B215" s="663"/>
      <c r="C215" s="984" t="s">
        <v>237</v>
      </c>
      <c r="D215" s="985"/>
      <c r="E215" s="986"/>
      <c r="F215" s="91">
        <v>1</v>
      </c>
      <c r="G215" s="91">
        <v>2.1</v>
      </c>
      <c r="H215" s="91">
        <v>1</v>
      </c>
      <c r="I215" s="91">
        <v>25</v>
      </c>
      <c r="J215" s="91">
        <v>0</v>
      </c>
      <c r="K215" s="89">
        <f>(G215*H215*I215*F215)-J215</f>
        <v>52.5</v>
      </c>
      <c r="L215" s="90"/>
    </row>
    <row r="216" spans="2:12">
      <c r="B216" s="663"/>
      <c r="C216" s="987" t="s">
        <v>116</v>
      </c>
      <c r="D216" s="987"/>
      <c r="E216" s="987"/>
      <c r="F216" s="987"/>
      <c r="G216" s="987"/>
      <c r="H216" s="987"/>
      <c r="I216" s="987"/>
      <c r="J216" s="987"/>
      <c r="K216" s="89">
        <f>SUM(K215:K215)</f>
        <v>52.5</v>
      </c>
      <c r="L216" s="90"/>
    </row>
    <row r="217" spans="2:12">
      <c r="B217" s="663"/>
      <c r="C217" s="211"/>
      <c r="D217" s="211"/>
      <c r="E217" s="211"/>
      <c r="F217" s="211"/>
      <c r="G217" s="211"/>
      <c r="H217" s="211"/>
      <c r="I217" s="211"/>
      <c r="J217" s="211"/>
      <c r="K217" s="212"/>
      <c r="L217" s="90"/>
    </row>
    <row r="218" spans="2:12">
      <c r="B218" s="292" t="s">
        <v>11</v>
      </c>
      <c r="C218" s="1093" t="s">
        <v>1068</v>
      </c>
      <c r="D218" s="1093"/>
      <c r="E218" s="1093"/>
      <c r="F218" s="1093"/>
      <c r="G218" s="1093"/>
      <c r="H218" s="1093"/>
      <c r="I218" s="1093"/>
      <c r="J218" s="1093"/>
      <c r="K218" s="293"/>
      <c r="L218" s="293"/>
    </row>
    <row r="219" spans="2:12">
      <c r="B219" s="663"/>
      <c r="C219" s="211"/>
      <c r="D219" s="211"/>
      <c r="E219" s="211"/>
      <c r="F219" s="211"/>
      <c r="G219" s="211"/>
      <c r="H219" s="211"/>
      <c r="I219" s="211"/>
      <c r="J219" s="211"/>
      <c r="K219" s="212"/>
      <c r="L219" s="90"/>
    </row>
    <row r="220" spans="2:12">
      <c r="B220" s="663" t="s">
        <v>12</v>
      </c>
      <c r="C220" s="1024" t="s">
        <v>1068</v>
      </c>
      <c r="D220" s="1025"/>
      <c r="E220" s="1025"/>
      <c r="F220" s="1025"/>
      <c r="G220" s="1025"/>
      <c r="H220" s="1025"/>
      <c r="I220" s="1025"/>
      <c r="J220" s="1026"/>
      <c r="K220" s="97" t="s">
        <v>7</v>
      </c>
      <c r="L220" s="97">
        <f>K223</f>
        <v>31.5</v>
      </c>
    </row>
    <row r="221" spans="2:12">
      <c r="B221" s="663"/>
      <c r="C221" s="983" t="s">
        <v>20</v>
      </c>
      <c r="D221" s="983"/>
      <c r="E221" s="983"/>
      <c r="F221" s="87" t="s">
        <v>22</v>
      </c>
      <c r="G221" s="656" t="s">
        <v>111</v>
      </c>
      <c r="H221" s="87" t="s">
        <v>112</v>
      </c>
      <c r="I221" s="656" t="s">
        <v>113</v>
      </c>
      <c r="J221" s="656" t="s">
        <v>114</v>
      </c>
      <c r="K221" s="89" t="s">
        <v>25</v>
      </c>
      <c r="L221" s="90"/>
    </row>
    <row r="222" spans="2:12">
      <c r="B222" s="663"/>
      <c r="C222" s="984" t="s">
        <v>476</v>
      </c>
      <c r="D222" s="985"/>
      <c r="E222" s="986"/>
      <c r="F222" s="91">
        <v>1</v>
      </c>
      <c r="G222" s="91">
        <v>2.1</v>
      </c>
      <c r="H222" s="91">
        <v>1</v>
      </c>
      <c r="I222" s="91">
        <v>15</v>
      </c>
      <c r="J222" s="91">
        <v>0</v>
      </c>
      <c r="K222" s="89">
        <f>(G222*H222*I222*F222)-J222</f>
        <v>31.5</v>
      </c>
      <c r="L222" s="90"/>
    </row>
    <row r="223" spans="2:12">
      <c r="B223" s="663"/>
      <c r="C223" s="987" t="s">
        <v>116</v>
      </c>
      <c r="D223" s="987"/>
      <c r="E223" s="987"/>
      <c r="F223" s="987"/>
      <c r="G223" s="987"/>
      <c r="H223" s="987"/>
      <c r="I223" s="987"/>
      <c r="J223" s="987"/>
      <c r="K223" s="89">
        <f>SUM(K222:K222)</f>
        <v>31.5</v>
      </c>
      <c r="L223" s="90"/>
    </row>
    <row r="224" spans="2:12">
      <c r="B224" s="663"/>
      <c r="C224" s="211"/>
      <c r="D224" s="211"/>
      <c r="E224" s="211"/>
      <c r="F224" s="211"/>
      <c r="G224" s="211"/>
      <c r="H224" s="211"/>
      <c r="I224" s="211"/>
      <c r="J224" s="211"/>
      <c r="K224" s="212"/>
      <c r="L224" s="90"/>
    </row>
    <row r="225" spans="2:12" hidden="1">
      <c r="B225" s="663"/>
      <c r="C225" s="983" t="s">
        <v>20</v>
      </c>
      <c r="D225" s="983"/>
      <c r="E225" s="983"/>
      <c r="F225" s="87" t="s">
        <v>22</v>
      </c>
      <c r="G225" s="656" t="s">
        <v>111</v>
      </c>
      <c r="H225" s="87" t="s">
        <v>112</v>
      </c>
      <c r="I225" s="656" t="s">
        <v>154</v>
      </c>
      <c r="J225" s="656" t="s">
        <v>114</v>
      </c>
      <c r="K225" s="89" t="s">
        <v>25</v>
      </c>
      <c r="L225" s="90"/>
    </row>
    <row r="226" spans="2:12" hidden="1">
      <c r="B226" s="663"/>
      <c r="C226" s="1028" t="s">
        <v>159</v>
      </c>
      <c r="D226" s="1028"/>
      <c r="E226" s="1028"/>
      <c r="F226" s="91">
        <v>1</v>
      </c>
      <c r="G226" s="91">
        <v>5.05</v>
      </c>
      <c r="H226" s="91"/>
      <c r="I226" s="91">
        <f>6.6*2</f>
        <v>13.2</v>
      </c>
      <c r="J226" s="91">
        <v>3.88</v>
      </c>
      <c r="K226" s="664">
        <f>TRUNC(((G226*I226)*F226)-J226,2)</f>
        <v>62.78</v>
      </c>
      <c r="L226" s="90"/>
    </row>
    <row r="227" spans="2:12" hidden="1">
      <c r="B227" s="663"/>
      <c r="C227" s="1028" t="s">
        <v>156</v>
      </c>
      <c r="D227" s="1028"/>
      <c r="E227" s="1028"/>
      <c r="F227" s="91">
        <v>1</v>
      </c>
      <c r="G227" s="91">
        <v>5.05</v>
      </c>
      <c r="H227" s="91"/>
      <c r="I227" s="91">
        <v>9</v>
      </c>
      <c r="J227" s="91"/>
      <c r="K227" s="664">
        <f>TRUNC(((G227*I227)*F227),2)</f>
        <v>45.45</v>
      </c>
      <c r="L227" s="90"/>
    </row>
    <row r="228" spans="2:12" hidden="1">
      <c r="B228" s="663"/>
      <c r="C228" s="1028" t="s">
        <v>160</v>
      </c>
      <c r="D228" s="1028"/>
      <c r="E228" s="1028"/>
      <c r="F228" s="91">
        <v>2</v>
      </c>
      <c r="G228" s="91">
        <v>2.6</v>
      </c>
      <c r="H228" s="91"/>
      <c r="I228" s="91">
        <f>4.2+3.15+2.15+(1.05*2)</f>
        <v>11.6</v>
      </c>
      <c r="J228" s="91"/>
      <c r="K228" s="664">
        <f>TRUNC(((G228*I228)*F228),2)</f>
        <v>60.32</v>
      </c>
      <c r="L228" s="90"/>
    </row>
    <row r="229" spans="2:12" hidden="1">
      <c r="B229" s="663"/>
      <c r="C229" s="1028" t="s">
        <v>161</v>
      </c>
      <c r="D229" s="1028"/>
      <c r="E229" s="1028"/>
      <c r="F229" s="91">
        <v>2</v>
      </c>
      <c r="G229" s="91">
        <v>2.1</v>
      </c>
      <c r="H229" s="91"/>
      <c r="I229" s="91">
        <v>2.2000000000000002</v>
      </c>
      <c r="J229" s="91"/>
      <c r="K229" s="664">
        <f>TRUNC(((G229*I229)*F229),2)</f>
        <v>9.24</v>
      </c>
      <c r="L229" s="90"/>
    </row>
    <row r="230" spans="2:12" hidden="1">
      <c r="B230" s="663"/>
      <c r="C230" s="987" t="s">
        <v>116</v>
      </c>
      <c r="D230" s="987"/>
      <c r="E230" s="987"/>
      <c r="F230" s="987"/>
      <c r="G230" s="987"/>
      <c r="H230" s="987"/>
      <c r="I230" s="987"/>
      <c r="J230" s="987"/>
      <c r="K230" s="89">
        <f>SUM(K226:K229)</f>
        <v>177.79000000000002</v>
      </c>
      <c r="L230" s="90"/>
    </row>
    <row r="231" spans="2:12" hidden="1">
      <c r="B231" s="219"/>
      <c r="C231" s="219"/>
      <c r="D231" s="219"/>
      <c r="E231" s="219"/>
      <c r="F231" s="219"/>
      <c r="G231" s="219"/>
      <c r="H231" s="219"/>
      <c r="I231" s="219"/>
      <c r="J231" s="219"/>
      <c r="K231" s="219"/>
      <c r="L231" s="219"/>
    </row>
    <row r="232" spans="2:12" ht="24" hidden="1" customHeight="1">
      <c r="B232" s="85" t="str">
        <f>'[6]PLANILHA ORÇAMENTÁRIA'!D49</f>
        <v>8.2</v>
      </c>
      <c r="C232" s="1032" t="str">
        <f>'[6]PLANILHA ORÇAMENTÁRIA'!E49</f>
        <v>EMBOÇO, PARA RECEBIMENTO DE CERÂMICA, EM ARGAMASSA TRAÇO 1:2:8, PREPARO MECÂNICO COM BETONEIRA 400L, APLICADO MANUALMENTE EM FACES INTERNAS DE PAREDES, PARA AMBIENTE COM ÁREA MAIOR QUE 10M2, ESPESSURA DE 10MM, COM EXECUÇÃO DE TALISCAS. AF_06/2014</v>
      </c>
      <c r="D232" s="1032"/>
      <c r="E232" s="1032"/>
      <c r="F232" s="1032"/>
      <c r="G232" s="1032"/>
      <c r="H232" s="1032"/>
      <c r="I232" s="1032"/>
      <c r="J232" s="1032"/>
      <c r="K232" s="294" t="str">
        <f>'[6]PLANILHA ORÇAMENTÁRIA'!F49</f>
        <v>M2</v>
      </c>
      <c r="L232" s="295">
        <f>K238</f>
        <v>177.79000000000002</v>
      </c>
    </row>
    <row r="233" spans="2:12" hidden="1">
      <c r="B233" s="663"/>
      <c r="C233" s="983" t="s">
        <v>20</v>
      </c>
      <c r="D233" s="983"/>
      <c r="E233" s="983"/>
      <c r="F233" s="87" t="s">
        <v>22</v>
      </c>
      <c r="G233" s="656" t="s">
        <v>111</v>
      </c>
      <c r="H233" s="87" t="s">
        <v>112</v>
      </c>
      <c r="I233" s="656" t="s">
        <v>154</v>
      </c>
      <c r="J233" s="656" t="s">
        <v>114</v>
      </c>
      <c r="K233" s="89" t="s">
        <v>25</v>
      </c>
      <c r="L233" s="90"/>
    </row>
    <row r="234" spans="2:12" ht="15" hidden="1" customHeight="1">
      <c r="B234" s="663"/>
      <c r="C234" s="1028" t="s">
        <v>159</v>
      </c>
      <c r="D234" s="1028"/>
      <c r="E234" s="1028"/>
      <c r="F234" s="91">
        <v>1</v>
      </c>
      <c r="G234" s="91">
        <v>5.05</v>
      </c>
      <c r="H234" s="91"/>
      <c r="I234" s="91">
        <f>6.6*2</f>
        <v>13.2</v>
      </c>
      <c r="J234" s="91">
        <v>3.88</v>
      </c>
      <c r="K234" s="664">
        <f>TRUNC(((G234*I234)*F234)-J234,2)</f>
        <v>62.78</v>
      </c>
      <c r="L234" s="90"/>
    </row>
    <row r="235" spans="2:12" hidden="1">
      <c r="B235" s="663"/>
      <c r="C235" s="1028" t="s">
        <v>156</v>
      </c>
      <c r="D235" s="1028"/>
      <c r="E235" s="1028"/>
      <c r="F235" s="91">
        <v>1</v>
      </c>
      <c r="G235" s="91">
        <v>5.05</v>
      </c>
      <c r="H235" s="91"/>
      <c r="I235" s="91">
        <v>9</v>
      </c>
      <c r="J235" s="91"/>
      <c r="K235" s="664">
        <f>TRUNC(((G235*I235)*F235),2)</f>
        <v>45.45</v>
      </c>
      <c r="L235" s="90"/>
    </row>
    <row r="236" spans="2:12" ht="15" hidden="1" customHeight="1">
      <c r="B236" s="663"/>
      <c r="C236" s="1028" t="s">
        <v>160</v>
      </c>
      <c r="D236" s="1028"/>
      <c r="E236" s="1028"/>
      <c r="F236" s="91">
        <v>2</v>
      </c>
      <c r="G236" s="91">
        <v>2.6</v>
      </c>
      <c r="H236" s="91"/>
      <c r="I236" s="91">
        <f>4.2+3.15+2.15+(1.05*2)</f>
        <v>11.6</v>
      </c>
      <c r="J236" s="91"/>
      <c r="K236" s="664">
        <f>TRUNC(((G236*I236)*F236),2)</f>
        <v>60.32</v>
      </c>
      <c r="L236" s="90"/>
    </row>
    <row r="237" spans="2:12" ht="15" hidden="1" customHeight="1">
      <c r="B237" s="663"/>
      <c r="C237" s="1028" t="s">
        <v>161</v>
      </c>
      <c r="D237" s="1028"/>
      <c r="E237" s="1028"/>
      <c r="F237" s="91">
        <v>2</v>
      </c>
      <c r="G237" s="91">
        <v>2.1</v>
      </c>
      <c r="H237" s="91"/>
      <c r="I237" s="91">
        <v>2.2000000000000002</v>
      </c>
      <c r="J237" s="91"/>
      <c r="K237" s="664">
        <f>TRUNC(((G237*I237)*F237),2)</f>
        <v>9.24</v>
      </c>
      <c r="L237" s="90"/>
    </row>
    <row r="238" spans="2:12" hidden="1">
      <c r="B238" s="663"/>
      <c r="C238" s="987" t="s">
        <v>116</v>
      </c>
      <c r="D238" s="987"/>
      <c r="E238" s="987"/>
      <c r="F238" s="987"/>
      <c r="G238" s="987"/>
      <c r="H238" s="987"/>
      <c r="I238" s="987"/>
      <c r="J238" s="987"/>
      <c r="K238" s="89">
        <f>SUM(K234:K237)</f>
        <v>177.79000000000002</v>
      </c>
      <c r="L238" s="90"/>
    </row>
    <row r="239" spans="2:12" hidden="1">
      <c r="B239" s="219"/>
      <c r="C239" s="219"/>
      <c r="D239" s="219"/>
      <c r="E239" s="219"/>
      <c r="F239" s="219"/>
      <c r="G239" s="219"/>
      <c r="H239" s="219"/>
      <c r="I239" s="219"/>
      <c r="J239" s="219"/>
      <c r="K239" s="219"/>
      <c r="L239" s="219"/>
    </row>
    <row r="240" spans="2:12" hidden="1">
      <c r="B240" s="663"/>
      <c r="C240" s="987" t="s">
        <v>116</v>
      </c>
      <c r="D240" s="987"/>
      <c r="E240" s="987"/>
      <c r="F240" s="987"/>
      <c r="G240" s="987"/>
      <c r="H240" s="987"/>
      <c r="I240" s="987"/>
      <c r="J240" s="987"/>
      <c r="K240" s="89" t="e">
        <f>SUM(#REF!)</f>
        <v>#REF!</v>
      </c>
      <c r="L240" s="90"/>
    </row>
    <row r="241" spans="2:12" hidden="1">
      <c r="B241" s="219"/>
      <c r="C241" s="219"/>
      <c r="D241" s="219"/>
      <c r="E241" s="219"/>
      <c r="F241" s="219"/>
      <c r="G241" s="219"/>
      <c r="H241" s="219"/>
      <c r="I241" s="219"/>
      <c r="J241" s="219"/>
      <c r="K241" s="219"/>
      <c r="L241" s="219"/>
    </row>
    <row r="242" spans="2:12" ht="15" hidden="1" customHeight="1">
      <c r="B242" s="663"/>
      <c r="C242" s="984" t="s">
        <v>162</v>
      </c>
      <c r="D242" s="985"/>
      <c r="E242" s="986"/>
      <c r="F242" s="91"/>
      <c r="G242" s="91"/>
      <c r="H242" s="91">
        <v>1.8</v>
      </c>
      <c r="I242" s="91">
        <v>14.3</v>
      </c>
      <c r="J242" s="91"/>
      <c r="K242" s="296">
        <f>H242*I242</f>
        <v>25.740000000000002</v>
      </c>
      <c r="L242" s="90"/>
    </row>
    <row r="243" spans="2:12" ht="15" hidden="1" customHeight="1">
      <c r="B243" s="663"/>
      <c r="C243" s="984" t="s">
        <v>162</v>
      </c>
      <c r="D243" s="985"/>
      <c r="E243" s="986"/>
      <c r="F243" s="91">
        <v>2</v>
      </c>
      <c r="G243" s="91"/>
      <c r="H243" s="91">
        <v>1.6</v>
      </c>
      <c r="I243" s="91">
        <v>4</v>
      </c>
      <c r="J243" s="91"/>
      <c r="K243" s="296">
        <f>F243*H243*I243</f>
        <v>12.8</v>
      </c>
      <c r="L243" s="90"/>
    </row>
    <row r="244" spans="2:12" ht="15" hidden="1" customHeight="1">
      <c r="B244" s="663"/>
      <c r="C244" s="984" t="s">
        <v>163</v>
      </c>
      <c r="D244" s="985"/>
      <c r="E244" s="986"/>
      <c r="F244" s="91"/>
      <c r="G244" s="91"/>
      <c r="H244" s="91"/>
      <c r="I244" s="91"/>
      <c r="J244" s="91">
        <v>109.24</v>
      </c>
      <c r="K244" s="296">
        <f>-J244</f>
        <v>-109.24</v>
      </c>
      <c r="L244" s="90"/>
    </row>
    <row r="245" spans="2:12" hidden="1">
      <c r="B245" s="663"/>
      <c r="C245" s="1028" t="s">
        <v>164</v>
      </c>
      <c r="D245" s="1028"/>
      <c r="E245" s="1028"/>
      <c r="F245" s="91"/>
      <c r="G245" s="91"/>
      <c r="H245" s="91">
        <v>1.05</v>
      </c>
      <c r="I245" s="91">
        <v>1.85</v>
      </c>
      <c r="J245" s="91"/>
      <c r="K245" s="664">
        <f>TRUNC(H245*I245,2)</f>
        <v>1.94</v>
      </c>
      <c r="L245" s="90"/>
    </row>
    <row r="246" spans="2:12" hidden="1">
      <c r="B246" s="663"/>
      <c r="C246" s="983" t="s">
        <v>20</v>
      </c>
      <c r="D246" s="983"/>
      <c r="E246" s="983"/>
      <c r="F246" s="87" t="s">
        <v>22</v>
      </c>
      <c r="G246" s="656" t="s">
        <v>111</v>
      </c>
      <c r="H246" s="87" t="s">
        <v>112</v>
      </c>
      <c r="I246" s="656" t="s">
        <v>113</v>
      </c>
      <c r="J246" s="656" t="s">
        <v>114</v>
      </c>
      <c r="K246" s="89" t="s">
        <v>25</v>
      </c>
      <c r="L246" s="90"/>
    </row>
    <row r="247" spans="2:12" ht="15" hidden="1" customHeight="1">
      <c r="B247" s="663"/>
      <c r="C247" s="1028" t="s">
        <v>165</v>
      </c>
      <c r="D247" s="1028"/>
      <c r="E247" s="1028"/>
      <c r="F247" s="91"/>
      <c r="G247" s="91"/>
      <c r="H247" s="91">
        <v>6.4740000000000002</v>
      </c>
      <c r="I247" s="91">
        <v>7.5</v>
      </c>
      <c r="J247" s="91">
        <v>1.75</v>
      </c>
      <c r="K247" s="664">
        <f>TRUNC(H247*I247-J247,2)</f>
        <v>46.8</v>
      </c>
      <c r="L247" s="90"/>
    </row>
    <row r="248" spans="2:12" ht="22.5" hidden="1" customHeight="1">
      <c r="B248" s="85" t="str">
        <f>'[6]PLANILHA ORÇAMENTÁRIA'!D68</f>
        <v>10.2</v>
      </c>
      <c r="C248" s="1032" t="str">
        <f>'[6]PLANILHA ORÇAMENTÁRIA'!E68</f>
        <v>FECHADURA DE EMBUTIR COM CILINDRO, EXTERNA, COMPLETA, ACABAMENTO PADRÃO POPULAR, INCLUSO EXECUÇÃO DE FURO - FORNECIMENTO E INSTALAÇÃO. AF_08/2015</v>
      </c>
      <c r="D248" s="1032"/>
      <c r="E248" s="1032"/>
      <c r="F248" s="1032"/>
      <c r="G248" s="1032"/>
      <c r="H248" s="1032"/>
      <c r="I248" s="1032"/>
      <c r="J248" s="1032"/>
      <c r="K248" s="294" t="str">
        <f>'[6]PLANILHA ORÇAMENTÁRIA'!F68</f>
        <v>UND</v>
      </c>
      <c r="L248" s="295" t="e">
        <f>#REF!</f>
        <v>#REF!</v>
      </c>
    </row>
    <row r="249" spans="2:12" hidden="1">
      <c r="B249" s="663"/>
      <c r="C249" s="983" t="s">
        <v>20</v>
      </c>
      <c r="D249" s="983"/>
      <c r="E249" s="983"/>
      <c r="F249" s="87" t="s">
        <v>22</v>
      </c>
      <c r="G249" s="656" t="s">
        <v>111</v>
      </c>
      <c r="H249" s="656" t="s">
        <v>114</v>
      </c>
      <c r="I249" s="656" t="s">
        <v>113</v>
      </c>
      <c r="J249" s="656" t="s">
        <v>136</v>
      </c>
      <c r="K249" s="89" t="s">
        <v>25</v>
      </c>
      <c r="L249" s="90"/>
    </row>
    <row r="250" spans="2:12" ht="27" hidden="1" customHeight="1">
      <c r="B250" s="663"/>
      <c r="C250" s="1028" t="s">
        <v>166</v>
      </c>
      <c r="D250" s="1028"/>
      <c r="E250" s="1028"/>
      <c r="F250" s="91">
        <v>3</v>
      </c>
      <c r="G250" s="91"/>
      <c r="H250" s="91"/>
      <c r="I250" s="91"/>
      <c r="J250" s="91"/>
      <c r="K250" s="664"/>
      <c r="L250" s="90"/>
    </row>
    <row r="251" spans="2:12" ht="15" hidden="1" customHeight="1">
      <c r="B251" s="85" t="str">
        <f>'[6]PLANILHA ORÇAMENTÁRIA'!D72</f>
        <v>11.2</v>
      </c>
      <c r="C251" s="1032" t="str">
        <f>'[6]PLANILHA ORÇAMENTÁRIA'!E72</f>
        <v>CAIXA D'ÁGUA EM POLIETILENO, 500 LITROS, COM ACESSÓRIOS.</v>
      </c>
      <c r="D251" s="1032"/>
      <c r="E251" s="1032"/>
      <c r="F251" s="1032"/>
      <c r="G251" s="1032"/>
      <c r="H251" s="1032"/>
      <c r="I251" s="1032"/>
      <c r="J251" s="1032"/>
      <c r="K251" s="294" t="str">
        <f>'[6]PLANILHA ORÇAMENTÁRIA'!F72</f>
        <v>UND</v>
      </c>
      <c r="L251" s="295" t="e">
        <f>#REF!</f>
        <v>#REF!</v>
      </c>
    </row>
    <row r="252" spans="2:12" hidden="1">
      <c r="B252" s="663"/>
      <c r="C252" s="983" t="s">
        <v>20</v>
      </c>
      <c r="D252" s="983"/>
      <c r="E252" s="983"/>
      <c r="F252" s="87" t="s">
        <v>22</v>
      </c>
      <c r="G252" s="656" t="s">
        <v>111</v>
      </c>
      <c r="H252" s="656" t="s">
        <v>114</v>
      </c>
      <c r="I252" s="656" t="s">
        <v>113</v>
      </c>
      <c r="J252" s="656" t="s">
        <v>136</v>
      </c>
      <c r="K252" s="89" t="s">
        <v>25</v>
      </c>
      <c r="L252" s="90"/>
    </row>
    <row r="253" spans="2:12" hidden="1">
      <c r="B253" s="663"/>
      <c r="C253" s="1028"/>
      <c r="D253" s="1028"/>
      <c r="E253" s="1028"/>
      <c r="F253" s="91">
        <v>2</v>
      </c>
      <c r="G253" s="91"/>
      <c r="H253" s="91"/>
      <c r="I253" s="91"/>
      <c r="J253" s="91"/>
      <c r="K253" s="664">
        <f>F253</f>
        <v>2</v>
      </c>
      <c r="L253" s="90"/>
    </row>
    <row r="254" spans="2:12" hidden="1">
      <c r="B254" s="663"/>
      <c r="C254" s="987" t="s">
        <v>116</v>
      </c>
      <c r="D254" s="987"/>
      <c r="E254" s="987"/>
      <c r="F254" s="987"/>
      <c r="G254" s="987"/>
      <c r="H254" s="987"/>
      <c r="I254" s="987"/>
      <c r="J254" s="987"/>
      <c r="K254" s="89" t="e">
        <f>SUM(#REF!)</f>
        <v>#REF!</v>
      </c>
      <c r="L254" s="90"/>
    </row>
    <row r="255" spans="2:12" hidden="1">
      <c r="B255" s="663"/>
      <c r="C255" s="211"/>
      <c r="D255" s="211"/>
      <c r="E255" s="211"/>
      <c r="F255" s="211"/>
      <c r="G255" s="211"/>
      <c r="H255" s="211"/>
      <c r="I255" s="211"/>
      <c r="J255" s="211"/>
      <c r="K255" s="212"/>
      <c r="L255" s="90"/>
    </row>
    <row r="256" spans="2:12" ht="22.5" hidden="1" customHeight="1">
      <c r="B256" s="85" t="str">
        <f>'[6]PLANILHA ORÇAMENTÁRIA'!D76</f>
        <v>11.6</v>
      </c>
      <c r="C256" s="1032" t="str">
        <f>'[6]PLANILHA ORÇAMENTÁRIA'!E76</f>
        <v>SIFÃO DO TIPO GARRAFA/COPO EM PVC 1.1/4 X 1.1/2" - FORNECIMENTO E INSTALAÇÃO. AF_12/2013</v>
      </c>
      <c r="D256" s="1032"/>
      <c r="E256" s="1032"/>
      <c r="F256" s="1032"/>
      <c r="G256" s="1032"/>
      <c r="H256" s="1032"/>
      <c r="I256" s="1032"/>
      <c r="J256" s="1032"/>
      <c r="K256" s="294" t="str">
        <f>'[6]PLANILHA ORÇAMENTÁRIA'!F76</f>
        <v>UND</v>
      </c>
      <c r="L256" s="295" t="e">
        <f>#REF!</f>
        <v>#REF!</v>
      </c>
    </row>
    <row r="257" spans="2:12" hidden="1">
      <c r="B257" s="663"/>
      <c r="C257" s="983" t="s">
        <v>20</v>
      </c>
      <c r="D257" s="983"/>
      <c r="E257" s="983"/>
      <c r="F257" s="87" t="s">
        <v>22</v>
      </c>
      <c r="G257" s="656" t="s">
        <v>111</v>
      </c>
      <c r="H257" s="656" t="s">
        <v>114</v>
      </c>
      <c r="I257" s="656" t="s">
        <v>113</v>
      </c>
      <c r="J257" s="656" t="s">
        <v>136</v>
      </c>
      <c r="K257" s="89" t="s">
        <v>25</v>
      </c>
      <c r="L257" s="90"/>
    </row>
    <row r="258" spans="2:12" hidden="1">
      <c r="B258" s="663"/>
      <c r="C258" s="1028"/>
      <c r="D258" s="1028"/>
      <c r="E258" s="1028"/>
      <c r="F258" s="91">
        <v>2</v>
      </c>
      <c r="G258" s="91"/>
      <c r="H258" s="91"/>
      <c r="I258" s="91"/>
      <c r="J258" s="91"/>
      <c r="K258" s="664">
        <f>F258</f>
        <v>2</v>
      </c>
      <c r="L258" s="90"/>
    </row>
    <row r="259" spans="2:12" hidden="1">
      <c r="B259" s="663"/>
      <c r="C259" s="987" t="s">
        <v>116</v>
      </c>
      <c r="D259" s="987"/>
      <c r="E259" s="987"/>
      <c r="F259" s="987"/>
      <c r="G259" s="987"/>
      <c r="H259" s="987"/>
      <c r="I259" s="987"/>
      <c r="J259" s="987"/>
      <c r="K259" s="89">
        <f>SUM(K258:K258)</f>
        <v>2</v>
      </c>
      <c r="L259" s="90"/>
    </row>
    <row r="260" spans="2:12" hidden="1">
      <c r="B260" s="663"/>
      <c r="C260" s="211"/>
      <c r="D260" s="211"/>
      <c r="E260" s="211"/>
      <c r="F260" s="211"/>
      <c r="G260" s="211"/>
      <c r="H260" s="211"/>
      <c r="I260" s="211"/>
      <c r="J260" s="211"/>
      <c r="K260" s="212"/>
      <c r="L260" s="90"/>
    </row>
    <row r="261" spans="2:12" ht="27.75" hidden="1" customHeight="1">
      <c r="B261" s="85" t="str">
        <f>'[6]PLANILHA ORÇAMENTÁRIA'!D80</f>
        <v>11.10</v>
      </c>
      <c r="C261" s="1032" t="str">
        <f>'[6]PLANILHA ORÇAMENTÁRIA'!E80</f>
        <v>TORNEIRA CROMADA DE MESA, 1/2" OU 3/4", PARA LAVATÓRIO, PADRÃO POPULAR - FORNECIMENTO E INSTALAÇÃO. AF_12/2013</v>
      </c>
      <c r="D261" s="1032"/>
      <c r="E261" s="1032"/>
      <c r="F261" s="1032"/>
      <c r="G261" s="1032"/>
      <c r="H261" s="1032"/>
      <c r="I261" s="1032"/>
      <c r="J261" s="1032"/>
      <c r="K261" s="294" t="str">
        <f>'[6]PLANILHA ORÇAMENTÁRIA'!F80</f>
        <v>UND</v>
      </c>
      <c r="L261" s="295" t="e">
        <f>#REF!</f>
        <v>#REF!</v>
      </c>
    </row>
    <row r="262" spans="2:12" hidden="1">
      <c r="B262" s="663"/>
      <c r="C262" s="1028"/>
      <c r="D262" s="1028"/>
      <c r="E262" s="1028"/>
      <c r="F262" s="91">
        <v>2</v>
      </c>
      <c r="G262" s="91"/>
      <c r="H262" s="91"/>
      <c r="I262" s="91"/>
      <c r="J262" s="91"/>
      <c r="K262" s="664">
        <f>F262</f>
        <v>2</v>
      </c>
      <c r="L262" s="90"/>
    </row>
    <row r="263" spans="2:12" hidden="1">
      <c r="B263" s="663"/>
      <c r="C263" s="987" t="s">
        <v>116</v>
      </c>
      <c r="D263" s="987"/>
      <c r="E263" s="987"/>
      <c r="F263" s="987"/>
      <c r="G263" s="987"/>
      <c r="H263" s="987"/>
      <c r="I263" s="987"/>
      <c r="J263" s="987"/>
      <c r="K263" s="89">
        <f>SUM(K262:K262)</f>
        <v>2</v>
      </c>
      <c r="L263" s="90"/>
    </row>
    <row r="264" spans="2:12" hidden="1">
      <c r="B264" s="663"/>
      <c r="C264" s="1028"/>
      <c r="D264" s="1028"/>
      <c r="E264" s="1028"/>
      <c r="F264" s="91">
        <v>1</v>
      </c>
      <c r="G264" s="91"/>
      <c r="H264" s="91"/>
      <c r="I264" s="91"/>
      <c r="J264" s="91"/>
      <c r="K264" s="664">
        <f>F264</f>
        <v>1</v>
      </c>
      <c r="L264" s="90"/>
    </row>
    <row r="265" spans="2:12" hidden="1">
      <c r="B265" s="663"/>
      <c r="C265" s="987" t="s">
        <v>116</v>
      </c>
      <c r="D265" s="987"/>
      <c r="E265" s="987"/>
      <c r="F265" s="987"/>
      <c r="G265" s="987"/>
      <c r="H265" s="987"/>
      <c r="I265" s="987"/>
      <c r="J265" s="987"/>
      <c r="K265" s="89">
        <f>SUM(K264:K264)</f>
        <v>1</v>
      </c>
      <c r="L265" s="90"/>
    </row>
    <row r="266" spans="2:12" hidden="1">
      <c r="B266" s="663"/>
      <c r="C266" s="211"/>
      <c r="D266" s="211"/>
      <c r="E266" s="211"/>
      <c r="F266" s="211"/>
      <c r="G266" s="211"/>
      <c r="H266" s="211"/>
      <c r="I266" s="211"/>
      <c r="J266" s="211"/>
      <c r="K266" s="212"/>
      <c r="L266" s="90"/>
    </row>
    <row r="267" spans="2:12" ht="31.5" hidden="1" customHeight="1">
      <c r="B267" s="85" t="str">
        <f>'[6]PLANILHA ORÇAMENTÁRIA'!D83</f>
        <v>11.13</v>
      </c>
      <c r="C267" s="1032" t="str">
        <f>'[6]PLANILHA ORÇAMENTÁRIA'!E83</f>
        <v>JOELHO 45 GRAUS, PVC, SERIE NORMAL, ESGOTO PREDIAL, DN 40 MM, JUNTA SOLDÁVEL, FORNECIDO E INSTALADO EM RAMAL DE DESCARGA OU RAMAL DE ESGOTO SANITÁRIO. AF_12/2014.</v>
      </c>
      <c r="D267" s="1032"/>
      <c r="E267" s="1032"/>
      <c r="F267" s="1032"/>
      <c r="G267" s="1032"/>
      <c r="H267" s="1032"/>
      <c r="I267" s="1032"/>
      <c r="J267" s="1032"/>
      <c r="K267" s="294" t="str">
        <f>'[6]PLANILHA ORÇAMENTÁRIA'!F83</f>
        <v>UND</v>
      </c>
      <c r="L267" s="295">
        <f>K270</f>
        <v>3</v>
      </c>
    </row>
    <row r="268" spans="2:12" hidden="1">
      <c r="B268" s="663"/>
      <c r="C268" s="983" t="s">
        <v>20</v>
      </c>
      <c r="D268" s="983"/>
      <c r="E268" s="983"/>
      <c r="F268" s="87" t="s">
        <v>22</v>
      </c>
      <c r="G268" s="656" t="s">
        <v>111</v>
      </c>
      <c r="H268" s="656" t="s">
        <v>114</v>
      </c>
      <c r="I268" s="656" t="s">
        <v>113</v>
      </c>
      <c r="J268" s="656" t="s">
        <v>136</v>
      </c>
      <c r="K268" s="89" t="s">
        <v>25</v>
      </c>
      <c r="L268" s="90"/>
    </row>
    <row r="269" spans="2:12" hidden="1">
      <c r="B269" s="663"/>
      <c r="C269" s="1028"/>
      <c r="D269" s="1028"/>
      <c r="E269" s="1028"/>
      <c r="F269" s="91">
        <v>3</v>
      </c>
      <c r="G269" s="91"/>
      <c r="H269" s="91"/>
      <c r="I269" s="91"/>
      <c r="J269" s="91"/>
      <c r="K269" s="664">
        <f>F269</f>
        <v>3</v>
      </c>
      <c r="L269" s="90"/>
    </row>
    <row r="270" spans="2:12" hidden="1">
      <c r="B270" s="663"/>
      <c r="C270" s="987" t="s">
        <v>116</v>
      </c>
      <c r="D270" s="987"/>
      <c r="E270" s="987"/>
      <c r="F270" s="987"/>
      <c r="G270" s="987"/>
      <c r="H270" s="987"/>
      <c r="I270" s="987"/>
      <c r="J270" s="987"/>
      <c r="K270" s="89">
        <f>SUM(K269:K269)</f>
        <v>3</v>
      </c>
      <c r="L270" s="90"/>
    </row>
    <row r="271" spans="2:12" hidden="1">
      <c r="B271" s="219"/>
      <c r="C271" s="219"/>
      <c r="D271" s="219"/>
      <c r="E271" s="219"/>
      <c r="F271" s="219"/>
      <c r="G271" s="219"/>
      <c r="H271" s="219"/>
      <c r="I271" s="219"/>
      <c r="J271" s="219"/>
      <c r="K271" s="219"/>
      <c r="L271" s="219"/>
    </row>
    <row r="272" spans="2:12" ht="29.25" hidden="1" customHeight="1">
      <c r="B272" s="85" t="str">
        <f>'[6]PLANILHA ORÇAMENTÁRIA'!D84</f>
        <v>11.14</v>
      </c>
      <c r="C272" s="1032" t="str">
        <f>'[6]PLANILHA ORÇAMENTÁRIA'!E84</f>
        <v>JOELHO 90 GRAUS, PVC, SERIE NORMAL, ESGOTO PREDIAL, DN 40 MM, JUNTA SOLDÁVEL, FORNECIDO E INSTALADO EM RAMAL DE DESCARGA OU RAMAL DE ESGOTO SANITÁRIO. AF_12/2014.</v>
      </c>
      <c r="D272" s="1032"/>
      <c r="E272" s="1032"/>
      <c r="F272" s="1032"/>
      <c r="G272" s="1032"/>
      <c r="H272" s="1032"/>
      <c r="I272" s="1032"/>
      <c r="J272" s="1032"/>
      <c r="K272" s="294" t="str">
        <f>'[6]PLANILHA ORÇAMENTÁRIA'!F84</f>
        <v>UND</v>
      </c>
      <c r="L272" s="295">
        <f>K275</f>
        <v>3</v>
      </c>
    </row>
    <row r="273" spans="2:12" hidden="1">
      <c r="B273" s="663"/>
      <c r="C273" s="983" t="s">
        <v>20</v>
      </c>
      <c r="D273" s="983"/>
      <c r="E273" s="983"/>
      <c r="F273" s="87" t="s">
        <v>22</v>
      </c>
      <c r="G273" s="656" t="s">
        <v>111</v>
      </c>
      <c r="H273" s="656" t="s">
        <v>114</v>
      </c>
      <c r="I273" s="656" t="s">
        <v>113</v>
      </c>
      <c r="J273" s="656" t="s">
        <v>136</v>
      </c>
      <c r="K273" s="89" t="s">
        <v>25</v>
      </c>
      <c r="L273" s="90"/>
    </row>
    <row r="274" spans="2:12" hidden="1">
      <c r="B274" s="663"/>
      <c r="C274" s="1028"/>
      <c r="D274" s="1028"/>
      <c r="E274" s="1028"/>
      <c r="F274" s="91">
        <v>3</v>
      </c>
      <c r="G274" s="91"/>
      <c r="H274" s="91"/>
      <c r="I274" s="91"/>
      <c r="J274" s="91"/>
      <c r="K274" s="664">
        <f>F274</f>
        <v>3</v>
      </c>
      <c r="L274" s="90"/>
    </row>
    <row r="275" spans="2:12" hidden="1">
      <c r="B275" s="663"/>
      <c r="C275" s="987" t="s">
        <v>116</v>
      </c>
      <c r="D275" s="987"/>
      <c r="E275" s="987"/>
      <c r="F275" s="987"/>
      <c r="G275" s="987"/>
      <c r="H275" s="987"/>
      <c r="I275" s="987"/>
      <c r="J275" s="987"/>
      <c r="K275" s="89">
        <f>SUM(K274:K274)</f>
        <v>3</v>
      </c>
      <c r="L275" s="90"/>
    </row>
    <row r="276" spans="2:12" hidden="1">
      <c r="B276" s="219"/>
      <c r="C276" s="219"/>
      <c r="D276" s="219"/>
      <c r="E276" s="219"/>
      <c r="F276" s="219"/>
      <c r="G276" s="219"/>
      <c r="H276" s="219"/>
      <c r="I276" s="219"/>
      <c r="J276" s="219"/>
      <c r="K276" s="219"/>
      <c r="L276" s="219"/>
    </row>
    <row r="277" spans="2:12" ht="25.5" hidden="1" customHeight="1">
      <c r="B277" s="85" t="str">
        <f>'[6]PLANILHA ORÇAMENTÁRIA'!D85</f>
        <v>11.15</v>
      </c>
      <c r="C277" s="1032" t="str">
        <f>'[6]PLANILHA ORÇAMENTÁRIA'!E85</f>
        <v>TUBO PVC, SERIE NORMAL, ESGOTO PREDIAL, DN 40 MM, FORNECIDO E INSTALADO EM RAMAL DE DESCARGA OU RAMAL DE ESGOTO SANITÁRIO. AF_12/2014.</v>
      </c>
      <c r="D277" s="1032"/>
      <c r="E277" s="1032"/>
      <c r="F277" s="1032"/>
      <c r="G277" s="1032"/>
      <c r="H277" s="1032"/>
      <c r="I277" s="1032"/>
      <c r="J277" s="1032"/>
      <c r="K277" s="294" t="str">
        <f>'[6]PLANILHA ORÇAMENTÁRIA'!F85</f>
        <v>M</v>
      </c>
      <c r="L277" s="295">
        <f>K280</f>
        <v>6</v>
      </c>
    </row>
    <row r="278" spans="2:12" hidden="1">
      <c r="B278" s="663"/>
      <c r="C278" s="983" t="s">
        <v>20</v>
      </c>
      <c r="D278" s="983"/>
      <c r="E278" s="983"/>
      <c r="F278" s="87" t="s">
        <v>22</v>
      </c>
      <c r="G278" s="656" t="s">
        <v>111</v>
      </c>
      <c r="H278" s="656" t="s">
        <v>114</v>
      </c>
      <c r="I278" s="656" t="s">
        <v>113</v>
      </c>
      <c r="J278" s="656" t="s">
        <v>136</v>
      </c>
      <c r="K278" s="89" t="s">
        <v>25</v>
      </c>
      <c r="L278" s="90"/>
    </row>
    <row r="279" spans="2:12" hidden="1">
      <c r="B279" s="663"/>
      <c r="C279" s="1028"/>
      <c r="D279" s="1028"/>
      <c r="E279" s="1028"/>
      <c r="F279" s="91">
        <v>6</v>
      </c>
      <c r="G279" s="91"/>
      <c r="H279" s="91"/>
      <c r="I279" s="91"/>
      <c r="J279" s="91"/>
      <c r="K279" s="664">
        <f>F279</f>
        <v>6</v>
      </c>
      <c r="L279" s="90"/>
    </row>
    <row r="280" spans="2:12" hidden="1">
      <c r="B280" s="663"/>
      <c r="C280" s="987" t="s">
        <v>116</v>
      </c>
      <c r="D280" s="987"/>
      <c r="E280" s="987"/>
      <c r="F280" s="987"/>
      <c r="G280" s="987"/>
      <c r="H280" s="987"/>
      <c r="I280" s="987"/>
      <c r="J280" s="987"/>
      <c r="K280" s="89">
        <f>SUM(K279:K279)</f>
        <v>6</v>
      </c>
      <c r="L280" s="90"/>
    </row>
    <row r="281" spans="2:12" hidden="1">
      <c r="B281" s="219"/>
      <c r="C281" s="219"/>
      <c r="D281" s="219"/>
      <c r="E281" s="219"/>
      <c r="F281" s="219"/>
      <c r="G281" s="219"/>
      <c r="H281" s="219"/>
      <c r="I281" s="219"/>
      <c r="J281" s="219"/>
      <c r="K281" s="219"/>
      <c r="L281" s="219"/>
    </row>
    <row r="282" spans="2:12" ht="25.5" hidden="1" customHeight="1">
      <c r="B282" s="85" t="str">
        <f>'[6]PLANILHA ORÇAMENTÁRIA'!D86</f>
        <v>11.16</v>
      </c>
      <c r="C282" s="1032" t="str">
        <f>'[6]PLANILHA ORÇAMENTÁRIA'!E86</f>
        <v>LUVA SIMPLES, PVC, SERIE NORMAL, ESGOTO PREDIAL, DN 40 MM, JUNTA SOLDÁVEL, FORNECIDO E INSTALADO EM RAMAL DE DESCARGA OU RAMAL DE ESGOTO SANITÁRIO. AF_12/2014</v>
      </c>
      <c r="D282" s="1032"/>
      <c r="E282" s="1032"/>
      <c r="F282" s="1032"/>
      <c r="G282" s="1032"/>
      <c r="H282" s="1032"/>
      <c r="I282" s="1032"/>
      <c r="J282" s="1032"/>
      <c r="K282" s="294" t="str">
        <f>'[6]PLANILHA ORÇAMENTÁRIA'!F86</f>
        <v>UND</v>
      </c>
      <c r="L282" s="295">
        <f>K285</f>
        <v>3</v>
      </c>
    </row>
    <row r="283" spans="2:12" hidden="1">
      <c r="B283" s="663"/>
      <c r="C283" s="983" t="s">
        <v>20</v>
      </c>
      <c r="D283" s="983"/>
      <c r="E283" s="983"/>
      <c r="F283" s="87" t="s">
        <v>22</v>
      </c>
      <c r="G283" s="656" t="s">
        <v>111</v>
      </c>
      <c r="H283" s="656" t="s">
        <v>114</v>
      </c>
      <c r="I283" s="656" t="s">
        <v>113</v>
      </c>
      <c r="J283" s="656" t="s">
        <v>136</v>
      </c>
      <c r="K283" s="89" t="s">
        <v>25</v>
      </c>
      <c r="L283" s="90"/>
    </row>
    <row r="284" spans="2:12" hidden="1">
      <c r="B284" s="663"/>
      <c r="C284" s="1028"/>
      <c r="D284" s="1028"/>
      <c r="E284" s="1028"/>
      <c r="F284" s="91">
        <v>3</v>
      </c>
      <c r="G284" s="91"/>
      <c r="H284" s="91"/>
      <c r="I284" s="91"/>
      <c r="J284" s="91"/>
      <c r="K284" s="664">
        <f>F284</f>
        <v>3</v>
      </c>
      <c r="L284" s="90"/>
    </row>
    <row r="285" spans="2:12" hidden="1">
      <c r="B285" s="663"/>
      <c r="C285" s="987" t="s">
        <v>116</v>
      </c>
      <c r="D285" s="987"/>
      <c r="E285" s="987"/>
      <c r="F285" s="987"/>
      <c r="G285" s="987"/>
      <c r="H285" s="987"/>
      <c r="I285" s="987"/>
      <c r="J285" s="987"/>
      <c r="K285" s="89">
        <f>SUM(K284:K284)</f>
        <v>3</v>
      </c>
      <c r="L285" s="90"/>
    </row>
    <row r="286" spans="2:12" hidden="1">
      <c r="B286" s="219"/>
      <c r="C286" s="219"/>
      <c r="D286" s="219"/>
      <c r="E286" s="219"/>
      <c r="F286" s="219"/>
      <c r="G286" s="219"/>
      <c r="H286" s="219"/>
      <c r="I286" s="219"/>
      <c r="J286" s="219"/>
      <c r="K286" s="219"/>
      <c r="L286" s="219"/>
    </row>
    <row r="287" spans="2:12" ht="27.75" hidden="1" customHeight="1">
      <c r="B287" s="85" t="str">
        <f>'[6]PLANILHA ORÇAMENTÁRIA'!D87</f>
        <v>11.17</v>
      </c>
      <c r="C287" s="1032" t="str">
        <f>'[6]PLANILHA ORÇAMENTÁRIA'!E87</f>
        <v>TUBO PVC, SERIE NORMAL, ESGOTO PREDIAL, DN 50 MM, FORNECIDO E INSTALADO EM RAMAL DE DESCARGA OU RAMAL DE ESGOTO SANITÁRIO. AF_12/2014.</v>
      </c>
      <c r="D287" s="1032"/>
      <c r="E287" s="1032"/>
      <c r="F287" s="1032"/>
      <c r="G287" s="1032"/>
      <c r="H287" s="1032"/>
      <c r="I287" s="1032"/>
      <c r="J287" s="1032"/>
      <c r="K287" s="294" t="str">
        <f>'[6]PLANILHA ORÇAMENTÁRIA'!F87</f>
        <v>M</v>
      </c>
      <c r="L287" s="295">
        <f>K290</f>
        <v>6</v>
      </c>
    </row>
    <row r="288" spans="2:12" hidden="1">
      <c r="B288" s="663"/>
      <c r="C288" s="983" t="s">
        <v>20</v>
      </c>
      <c r="D288" s="983"/>
      <c r="E288" s="983"/>
      <c r="F288" s="87" t="s">
        <v>22</v>
      </c>
      <c r="G288" s="656" t="s">
        <v>111</v>
      </c>
      <c r="H288" s="656" t="s">
        <v>114</v>
      </c>
      <c r="I288" s="656" t="s">
        <v>113</v>
      </c>
      <c r="J288" s="656" t="s">
        <v>136</v>
      </c>
      <c r="K288" s="89" t="s">
        <v>25</v>
      </c>
      <c r="L288" s="90"/>
    </row>
    <row r="289" spans="2:12" hidden="1">
      <c r="B289" s="663"/>
      <c r="C289" s="1028"/>
      <c r="D289" s="1028"/>
      <c r="E289" s="1028"/>
      <c r="F289" s="91">
        <v>6</v>
      </c>
      <c r="G289" s="91"/>
      <c r="H289" s="91"/>
      <c r="I289" s="91"/>
      <c r="J289" s="91"/>
      <c r="K289" s="664">
        <f>F289</f>
        <v>6</v>
      </c>
      <c r="L289" s="90"/>
    </row>
    <row r="290" spans="2:12" hidden="1">
      <c r="B290" s="663"/>
      <c r="C290" s="987" t="s">
        <v>116</v>
      </c>
      <c r="D290" s="987"/>
      <c r="E290" s="987"/>
      <c r="F290" s="987"/>
      <c r="G290" s="987"/>
      <c r="H290" s="987"/>
      <c r="I290" s="987"/>
      <c r="J290" s="987"/>
      <c r="K290" s="89">
        <f>SUM(K289:K289)</f>
        <v>6</v>
      </c>
      <c r="L290" s="90"/>
    </row>
    <row r="291" spans="2:12" hidden="1">
      <c r="B291" s="219"/>
      <c r="C291" s="219"/>
      <c r="D291" s="219"/>
      <c r="E291" s="219"/>
      <c r="F291" s="219"/>
      <c r="G291" s="219"/>
      <c r="H291" s="219"/>
      <c r="I291" s="219"/>
      <c r="J291" s="219"/>
      <c r="K291" s="219"/>
      <c r="L291" s="219"/>
    </row>
    <row r="292" spans="2:12" ht="27" hidden="1" customHeight="1">
      <c r="B292" s="85" t="str">
        <f>'[6]PLANILHA ORÇAMENTÁRIA'!D88</f>
        <v>11.18</v>
      </c>
      <c r="C292" s="1032" t="str">
        <f>'[6]PLANILHA ORÇAMENTÁRIA'!E88</f>
        <v>JOELHO 45 GRAUS, PVC, SERIE NORMAL, ESGOTO PREDIAL, DN 100 MM, JUNTA ELÁSTICA, FORNECIDO E INSTALADO EM RAMAL DE DESCARGA OU RAMAL DE ESGOTO SANITÁRIO. AF_12/2014.</v>
      </c>
      <c r="D292" s="1032"/>
      <c r="E292" s="1032"/>
      <c r="F292" s="1032"/>
      <c r="G292" s="1032"/>
      <c r="H292" s="1032"/>
      <c r="I292" s="1032"/>
      <c r="J292" s="1032"/>
      <c r="K292" s="294" t="str">
        <f>'[6]PLANILHA ORÇAMENTÁRIA'!F88</f>
        <v>UND</v>
      </c>
      <c r="L292" s="295">
        <f>K295</f>
        <v>2</v>
      </c>
    </row>
    <row r="293" spans="2:12" hidden="1">
      <c r="B293" s="663"/>
      <c r="C293" s="983" t="s">
        <v>20</v>
      </c>
      <c r="D293" s="983"/>
      <c r="E293" s="983"/>
      <c r="F293" s="87" t="s">
        <v>22</v>
      </c>
      <c r="G293" s="656" t="s">
        <v>111</v>
      </c>
      <c r="H293" s="656" t="s">
        <v>114</v>
      </c>
      <c r="I293" s="656" t="s">
        <v>113</v>
      </c>
      <c r="J293" s="656" t="s">
        <v>136</v>
      </c>
      <c r="K293" s="89" t="s">
        <v>25</v>
      </c>
      <c r="L293" s="90"/>
    </row>
    <row r="294" spans="2:12" hidden="1">
      <c r="B294" s="663"/>
      <c r="C294" s="1028"/>
      <c r="D294" s="1028"/>
      <c r="E294" s="1028"/>
      <c r="F294" s="91">
        <v>2</v>
      </c>
      <c r="G294" s="91"/>
      <c r="H294" s="91"/>
      <c r="I294" s="91"/>
      <c r="J294" s="91"/>
      <c r="K294" s="664">
        <f>F294</f>
        <v>2</v>
      </c>
      <c r="L294" s="90"/>
    </row>
    <row r="295" spans="2:12" hidden="1">
      <c r="B295" s="663"/>
      <c r="C295" s="987" t="s">
        <v>116</v>
      </c>
      <c r="D295" s="987"/>
      <c r="E295" s="987"/>
      <c r="F295" s="987"/>
      <c r="G295" s="987"/>
      <c r="H295" s="987"/>
      <c r="I295" s="987"/>
      <c r="J295" s="987"/>
      <c r="K295" s="89">
        <f>SUM(K294:K294)</f>
        <v>2</v>
      </c>
      <c r="L295" s="90"/>
    </row>
    <row r="296" spans="2:12" hidden="1">
      <c r="B296" s="219"/>
      <c r="C296" s="219"/>
      <c r="D296" s="219"/>
      <c r="E296" s="219"/>
      <c r="F296" s="219"/>
      <c r="G296" s="219"/>
      <c r="H296" s="219"/>
      <c r="I296" s="219"/>
      <c r="J296" s="219"/>
      <c r="K296" s="219"/>
      <c r="L296" s="219"/>
    </row>
    <row r="297" spans="2:12" ht="25.5" hidden="1" customHeight="1">
      <c r="B297" s="85" t="str">
        <f>'[6]PLANILHA ORÇAMENTÁRIA'!D89</f>
        <v>11.19</v>
      </c>
      <c r="C297" s="1032" t="str">
        <f>'[6]PLANILHA ORÇAMENTÁRIA'!E89</f>
        <v>JOELHO 90 GRAUS, PVC, SERIE NORMAL, ESGOTO PREDIAL, DN 100 MM, JUNTA ELÁSTICA, FORNECIDO E INSTALADO EM RAMAL DE DESCARGA OU RAMAL DE ESGOTO SANITÁRIO. AF_12/2014.</v>
      </c>
      <c r="D297" s="1032"/>
      <c r="E297" s="1032"/>
      <c r="F297" s="1032"/>
      <c r="G297" s="1032"/>
      <c r="H297" s="1032"/>
      <c r="I297" s="1032"/>
      <c r="J297" s="1032"/>
      <c r="K297" s="294" t="str">
        <f>'[6]PLANILHA ORÇAMENTÁRIA'!F89</f>
        <v>UND</v>
      </c>
      <c r="L297" s="295">
        <f>K300</f>
        <v>2</v>
      </c>
    </row>
    <row r="298" spans="2:12" hidden="1">
      <c r="B298" s="663"/>
      <c r="C298" s="983" t="s">
        <v>20</v>
      </c>
      <c r="D298" s="983"/>
      <c r="E298" s="983"/>
      <c r="F298" s="87" t="s">
        <v>22</v>
      </c>
      <c r="G298" s="656" t="s">
        <v>111</v>
      </c>
      <c r="H298" s="656" t="s">
        <v>114</v>
      </c>
      <c r="I298" s="656" t="s">
        <v>113</v>
      </c>
      <c r="J298" s="656" t="s">
        <v>136</v>
      </c>
      <c r="K298" s="89" t="s">
        <v>25</v>
      </c>
      <c r="L298" s="90"/>
    </row>
    <row r="299" spans="2:12" hidden="1">
      <c r="B299" s="663"/>
      <c r="C299" s="1028"/>
      <c r="D299" s="1028"/>
      <c r="E299" s="1028"/>
      <c r="F299" s="91">
        <v>2</v>
      </c>
      <c r="G299" s="91"/>
      <c r="H299" s="91"/>
      <c r="I299" s="91"/>
      <c r="J299" s="91"/>
      <c r="K299" s="664">
        <f>F299</f>
        <v>2</v>
      </c>
      <c r="L299" s="90"/>
    </row>
    <row r="300" spans="2:12" hidden="1">
      <c r="B300" s="663"/>
      <c r="C300" s="987" t="s">
        <v>116</v>
      </c>
      <c r="D300" s="987"/>
      <c r="E300" s="987"/>
      <c r="F300" s="987"/>
      <c r="G300" s="987"/>
      <c r="H300" s="987"/>
      <c r="I300" s="987"/>
      <c r="J300" s="987"/>
      <c r="K300" s="89">
        <f>SUM(K299:K299)</f>
        <v>2</v>
      </c>
      <c r="L300" s="90"/>
    </row>
    <row r="301" spans="2:12" hidden="1">
      <c r="B301" s="219"/>
      <c r="C301" s="219"/>
      <c r="D301" s="219"/>
      <c r="E301" s="219"/>
      <c r="F301" s="219"/>
      <c r="G301" s="219"/>
      <c r="H301" s="219"/>
      <c r="I301" s="219"/>
      <c r="J301" s="219"/>
      <c r="K301" s="219"/>
      <c r="L301" s="219"/>
    </row>
    <row r="302" spans="2:12" ht="25.5" hidden="1" customHeight="1">
      <c r="B302" s="85" t="str">
        <f>'[6]PLANILHA ORÇAMENTÁRIA'!D90</f>
        <v>11.20</v>
      </c>
      <c r="C302" s="1032" t="str">
        <f>'[6]PLANILHA ORÇAMENTÁRIA'!E90</f>
        <v>TUBO PVC, SERIE NORMAL, ESGOTO PREDIAL, DN 100 MM, FORNECIDO E INSTALADO EM RAMAL DE DESCARGA OU RAMAL DE ESGOTO SANITÁRIO. AF_12/2014</v>
      </c>
      <c r="D302" s="1032"/>
      <c r="E302" s="1032"/>
      <c r="F302" s="1032"/>
      <c r="G302" s="1032"/>
      <c r="H302" s="1032"/>
      <c r="I302" s="1032"/>
      <c r="J302" s="1032"/>
      <c r="K302" s="294" t="str">
        <f>'[6]PLANILHA ORÇAMENTÁRIA'!F90</f>
        <v>M</v>
      </c>
      <c r="L302" s="295">
        <f>K305</f>
        <v>12</v>
      </c>
    </row>
    <row r="303" spans="2:12" hidden="1">
      <c r="B303" s="663"/>
      <c r="C303" s="983" t="s">
        <v>20</v>
      </c>
      <c r="D303" s="983"/>
      <c r="E303" s="983"/>
      <c r="F303" s="87" t="s">
        <v>22</v>
      </c>
      <c r="G303" s="656" t="s">
        <v>111</v>
      </c>
      <c r="H303" s="656" t="s">
        <v>114</v>
      </c>
      <c r="I303" s="656" t="s">
        <v>113</v>
      </c>
      <c r="J303" s="656" t="s">
        <v>136</v>
      </c>
      <c r="K303" s="89" t="s">
        <v>25</v>
      </c>
      <c r="L303" s="90"/>
    </row>
    <row r="304" spans="2:12" hidden="1">
      <c r="B304" s="663"/>
      <c r="C304" s="1028"/>
      <c r="D304" s="1028"/>
      <c r="E304" s="1028"/>
      <c r="F304" s="91">
        <v>12</v>
      </c>
      <c r="G304" s="91"/>
      <c r="H304" s="91"/>
      <c r="I304" s="91"/>
      <c r="J304" s="91"/>
      <c r="K304" s="664">
        <f>F304</f>
        <v>12</v>
      </c>
      <c r="L304" s="90"/>
    </row>
    <row r="305" spans="2:12" hidden="1">
      <c r="B305" s="663"/>
      <c r="C305" s="987" t="s">
        <v>116</v>
      </c>
      <c r="D305" s="987"/>
      <c r="E305" s="987"/>
      <c r="F305" s="987"/>
      <c r="G305" s="987"/>
      <c r="H305" s="987"/>
      <c r="I305" s="987"/>
      <c r="J305" s="987"/>
      <c r="K305" s="89">
        <f>SUM(K304:K304)</f>
        <v>12</v>
      </c>
      <c r="L305" s="90"/>
    </row>
    <row r="306" spans="2:12" hidden="1">
      <c r="B306" s="219"/>
      <c r="C306" s="219"/>
      <c r="D306" s="219"/>
      <c r="E306" s="219"/>
      <c r="F306" s="219"/>
      <c r="G306" s="219"/>
      <c r="H306" s="219"/>
      <c r="I306" s="219"/>
      <c r="J306" s="219"/>
      <c r="K306" s="219"/>
      <c r="L306" s="219"/>
    </row>
    <row r="307" spans="2:12" ht="24" hidden="1" customHeight="1">
      <c r="B307" s="85" t="str">
        <f>'[6]PLANILHA ORÇAMENTÁRIA'!D91</f>
        <v>11.21</v>
      </c>
      <c r="C307" s="1032" t="str">
        <f>'[6]PLANILHA ORÇAMENTÁRIA'!E91</f>
        <v>LUVA SIMPLES, PVC, SERIE NORMAL, ESGOTO PREDIAL, DN 100 MM, JUNTA ELÁSTICA, FORNECIDO E INSTALADO EM RAMAL DE DESCARGA OU RAMAL DE ESGOTO SANITÁRIO. AF_12/2014</v>
      </c>
      <c r="D307" s="1032"/>
      <c r="E307" s="1032"/>
      <c r="F307" s="1032"/>
      <c r="G307" s="1032"/>
      <c r="H307" s="1032"/>
      <c r="I307" s="1032"/>
      <c r="J307" s="1032"/>
      <c r="K307" s="294" t="str">
        <f>'[6]PLANILHA ORÇAMENTÁRIA'!F91</f>
        <v>UND</v>
      </c>
      <c r="L307" s="295">
        <f>K310</f>
        <v>2</v>
      </c>
    </row>
    <row r="308" spans="2:12" hidden="1">
      <c r="B308" s="663"/>
      <c r="C308" s="983" t="s">
        <v>20</v>
      </c>
      <c r="D308" s="983"/>
      <c r="E308" s="983"/>
      <c r="F308" s="87" t="s">
        <v>22</v>
      </c>
      <c r="G308" s="656" t="s">
        <v>111</v>
      </c>
      <c r="H308" s="656" t="s">
        <v>114</v>
      </c>
      <c r="I308" s="656" t="s">
        <v>113</v>
      </c>
      <c r="J308" s="656" t="s">
        <v>136</v>
      </c>
      <c r="K308" s="89" t="s">
        <v>25</v>
      </c>
      <c r="L308" s="90"/>
    </row>
    <row r="309" spans="2:12" hidden="1">
      <c r="B309" s="663"/>
      <c r="C309" s="1028"/>
      <c r="D309" s="1028"/>
      <c r="E309" s="1028"/>
      <c r="F309" s="91">
        <v>2</v>
      </c>
      <c r="G309" s="91"/>
      <c r="H309" s="91"/>
      <c r="I309" s="91"/>
      <c r="J309" s="91"/>
      <c r="K309" s="664">
        <f>F309</f>
        <v>2</v>
      </c>
      <c r="L309" s="90"/>
    </row>
    <row r="310" spans="2:12" hidden="1">
      <c r="B310" s="663"/>
      <c r="C310" s="987" t="s">
        <v>116</v>
      </c>
      <c r="D310" s="987"/>
      <c r="E310" s="987"/>
      <c r="F310" s="987"/>
      <c r="G310" s="987"/>
      <c r="H310" s="987"/>
      <c r="I310" s="987"/>
      <c r="J310" s="987"/>
      <c r="K310" s="89">
        <f>SUM(K309:K309)</f>
        <v>2</v>
      </c>
      <c r="L310" s="90"/>
    </row>
    <row r="311" spans="2:12" hidden="1">
      <c r="B311" s="219"/>
      <c r="C311" s="219"/>
      <c r="D311" s="219"/>
      <c r="E311" s="219"/>
      <c r="F311" s="219"/>
      <c r="G311" s="219"/>
      <c r="H311" s="219"/>
      <c r="I311" s="219"/>
      <c r="J311" s="219"/>
      <c r="K311" s="219"/>
      <c r="L311" s="219"/>
    </row>
    <row r="312" spans="2:12" ht="46.5" hidden="1" customHeight="1">
      <c r="B312" s="85" t="str">
        <f>'[6]PLANILHA ORÇAMENTÁRIA'!D92</f>
        <v>11.22</v>
      </c>
      <c r="C312" s="1032" t="str">
        <f>'[6]PLANILHA ORÇAMENTÁRIA'!E92</f>
        <v>COLETOR PREDIAL DE ESGOTO, DA CAIXA ATÉ A REDE (DISTÂNCIA = 8 M, LARGURA DA VALA = 0,65 M), INCLUINDO ESCAVAÇÃO MECANIZADA, PREPARO DE FUNDO DE VALA E REATERRO COM COMPACTAÇÃO MECANIZADA, TUBO PVC P/ REDE COLETORA ESGOTO JEI DN 100 MM E CONEXÕES - FORNECIMENTO E INSTALAÇÃO. AF_03/2016</v>
      </c>
      <c r="D312" s="1032"/>
      <c r="E312" s="1032"/>
      <c r="F312" s="1032"/>
      <c r="G312" s="1032"/>
      <c r="H312" s="1032"/>
      <c r="I312" s="1032"/>
      <c r="J312" s="1032"/>
      <c r="K312" s="294" t="str">
        <f>'[6]PLANILHA ORÇAMENTÁRIA'!F92</f>
        <v>UND</v>
      </c>
      <c r="L312" s="295">
        <f>K315</f>
        <v>1</v>
      </c>
    </row>
    <row r="313" spans="2:12" hidden="1">
      <c r="B313" s="663"/>
      <c r="C313" s="983" t="s">
        <v>20</v>
      </c>
      <c r="D313" s="983"/>
      <c r="E313" s="983"/>
      <c r="F313" s="87" t="s">
        <v>22</v>
      </c>
      <c r="G313" s="656" t="s">
        <v>111</v>
      </c>
      <c r="H313" s="656" t="s">
        <v>114</v>
      </c>
      <c r="I313" s="656" t="s">
        <v>113</v>
      </c>
      <c r="J313" s="656" t="s">
        <v>136</v>
      </c>
      <c r="K313" s="89" t="s">
        <v>25</v>
      </c>
      <c r="L313" s="90"/>
    </row>
    <row r="314" spans="2:12" hidden="1">
      <c r="B314" s="663"/>
      <c r="C314" s="1028"/>
      <c r="D314" s="1028"/>
      <c r="E314" s="1028"/>
      <c r="F314" s="91">
        <v>1</v>
      </c>
      <c r="G314" s="91"/>
      <c r="H314" s="91"/>
      <c r="I314" s="91"/>
      <c r="J314" s="91"/>
      <c r="K314" s="664">
        <f>F314</f>
        <v>1</v>
      </c>
      <c r="L314" s="90"/>
    </row>
    <row r="315" spans="2:12" hidden="1">
      <c r="B315" s="663"/>
      <c r="C315" s="987" t="s">
        <v>116</v>
      </c>
      <c r="D315" s="987"/>
      <c r="E315" s="987"/>
      <c r="F315" s="987"/>
      <c r="G315" s="987"/>
      <c r="H315" s="987"/>
      <c r="I315" s="987"/>
      <c r="J315" s="987"/>
      <c r="K315" s="89">
        <f>SUM(K314:K314)</f>
        <v>1</v>
      </c>
      <c r="L315" s="90"/>
    </row>
    <row r="316" spans="2:12" hidden="1">
      <c r="B316" s="219"/>
      <c r="C316" s="219"/>
      <c r="D316" s="219"/>
      <c r="E316" s="219"/>
      <c r="F316" s="219"/>
      <c r="G316" s="219"/>
      <c r="H316" s="219"/>
      <c r="I316" s="219"/>
      <c r="J316" s="219"/>
      <c r="K316" s="219"/>
      <c r="L316" s="219"/>
    </row>
    <row r="317" spans="2:12" hidden="1">
      <c r="B317" s="292" t="str">
        <f>'[6]PLANILHA ORÇAMENTÁRIA'!D93</f>
        <v>12.0</v>
      </c>
      <c r="C317" s="1093" t="str">
        <f>'[6]PLANILHA ORÇAMENTÁRIA'!E93</f>
        <v>INSTALAÇÕES ELÉTRICAS</v>
      </c>
      <c r="D317" s="1093"/>
      <c r="E317" s="1093"/>
      <c r="F317" s="1093"/>
      <c r="G317" s="1093"/>
      <c r="H317" s="1093"/>
      <c r="I317" s="1093"/>
      <c r="J317" s="1093"/>
      <c r="K317" s="293"/>
      <c r="L317" s="293"/>
    </row>
    <row r="318" spans="2:12" ht="27.75" hidden="1" customHeight="1">
      <c r="B318" s="85" t="str">
        <f>'[6]PLANILHA ORÇAMENTÁRIA'!D94</f>
        <v>12.1</v>
      </c>
      <c r="C318" s="1032" t="str">
        <f>'[6]PLANILHA ORÇAMENTÁRIA'!E94</f>
        <v>PONTO DE ILUMINAÇÃO RESIDENCIAL INCLUINDO INTERRUPTOR SIMPLES, CAIXA ELÉTRICA, ELETRODUTO, CABO, RASGO, QUEBRA E CHUMBAMENTO (EXCLUINDO LUMINÁRIA E LÂMPADA). AF_01/2016</v>
      </c>
      <c r="D318" s="1032"/>
      <c r="E318" s="1032"/>
      <c r="F318" s="1032"/>
      <c r="G318" s="1032"/>
      <c r="H318" s="1032"/>
      <c r="I318" s="1032"/>
      <c r="J318" s="1032"/>
      <c r="K318" s="294" t="str">
        <f>'[6]PLANILHA ORÇAMENTÁRIA'!F94</f>
        <v>UND</v>
      </c>
      <c r="L318" s="295">
        <f>K321</f>
        <v>7</v>
      </c>
    </row>
    <row r="319" spans="2:12" hidden="1">
      <c r="B319" s="663"/>
      <c r="C319" s="983" t="s">
        <v>20</v>
      </c>
      <c r="D319" s="983"/>
      <c r="E319" s="983"/>
      <c r="F319" s="87" t="s">
        <v>22</v>
      </c>
      <c r="G319" s="656" t="s">
        <v>111</v>
      </c>
      <c r="H319" s="656" t="s">
        <v>114</v>
      </c>
      <c r="I319" s="656" t="s">
        <v>113</v>
      </c>
      <c r="J319" s="656" t="s">
        <v>136</v>
      </c>
      <c r="K319" s="89" t="s">
        <v>25</v>
      </c>
      <c r="L319" s="90"/>
    </row>
    <row r="320" spans="2:12" hidden="1">
      <c r="B320" s="663"/>
      <c r="C320" s="1028"/>
      <c r="D320" s="1028"/>
      <c r="E320" s="1028"/>
      <c r="F320" s="91">
        <f>'[6]PLANILHA ORÇAMENTÁRIA'!G94</f>
        <v>7</v>
      </c>
      <c r="G320" s="91"/>
      <c r="H320" s="91"/>
      <c r="I320" s="91"/>
      <c r="J320" s="91"/>
      <c r="K320" s="664">
        <f>F320</f>
        <v>7</v>
      </c>
      <c r="L320" s="90"/>
    </row>
    <row r="321" spans="2:12" hidden="1">
      <c r="B321" s="663"/>
      <c r="C321" s="987" t="s">
        <v>116</v>
      </c>
      <c r="D321" s="987"/>
      <c r="E321" s="987"/>
      <c r="F321" s="987"/>
      <c r="G321" s="987"/>
      <c r="H321" s="987"/>
      <c r="I321" s="987"/>
      <c r="J321" s="987"/>
      <c r="K321" s="89">
        <f>SUM(K320:K320)</f>
        <v>7</v>
      </c>
      <c r="L321" s="90"/>
    </row>
    <row r="322" spans="2:12" hidden="1">
      <c r="B322" s="297"/>
      <c r="C322" s="297"/>
      <c r="D322" s="297"/>
      <c r="E322" s="297"/>
      <c r="F322" s="297"/>
      <c r="G322" s="297"/>
      <c r="H322" s="297"/>
      <c r="I322" s="297"/>
      <c r="J322" s="297"/>
      <c r="K322" s="297"/>
      <c r="L322" s="297"/>
    </row>
    <row r="323" spans="2:12" ht="29.25" hidden="1" customHeight="1">
      <c r="B323" s="85" t="str">
        <f>'[6]PLANILHA ORÇAMENTÁRIA'!D95</f>
        <v>12.2</v>
      </c>
      <c r="C323" s="1032" t="str">
        <f>'[6]PLANILHA ORÇAMENTÁRIA'!E95</f>
        <v>PONTO DE TOMADA RESIDENCIAL INCLUINDO TOMADA (2 MÓDULOS) 10A/250V, CAIXA ELÉTRICA, ELETRODUTO, CABO, RASGO, QUEBRA E CHUMBAMENTO. AF_01/2016</v>
      </c>
      <c r="D323" s="1032"/>
      <c r="E323" s="1032"/>
      <c r="F323" s="1032"/>
      <c r="G323" s="1032"/>
      <c r="H323" s="1032"/>
      <c r="I323" s="1032"/>
      <c r="J323" s="1032"/>
      <c r="K323" s="294" t="str">
        <f>'[6]PLANILHA ORÇAMENTÁRIA'!F95</f>
        <v>UND</v>
      </c>
      <c r="L323" s="295">
        <f>K326</f>
        <v>3</v>
      </c>
    </row>
    <row r="324" spans="2:12" hidden="1">
      <c r="B324" s="663"/>
      <c r="C324" s="983" t="s">
        <v>20</v>
      </c>
      <c r="D324" s="983"/>
      <c r="E324" s="983"/>
      <c r="F324" s="87" t="s">
        <v>22</v>
      </c>
      <c r="G324" s="656" t="s">
        <v>111</v>
      </c>
      <c r="H324" s="656" t="s">
        <v>114</v>
      </c>
      <c r="I324" s="656" t="s">
        <v>113</v>
      </c>
      <c r="J324" s="656" t="s">
        <v>136</v>
      </c>
      <c r="K324" s="89" t="s">
        <v>25</v>
      </c>
      <c r="L324" s="90"/>
    </row>
    <row r="325" spans="2:12" hidden="1">
      <c r="B325" s="663"/>
      <c r="C325" s="1028"/>
      <c r="D325" s="1028"/>
      <c r="E325" s="1028"/>
      <c r="F325" s="91">
        <f>'[6]PLANILHA ORÇAMENTÁRIA'!G95</f>
        <v>3</v>
      </c>
      <c r="G325" s="91"/>
      <c r="H325" s="91"/>
      <c r="I325" s="91"/>
      <c r="J325" s="91"/>
      <c r="K325" s="664">
        <f>F325</f>
        <v>3</v>
      </c>
      <c r="L325" s="90"/>
    </row>
    <row r="326" spans="2:12" hidden="1">
      <c r="B326" s="663"/>
      <c r="C326" s="987" t="s">
        <v>116</v>
      </c>
      <c r="D326" s="987"/>
      <c r="E326" s="987"/>
      <c r="F326" s="987"/>
      <c r="G326" s="987"/>
      <c r="H326" s="987"/>
      <c r="I326" s="987"/>
      <c r="J326" s="987"/>
      <c r="K326" s="89">
        <f>SUM(K325:K325)</f>
        <v>3</v>
      </c>
      <c r="L326" s="90"/>
    </row>
    <row r="327" spans="2:12" hidden="1">
      <c r="B327" s="297"/>
      <c r="C327" s="297"/>
      <c r="D327" s="297"/>
      <c r="E327" s="297"/>
      <c r="F327" s="297"/>
      <c r="G327" s="297"/>
      <c r="H327" s="297"/>
      <c r="I327" s="297"/>
      <c r="J327" s="297"/>
      <c r="K327" s="297"/>
      <c r="L327" s="297"/>
    </row>
    <row r="328" spans="2:12" ht="27.75" hidden="1" customHeight="1">
      <c r="B328" s="85" t="str">
        <f>'[6]PLANILHA ORÇAMENTÁRIA'!D96</f>
        <v>12.3</v>
      </c>
      <c r="C328" s="1032" t="str">
        <f>'[6]PLANILHA ORÇAMENTÁRIA'!E96</f>
        <v>POSTE DE ACO CONICO CONTINUO CURVO DUPLO, FLANGEADO, COM JANELA DE INSPECAO H=9M - FORNECIMENTO E INSTALACAO</v>
      </c>
      <c r="D328" s="1032"/>
      <c r="E328" s="1032"/>
      <c r="F328" s="1032"/>
      <c r="G328" s="1032"/>
      <c r="H328" s="1032"/>
      <c r="I328" s="1032"/>
      <c r="J328" s="1032"/>
      <c r="K328" s="294" t="str">
        <f>'[6]PLANILHA ORÇAMENTÁRIA'!F96</f>
        <v>UND</v>
      </c>
      <c r="L328" s="295">
        <f>K331</f>
        <v>4</v>
      </c>
    </row>
    <row r="329" spans="2:12" hidden="1">
      <c r="B329" s="663"/>
      <c r="C329" s="983" t="s">
        <v>20</v>
      </c>
      <c r="D329" s="983"/>
      <c r="E329" s="983"/>
      <c r="F329" s="87" t="s">
        <v>22</v>
      </c>
      <c r="G329" s="656" t="s">
        <v>111</v>
      </c>
      <c r="H329" s="656" t="s">
        <v>114</v>
      </c>
      <c r="I329" s="656" t="s">
        <v>113</v>
      </c>
      <c r="J329" s="656" t="s">
        <v>136</v>
      </c>
      <c r="K329" s="89" t="s">
        <v>25</v>
      </c>
      <c r="L329" s="90"/>
    </row>
    <row r="330" spans="2:12" hidden="1">
      <c r="B330" s="663"/>
      <c r="C330" s="1028"/>
      <c r="D330" s="1028"/>
      <c r="E330" s="1028"/>
      <c r="F330" s="91">
        <f>'[6]PLANILHA ORÇAMENTÁRIA'!G96</f>
        <v>4</v>
      </c>
      <c r="G330" s="91"/>
      <c r="H330" s="91"/>
      <c r="I330" s="91"/>
      <c r="J330" s="91"/>
      <c r="K330" s="664">
        <f>F330</f>
        <v>4</v>
      </c>
      <c r="L330" s="90"/>
    </row>
    <row r="331" spans="2:12" hidden="1">
      <c r="B331" s="663"/>
      <c r="C331" s="987" t="s">
        <v>116</v>
      </c>
      <c r="D331" s="987"/>
      <c r="E331" s="987"/>
      <c r="F331" s="987"/>
      <c r="G331" s="987"/>
      <c r="H331" s="987"/>
      <c r="I331" s="987"/>
      <c r="J331" s="987"/>
      <c r="K331" s="89">
        <f>SUM(K330:K330)</f>
        <v>4</v>
      </c>
      <c r="L331" s="90"/>
    </row>
    <row r="332" spans="2:12" hidden="1">
      <c r="B332" s="297"/>
      <c r="C332" s="297"/>
      <c r="D332" s="297"/>
      <c r="E332" s="297"/>
      <c r="F332" s="297"/>
      <c r="G332" s="297"/>
      <c r="H332" s="297"/>
      <c r="I332" s="297"/>
      <c r="J332" s="297"/>
      <c r="K332" s="297"/>
      <c r="L332" s="297"/>
    </row>
    <row r="333" spans="2:12" ht="42.75" hidden="1" customHeight="1">
      <c r="B333" s="85" t="str">
        <f>'[6]PLANILHA ORÇAMENTÁRIA'!D97</f>
        <v>12.4</v>
      </c>
      <c r="C333" s="1032" t="str">
        <f>'[6]PLANILHA ORÇAMENTÁRIA'!E97</f>
        <v>QUADRO DE DISTRIBUICAO DE ENERGIA DE EMBUTIR, EM CHAPA METALICA, PARA 18 DISJUNTORES TERMOMAGNETICOS MONOPOLARES, COM BARRAMENTO TRIFASICO E NEUTRO, FORNECIMENTO E INSTALACAO</v>
      </c>
      <c r="D333" s="1032"/>
      <c r="E333" s="1032"/>
      <c r="F333" s="1032"/>
      <c r="G333" s="1032"/>
      <c r="H333" s="1032"/>
      <c r="I333" s="1032"/>
      <c r="J333" s="1032"/>
      <c r="K333" s="294" t="str">
        <f>'[6]PLANILHA ORÇAMENTÁRIA'!F97</f>
        <v>UND</v>
      </c>
      <c r="L333" s="295">
        <f>K336</f>
        <v>1</v>
      </c>
    </row>
    <row r="334" spans="2:12" hidden="1">
      <c r="B334" s="663"/>
      <c r="C334" s="983" t="s">
        <v>20</v>
      </c>
      <c r="D334" s="983"/>
      <c r="E334" s="983"/>
      <c r="F334" s="87" t="s">
        <v>22</v>
      </c>
      <c r="G334" s="656" t="s">
        <v>111</v>
      </c>
      <c r="H334" s="656" t="s">
        <v>114</v>
      </c>
      <c r="I334" s="656" t="s">
        <v>113</v>
      </c>
      <c r="J334" s="656" t="s">
        <v>136</v>
      </c>
      <c r="K334" s="89" t="s">
        <v>25</v>
      </c>
      <c r="L334" s="90"/>
    </row>
    <row r="335" spans="2:12" hidden="1">
      <c r="B335" s="663"/>
      <c r="C335" s="1028"/>
      <c r="D335" s="1028"/>
      <c r="E335" s="1028"/>
      <c r="F335" s="91">
        <f>'[6]PLANILHA ORÇAMENTÁRIA'!G97</f>
        <v>1</v>
      </c>
      <c r="G335" s="91"/>
      <c r="H335" s="91"/>
      <c r="I335" s="91"/>
      <c r="J335" s="91"/>
      <c r="K335" s="664">
        <f>F335</f>
        <v>1</v>
      </c>
      <c r="L335" s="90"/>
    </row>
    <row r="336" spans="2:12" hidden="1">
      <c r="B336" s="663"/>
      <c r="C336" s="987" t="s">
        <v>116</v>
      </c>
      <c r="D336" s="987"/>
      <c r="E336" s="987"/>
      <c r="F336" s="987"/>
      <c r="G336" s="987"/>
      <c r="H336" s="987"/>
      <c r="I336" s="987"/>
      <c r="J336" s="987"/>
      <c r="K336" s="89">
        <f>SUM(K335:K335)</f>
        <v>1</v>
      </c>
      <c r="L336" s="90"/>
    </row>
    <row r="337" spans="2:12" hidden="1">
      <c r="B337" s="297"/>
      <c r="C337" s="297"/>
      <c r="D337" s="297"/>
      <c r="E337" s="297"/>
      <c r="F337" s="297"/>
      <c r="G337" s="297"/>
      <c r="H337" s="297"/>
      <c r="I337" s="297"/>
      <c r="J337" s="297"/>
      <c r="K337" s="297"/>
      <c r="L337" s="297"/>
    </row>
    <row r="338" spans="2:12" ht="28.5" hidden="1" customHeight="1">
      <c r="B338" s="85" t="str">
        <f>'[6]PLANILHA ORÇAMENTÁRIA'!D98</f>
        <v>12.5</v>
      </c>
      <c r="C338" s="1032" t="str">
        <f>'[6]PLANILHA ORÇAMENTÁRIA'!E98</f>
        <v>DISJUNTOR TERMOMAGNETICO MONOPOLAR PADRAO NEMA (AMERICANO) 10 A 30A 240V, FORNECIMENTO E INSTALACAO</v>
      </c>
      <c r="D338" s="1032"/>
      <c r="E338" s="1032"/>
      <c r="F338" s="1032"/>
      <c r="G338" s="1032"/>
      <c r="H338" s="1032"/>
      <c r="I338" s="1032"/>
      <c r="J338" s="1032"/>
      <c r="K338" s="294" t="str">
        <f>'[6]PLANILHA ORÇAMENTÁRIA'!F98</f>
        <v>UND</v>
      </c>
      <c r="L338" s="295">
        <f>K341</f>
        <v>3</v>
      </c>
    </row>
    <row r="339" spans="2:12" hidden="1">
      <c r="B339" s="663"/>
      <c r="C339" s="983" t="s">
        <v>20</v>
      </c>
      <c r="D339" s="983"/>
      <c r="E339" s="983"/>
      <c r="F339" s="87" t="s">
        <v>22</v>
      </c>
      <c r="G339" s="656" t="s">
        <v>111</v>
      </c>
      <c r="H339" s="656" t="s">
        <v>114</v>
      </c>
      <c r="I339" s="656" t="s">
        <v>113</v>
      </c>
      <c r="J339" s="656" t="s">
        <v>136</v>
      </c>
      <c r="K339" s="89" t="s">
        <v>25</v>
      </c>
      <c r="L339" s="90"/>
    </row>
    <row r="340" spans="2:12" hidden="1">
      <c r="B340" s="663"/>
      <c r="C340" s="1028"/>
      <c r="D340" s="1028"/>
      <c r="E340" s="1028"/>
      <c r="F340" s="91">
        <f>'[6]PLANILHA ORÇAMENTÁRIA'!G98</f>
        <v>3</v>
      </c>
      <c r="G340" s="91"/>
      <c r="H340" s="91"/>
      <c r="I340" s="91"/>
      <c r="J340" s="91"/>
      <c r="K340" s="664">
        <f>F340</f>
        <v>3</v>
      </c>
      <c r="L340" s="90"/>
    </row>
    <row r="341" spans="2:12" hidden="1">
      <c r="B341" s="663"/>
      <c r="C341" s="987" t="s">
        <v>116</v>
      </c>
      <c r="D341" s="987"/>
      <c r="E341" s="987"/>
      <c r="F341" s="987"/>
      <c r="G341" s="987"/>
      <c r="H341" s="987"/>
      <c r="I341" s="987"/>
      <c r="J341" s="987"/>
      <c r="K341" s="89">
        <f>SUM(K340:K340)</f>
        <v>3</v>
      </c>
      <c r="L341" s="90"/>
    </row>
    <row r="342" spans="2:12" hidden="1">
      <c r="B342" s="663"/>
      <c r="C342" s="211"/>
      <c r="D342" s="211"/>
      <c r="E342" s="211"/>
      <c r="F342" s="211"/>
      <c r="G342" s="211"/>
      <c r="H342" s="211"/>
      <c r="I342" s="211"/>
      <c r="J342" s="211"/>
      <c r="K342" s="212"/>
      <c r="L342" s="90"/>
    </row>
    <row r="343" spans="2:12" ht="15" hidden="1" customHeight="1">
      <c r="B343" s="85" t="str">
        <f>'[6]PLANILHA ORÇAMENTÁRIA'!D99</f>
        <v>12.6</v>
      </c>
      <c r="C343" s="1032" t="str">
        <f>'[6]PLANILHA ORÇAMENTÁRIA'!E99</f>
        <v>DISJUNTOR TERMOMAGNETICO BIPOLAR PADRAO NEMA (AMERICANO) 10 A 50A 240V, FORNECIMENTO E INSTALACAO</v>
      </c>
      <c r="D343" s="1032"/>
      <c r="E343" s="1032"/>
      <c r="F343" s="1032"/>
      <c r="G343" s="1032"/>
      <c r="H343" s="1032"/>
      <c r="I343" s="1032"/>
      <c r="J343" s="1032"/>
      <c r="K343" s="294" t="str">
        <f>'[6]PLANILHA ORÇAMENTÁRIA'!F99</f>
        <v>UND</v>
      </c>
      <c r="L343" s="295">
        <f>K346</f>
        <v>1</v>
      </c>
    </row>
    <row r="344" spans="2:12" hidden="1">
      <c r="B344" s="663"/>
      <c r="C344" s="983" t="s">
        <v>20</v>
      </c>
      <c r="D344" s="983"/>
      <c r="E344" s="983"/>
      <c r="F344" s="87" t="s">
        <v>22</v>
      </c>
      <c r="G344" s="656" t="s">
        <v>111</v>
      </c>
      <c r="H344" s="656" t="s">
        <v>114</v>
      </c>
      <c r="I344" s="656" t="s">
        <v>113</v>
      </c>
      <c r="J344" s="656" t="s">
        <v>136</v>
      </c>
      <c r="K344" s="89" t="s">
        <v>25</v>
      </c>
      <c r="L344" s="90"/>
    </row>
    <row r="345" spans="2:12" hidden="1">
      <c r="B345" s="663"/>
      <c r="C345" s="1028"/>
      <c r="D345" s="1028"/>
      <c r="E345" s="1028"/>
      <c r="F345" s="91">
        <f>'[6]PLANILHA ORÇAMENTÁRIA'!G99</f>
        <v>1</v>
      </c>
      <c r="G345" s="91"/>
      <c r="H345" s="91"/>
      <c r="I345" s="91"/>
      <c r="J345" s="91"/>
      <c r="K345" s="664">
        <f>F345</f>
        <v>1</v>
      </c>
      <c r="L345" s="90"/>
    </row>
    <row r="346" spans="2:12" hidden="1">
      <c r="B346" s="663"/>
      <c r="C346" s="987" t="s">
        <v>116</v>
      </c>
      <c r="D346" s="987"/>
      <c r="E346" s="987"/>
      <c r="F346" s="987"/>
      <c r="G346" s="987"/>
      <c r="H346" s="987"/>
      <c r="I346" s="987"/>
      <c r="J346" s="987"/>
      <c r="K346" s="89">
        <f>SUM(K345:K345)</f>
        <v>1</v>
      </c>
      <c r="L346" s="90"/>
    </row>
    <row r="347" spans="2:12" hidden="1">
      <c r="B347" s="663"/>
      <c r="C347" s="211"/>
      <c r="D347" s="211"/>
      <c r="E347" s="211"/>
      <c r="F347" s="211"/>
      <c r="G347" s="211"/>
      <c r="H347" s="211"/>
      <c r="I347" s="211"/>
      <c r="J347" s="211"/>
      <c r="K347" s="212"/>
      <c r="L347" s="90"/>
    </row>
    <row r="348" spans="2:12" ht="30.75" hidden="1" customHeight="1">
      <c r="B348" s="85" t="str">
        <f>'[6]PLANILHA ORÇAMENTÁRIA'!D100</f>
        <v>12.7</v>
      </c>
      <c r="C348" s="1032" t="str">
        <f>'[6]PLANILHA ORÇAMENTÁRIA'!E100</f>
        <v>DISJUNTOR TERMOMAGNETICO TRIPOLAR PADRAO NEMA (AMERICANO) 10 A 50A 240V, FORNECIMENTO E INSTALACAO</v>
      </c>
      <c r="D348" s="1032"/>
      <c r="E348" s="1032"/>
      <c r="F348" s="1032"/>
      <c r="G348" s="1032"/>
      <c r="H348" s="1032"/>
      <c r="I348" s="1032"/>
      <c r="J348" s="1032"/>
      <c r="K348" s="294" t="str">
        <f>'[6]PLANILHA ORÇAMENTÁRIA'!F100</f>
        <v>UND</v>
      </c>
      <c r="L348" s="295">
        <f>K351</f>
        <v>1</v>
      </c>
    </row>
    <row r="349" spans="2:12" hidden="1">
      <c r="B349" s="663"/>
      <c r="C349" s="983" t="s">
        <v>20</v>
      </c>
      <c r="D349" s="983"/>
      <c r="E349" s="983"/>
      <c r="F349" s="87" t="s">
        <v>22</v>
      </c>
      <c r="G349" s="656" t="s">
        <v>111</v>
      </c>
      <c r="H349" s="656" t="s">
        <v>114</v>
      </c>
      <c r="I349" s="656" t="s">
        <v>113</v>
      </c>
      <c r="J349" s="656" t="s">
        <v>136</v>
      </c>
      <c r="K349" s="89" t="s">
        <v>25</v>
      </c>
      <c r="L349" s="90"/>
    </row>
    <row r="350" spans="2:12" hidden="1">
      <c r="B350" s="663"/>
      <c r="C350" s="1028"/>
      <c r="D350" s="1028"/>
      <c r="E350" s="1028"/>
      <c r="F350" s="91">
        <f>'[6]PLANILHA ORÇAMENTÁRIA'!G100</f>
        <v>1</v>
      </c>
      <c r="G350" s="91"/>
      <c r="H350" s="91"/>
      <c r="I350" s="91"/>
      <c r="J350" s="91"/>
      <c r="K350" s="664">
        <f>F350</f>
        <v>1</v>
      </c>
      <c r="L350" s="90"/>
    </row>
    <row r="351" spans="2:12" hidden="1">
      <c r="B351" s="663"/>
      <c r="C351" s="987" t="s">
        <v>116</v>
      </c>
      <c r="D351" s="987"/>
      <c r="E351" s="987"/>
      <c r="F351" s="987"/>
      <c r="G351" s="987"/>
      <c r="H351" s="987"/>
      <c r="I351" s="987"/>
      <c r="J351" s="987"/>
      <c r="K351" s="89">
        <f>SUM(K350:K350)</f>
        <v>1</v>
      </c>
      <c r="L351" s="90"/>
    </row>
    <row r="352" spans="2:12" hidden="1">
      <c r="B352" s="663"/>
      <c r="C352" s="211"/>
      <c r="D352" s="211"/>
      <c r="E352" s="211"/>
      <c r="F352" s="211"/>
      <c r="G352" s="211"/>
      <c r="H352" s="211"/>
      <c r="I352" s="211"/>
      <c r="J352" s="211"/>
      <c r="K352" s="212"/>
      <c r="L352" s="90"/>
    </row>
    <row r="353" spans="2:12" ht="15" hidden="1" customHeight="1">
      <c r="B353" s="85" t="str">
        <f>'[6]PLANILHA ORÇAMENTÁRIA'!D101</f>
        <v>12.8</v>
      </c>
      <c r="C353" s="1032" t="str">
        <f>'[6]PLANILHA ORÇAMENTÁRIA'!E101</f>
        <v>LUMINÁRIA TIPO PLAFON, DE SOBREPOR, COM 1 LÂMPADA LED - FORNECIMENTO E INSTALAÇÃO. AF_11/2017</v>
      </c>
      <c r="D353" s="1032"/>
      <c r="E353" s="1032"/>
      <c r="F353" s="1032"/>
      <c r="G353" s="1032"/>
      <c r="H353" s="1032"/>
      <c r="I353" s="1032"/>
      <c r="J353" s="1032"/>
      <c r="K353" s="294" t="str">
        <f>'[6]PLANILHA ORÇAMENTÁRIA'!F101</f>
        <v>UND</v>
      </c>
      <c r="L353" s="295">
        <f>K356</f>
        <v>3</v>
      </c>
    </row>
    <row r="354" spans="2:12" hidden="1">
      <c r="B354" s="663"/>
      <c r="C354" s="983" t="s">
        <v>20</v>
      </c>
      <c r="D354" s="983"/>
      <c r="E354" s="983"/>
      <c r="F354" s="87" t="s">
        <v>22</v>
      </c>
      <c r="G354" s="656" t="s">
        <v>111</v>
      </c>
      <c r="H354" s="656" t="s">
        <v>114</v>
      </c>
      <c r="I354" s="656" t="s">
        <v>113</v>
      </c>
      <c r="J354" s="656" t="s">
        <v>136</v>
      </c>
      <c r="K354" s="89" t="s">
        <v>25</v>
      </c>
      <c r="L354" s="90"/>
    </row>
    <row r="355" spans="2:12" hidden="1">
      <c r="B355" s="663"/>
      <c r="C355" s="1028"/>
      <c r="D355" s="1028"/>
      <c r="E355" s="1028"/>
      <c r="F355" s="91">
        <f>'[6]PLANILHA ORÇAMENTÁRIA'!G101</f>
        <v>3</v>
      </c>
      <c r="G355" s="91"/>
      <c r="H355" s="91"/>
      <c r="I355" s="91"/>
      <c r="J355" s="91"/>
      <c r="K355" s="664">
        <f>F355</f>
        <v>3</v>
      </c>
      <c r="L355" s="90"/>
    </row>
    <row r="356" spans="2:12" hidden="1">
      <c r="B356" s="663"/>
      <c r="C356" s="987" t="s">
        <v>116</v>
      </c>
      <c r="D356" s="987"/>
      <c r="E356" s="987"/>
      <c r="F356" s="987"/>
      <c r="G356" s="987"/>
      <c r="H356" s="987"/>
      <c r="I356" s="987"/>
      <c r="J356" s="987"/>
      <c r="K356" s="89">
        <f>SUM(K355:K355)</f>
        <v>3</v>
      </c>
      <c r="L356" s="90"/>
    </row>
    <row r="357" spans="2:12" hidden="1">
      <c r="B357" s="219"/>
      <c r="C357" s="219"/>
      <c r="D357" s="219"/>
      <c r="E357" s="219"/>
      <c r="F357" s="219"/>
      <c r="G357" s="219"/>
      <c r="H357" s="219"/>
      <c r="I357" s="219"/>
      <c r="J357" s="219"/>
      <c r="K357" s="219"/>
      <c r="L357" s="219"/>
    </row>
    <row r="358" spans="2:12" ht="21.75" hidden="1" customHeight="1">
      <c r="B358" s="85" t="str">
        <f>'[6]PLANILHA ORÇAMENTÁRIA'!D102</f>
        <v>12.9</v>
      </c>
      <c r="C358" s="1032" t="str">
        <f>'[6]PLANILHA ORÇAMENTÁRIA'!E102</f>
        <v>LUMINÁRIAS TIPO CALHA, DE SOBREPOR E LÂMPADAS EM LED 2X2X18W, COMPLETAS, FORNECIMENTO E INSTALAÇÃO</v>
      </c>
      <c r="D358" s="1032"/>
      <c r="E358" s="1032"/>
      <c r="F358" s="1032"/>
      <c r="G358" s="1032"/>
      <c r="H358" s="1032"/>
      <c r="I358" s="1032"/>
      <c r="J358" s="1032"/>
      <c r="K358" s="294" t="str">
        <f>'[6]PLANILHA ORÇAMENTÁRIA'!F102</f>
        <v>UND</v>
      </c>
      <c r="L358" s="295">
        <f>K361</f>
        <v>4</v>
      </c>
    </row>
    <row r="359" spans="2:12" hidden="1">
      <c r="B359" s="663"/>
      <c r="C359" s="983" t="s">
        <v>20</v>
      </c>
      <c r="D359" s="983"/>
      <c r="E359" s="983"/>
      <c r="F359" s="87" t="s">
        <v>22</v>
      </c>
      <c r="G359" s="656" t="s">
        <v>111</v>
      </c>
      <c r="H359" s="656" t="s">
        <v>114</v>
      </c>
      <c r="I359" s="656" t="s">
        <v>113</v>
      </c>
      <c r="J359" s="656" t="s">
        <v>136</v>
      </c>
      <c r="K359" s="89" t="s">
        <v>25</v>
      </c>
      <c r="L359" s="90"/>
    </row>
    <row r="360" spans="2:12" hidden="1">
      <c r="B360" s="663"/>
      <c r="C360" s="1028"/>
      <c r="D360" s="1028"/>
      <c r="E360" s="1028"/>
      <c r="F360" s="91">
        <f>'[6]PLANILHA ORÇAMENTÁRIA'!G102</f>
        <v>4</v>
      </c>
      <c r="G360" s="91"/>
      <c r="H360" s="91"/>
      <c r="I360" s="91"/>
      <c r="J360" s="91"/>
      <c r="K360" s="664">
        <f>F360</f>
        <v>4</v>
      </c>
      <c r="L360" s="90"/>
    </row>
    <row r="361" spans="2:12" hidden="1">
      <c r="B361" s="663"/>
      <c r="C361" s="987" t="s">
        <v>116</v>
      </c>
      <c r="D361" s="987"/>
      <c r="E361" s="987"/>
      <c r="F361" s="987"/>
      <c r="G361" s="987"/>
      <c r="H361" s="987"/>
      <c r="I361" s="987"/>
      <c r="J361" s="987"/>
      <c r="K361" s="89">
        <f>SUM(K360:K360)</f>
        <v>4</v>
      </c>
      <c r="L361" s="90"/>
    </row>
    <row r="362" spans="2:12" hidden="1">
      <c r="B362" s="219"/>
      <c r="C362" s="219"/>
      <c r="D362" s="219"/>
      <c r="E362" s="219"/>
      <c r="F362" s="219"/>
      <c r="G362" s="219"/>
      <c r="H362" s="219"/>
      <c r="I362" s="219"/>
      <c r="J362" s="219"/>
      <c r="K362" s="219"/>
      <c r="L362" s="219"/>
    </row>
    <row r="363" spans="2:12" ht="27.75" hidden="1" customHeight="1">
      <c r="B363" s="85" t="str">
        <f>'[6]PLANILHA ORÇAMENTÁRIA'!D103</f>
        <v>12.10</v>
      </c>
      <c r="C363" s="1032" t="str">
        <f>'[6]PLANILHA ORÇAMENTÁRIA'!E103</f>
        <v>RELE FOTOELETRICO P/ COMANDO DE ILUMINACAO EXTERNA 220V/1000W - FORNECIMENTO E INSTALACAO</v>
      </c>
      <c r="D363" s="1032"/>
      <c r="E363" s="1032"/>
      <c r="F363" s="1032"/>
      <c r="G363" s="1032"/>
      <c r="H363" s="1032"/>
      <c r="I363" s="1032"/>
      <c r="J363" s="1032"/>
      <c r="K363" s="294" t="str">
        <f>'[6]PLANILHA ORÇAMENTÁRIA'!F103</f>
        <v>UND</v>
      </c>
      <c r="L363" s="295">
        <f>K366</f>
        <v>1</v>
      </c>
    </row>
    <row r="364" spans="2:12" hidden="1">
      <c r="B364" s="663"/>
      <c r="C364" s="983" t="s">
        <v>20</v>
      </c>
      <c r="D364" s="983"/>
      <c r="E364" s="983"/>
      <c r="F364" s="87" t="s">
        <v>22</v>
      </c>
      <c r="G364" s="656" t="s">
        <v>111</v>
      </c>
      <c r="H364" s="656" t="s">
        <v>114</v>
      </c>
      <c r="I364" s="656" t="s">
        <v>113</v>
      </c>
      <c r="J364" s="656" t="s">
        <v>136</v>
      </c>
      <c r="K364" s="89" t="s">
        <v>25</v>
      </c>
      <c r="L364" s="90"/>
    </row>
    <row r="365" spans="2:12" hidden="1">
      <c r="B365" s="663"/>
      <c r="C365" s="1028"/>
      <c r="D365" s="1028"/>
      <c r="E365" s="1028"/>
      <c r="F365" s="91">
        <f>'[6]PLANILHA ORÇAMENTÁRIA'!G103</f>
        <v>1</v>
      </c>
      <c r="G365" s="91"/>
      <c r="H365" s="91"/>
      <c r="I365" s="91"/>
      <c r="J365" s="91"/>
      <c r="K365" s="664">
        <f>F365</f>
        <v>1</v>
      </c>
      <c r="L365" s="90"/>
    </row>
    <row r="366" spans="2:12" hidden="1">
      <c r="B366" s="663"/>
      <c r="C366" s="987" t="s">
        <v>116</v>
      </c>
      <c r="D366" s="987"/>
      <c r="E366" s="987"/>
      <c r="F366" s="987"/>
      <c r="G366" s="987"/>
      <c r="H366" s="987"/>
      <c r="I366" s="987"/>
      <c r="J366" s="987"/>
      <c r="K366" s="89">
        <f>SUM(K365:K365)</f>
        <v>1</v>
      </c>
      <c r="L366" s="90"/>
    </row>
    <row r="367" spans="2:12" hidden="1">
      <c r="B367" s="219"/>
      <c r="C367" s="219"/>
      <c r="D367" s="219"/>
      <c r="E367" s="219"/>
      <c r="F367" s="219"/>
      <c r="G367" s="219"/>
      <c r="H367" s="219"/>
      <c r="I367" s="219"/>
      <c r="J367" s="219"/>
      <c r="K367" s="219"/>
      <c r="L367" s="219"/>
    </row>
    <row r="368" spans="2:12" ht="29.25" hidden="1" customHeight="1">
      <c r="B368" s="85" t="str">
        <f>'[6]PLANILHA ORÇAMENTÁRIA'!D104</f>
        <v>12.11</v>
      </c>
      <c r="C368" s="1032" t="str">
        <f>'[6]PLANILHA ORÇAMENTÁRIA'!E104</f>
        <v>ELETRODUTO RÍGIDO ROSCÁVEL, PVC, DN 32 MM (1"), PARA CIRCUITOS TERMINAIS, INSTALADO EM FORRO - FORNECIMENTO E INSTALAÇÃO. AF_12/2015</v>
      </c>
      <c r="D368" s="1032"/>
      <c r="E368" s="1032"/>
      <c r="F368" s="1032"/>
      <c r="G368" s="1032"/>
      <c r="H368" s="1032"/>
      <c r="I368" s="1032"/>
      <c r="J368" s="1032"/>
      <c r="K368" s="294" t="str">
        <f>'[6]PLANILHA ORÇAMENTÁRIA'!F104</f>
        <v>M</v>
      </c>
      <c r="L368" s="295">
        <f>K371</f>
        <v>70</v>
      </c>
    </row>
    <row r="369" spans="2:12" hidden="1">
      <c r="B369" s="663"/>
      <c r="C369" s="983" t="s">
        <v>20</v>
      </c>
      <c r="D369" s="983"/>
      <c r="E369" s="983"/>
      <c r="F369" s="87" t="s">
        <v>22</v>
      </c>
      <c r="G369" s="656" t="s">
        <v>111</v>
      </c>
      <c r="H369" s="656" t="s">
        <v>114</v>
      </c>
      <c r="I369" s="656" t="s">
        <v>113</v>
      </c>
      <c r="J369" s="656" t="s">
        <v>136</v>
      </c>
      <c r="K369" s="89" t="s">
        <v>25</v>
      </c>
      <c r="L369" s="90"/>
    </row>
    <row r="370" spans="2:12" hidden="1">
      <c r="B370" s="663"/>
      <c r="C370" s="1028"/>
      <c r="D370" s="1028"/>
      <c r="E370" s="1028"/>
      <c r="F370" s="91"/>
      <c r="G370" s="91"/>
      <c r="H370" s="91"/>
      <c r="I370" s="91">
        <f>'[6]PLANILHA ORÇAMENTÁRIA'!G104</f>
        <v>70</v>
      </c>
      <c r="J370" s="91"/>
      <c r="K370" s="664">
        <f>I370</f>
        <v>70</v>
      </c>
      <c r="L370" s="90"/>
    </row>
    <row r="371" spans="2:12" hidden="1">
      <c r="B371" s="663"/>
      <c r="C371" s="987" t="s">
        <v>116</v>
      </c>
      <c r="D371" s="987"/>
      <c r="E371" s="987"/>
      <c r="F371" s="987"/>
      <c r="G371" s="987"/>
      <c r="H371" s="987"/>
      <c r="I371" s="987"/>
      <c r="J371" s="987"/>
      <c r="K371" s="89">
        <f>SUM(K370:K370)</f>
        <v>70</v>
      </c>
      <c r="L371" s="90"/>
    </row>
    <row r="372" spans="2:12" hidden="1">
      <c r="B372" s="219"/>
      <c r="C372" s="219"/>
      <c r="D372" s="219"/>
      <c r="E372" s="219"/>
      <c r="F372" s="219"/>
      <c r="G372" s="219"/>
      <c r="H372" s="219"/>
      <c r="I372" s="219"/>
      <c r="J372" s="219"/>
      <c r="K372" s="219"/>
      <c r="L372" s="219"/>
    </row>
    <row r="373" spans="2:12" ht="15" hidden="1" customHeight="1">
      <c r="B373" s="85" t="str">
        <f>'[6]PLANILHA ORÇAMENTÁRIA'!D105</f>
        <v>12.12</v>
      </c>
      <c r="C373" s="1032" t="str">
        <f>'[6]PLANILHA ORÇAMENTÁRIA'!E105</f>
        <v>REFLETOR SIMPLES LED 150W DE POTÊNCIA, BRANCO FRIO, 6500K, AUTOVOLT, MARCA G-LIGHT OU SIMILAR</v>
      </c>
      <c r="D373" s="1032"/>
      <c r="E373" s="1032"/>
      <c r="F373" s="1032"/>
      <c r="G373" s="1032"/>
      <c r="H373" s="1032"/>
      <c r="I373" s="1032"/>
      <c r="J373" s="1032"/>
      <c r="K373" s="294" t="str">
        <f>'[6]PLANILHA ORÇAMENTÁRIA'!F105</f>
        <v>UND</v>
      </c>
      <c r="L373" s="295">
        <f>K376</f>
        <v>8</v>
      </c>
    </row>
    <row r="374" spans="2:12" hidden="1">
      <c r="B374" s="663"/>
      <c r="C374" s="983" t="s">
        <v>20</v>
      </c>
      <c r="D374" s="983"/>
      <c r="E374" s="983"/>
      <c r="F374" s="87" t="s">
        <v>22</v>
      </c>
      <c r="G374" s="656" t="s">
        <v>111</v>
      </c>
      <c r="H374" s="656" t="s">
        <v>114</v>
      </c>
      <c r="I374" s="656" t="s">
        <v>113</v>
      </c>
      <c r="J374" s="656" t="s">
        <v>136</v>
      </c>
      <c r="K374" s="89" t="s">
        <v>25</v>
      </c>
      <c r="L374" s="90"/>
    </row>
    <row r="375" spans="2:12" hidden="1">
      <c r="B375" s="663"/>
      <c r="C375" s="1028"/>
      <c r="D375" s="1028"/>
      <c r="E375" s="1028"/>
      <c r="F375" s="91">
        <f>'[6]PLANILHA ORÇAMENTÁRIA'!G105</f>
        <v>8</v>
      </c>
      <c r="G375" s="91"/>
      <c r="H375" s="91"/>
      <c r="I375" s="91"/>
      <c r="J375" s="91"/>
      <c r="K375" s="664">
        <f>F375</f>
        <v>8</v>
      </c>
      <c r="L375" s="90"/>
    </row>
    <row r="376" spans="2:12" hidden="1">
      <c r="B376" s="663"/>
      <c r="C376" s="987" t="s">
        <v>116</v>
      </c>
      <c r="D376" s="987"/>
      <c r="E376" s="987"/>
      <c r="F376" s="987"/>
      <c r="G376" s="987"/>
      <c r="H376" s="987"/>
      <c r="I376" s="987"/>
      <c r="J376" s="987"/>
      <c r="K376" s="89">
        <f>SUM(K375:K375)</f>
        <v>8</v>
      </c>
      <c r="L376" s="90"/>
    </row>
    <row r="377" spans="2:12" hidden="1">
      <c r="B377" s="219"/>
      <c r="C377" s="219"/>
      <c r="D377" s="219"/>
      <c r="E377" s="219"/>
      <c r="F377" s="219"/>
      <c r="G377" s="219"/>
      <c r="H377" s="219"/>
      <c r="I377" s="219"/>
      <c r="J377" s="219"/>
      <c r="K377" s="219"/>
      <c r="L377" s="219"/>
    </row>
    <row r="378" spans="2:12" ht="21.75" hidden="1" customHeight="1">
      <c r="B378" s="85" t="str">
        <f>'[6]PLANILHA ORÇAMENTÁRIA'!D106</f>
        <v>12.13</v>
      </c>
      <c r="C378" s="1032" t="str">
        <f>'[6]PLANILHA ORÇAMENTÁRIA'!E106</f>
        <v>CAIXA ENTERRADA ELÉTRICA RETANGULAR, EM ALVENARIA COM TIJOLOS CERÂMICOS MACIÇOS, FUNDO COM BRITA, DIMENSÕES INTERNAS: 0,3X0,3X0,3 M. AF_05/2018</v>
      </c>
      <c r="D378" s="1032"/>
      <c r="E378" s="1032"/>
      <c r="F378" s="1032"/>
      <c r="G378" s="1032"/>
      <c r="H378" s="1032"/>
      <c r="I378" s="1032"/>
      <c r="J378" s="1032"/>
      <c r="K378" s="294" t="str">
        <f>'[6]PLANILHA ORÇAMENTÁRIA'!F106</f>
        <v>UND</v>
      </c>
      <c r="L378" s="295">
        <f>K381</f>
        <v>0</v>
      </c>
    </row>
    <row r="379" spans="2:12" hidden="1">
      <c r="B379" s="663"/>
      <c r="C379" s="983" t="s">
        <v>20</v>
      </c>
      <c r="D379" s="983"/>
      <c r="E379" s="983"/>
      <c r="F379" s="87" t="s">
        <v>22</v>
      </c>
      <c r="G379" s="656" t="s">
        <v>111</v>
      </c>
      <c r="H379" s="656" t="s">
        <v>114</v>
      </c>
      <c r="I379" s="656" t="s">
        <v>113</v>
      </c>
      <c r="J379" s="656" t="s">
        <v>136</v>
      </c>
      <c r="K379" s="89" t="s">
        <v>25</v>
      </c>
      <c r="L379" s="90"/>
    </row>
    <row r="380" spans="2:12" hidden="1">
      <c r="B380" s="663"/>
      <c r="C380" s="1028"/>
      <c r="D380" s="1028"/>
      <c r="E380" s="1028"/>
      <c r="F380" s="91">
        <f>'[6]PLANILHA ORÇAMENTÁRIA'!G106</f>
        <v>4</v>
      </c>
      <c r="G380" s="91"/>
      <c r="H380" s="91"/>
      <c r="I380" s="91"/>
      <c r="J380" s="91"/>
      <c r="K380" s="664">
        <f>I380</f>
        <v>0</v>
      </c>
      <c r="L380" s="90"/>
    </row>
    <row r="381" spans="2:12" hidden="1">
      <c r="B381" s="663"/>
      <c r="C381" s="987" t="s">
        <v>116</v>
      </c>
      <c r="D381" s="987"/>
      <c r="E381" s="987"/>
      <c r="F381" s="987"/>
      <c r="G381" s="987"/>
      <c r="H381" s="987"/>
      <c r="I381" s="987"/>
      <c r="J381" s="987"/>
      <c r="K381" s="89">
        <f>SUM(K380:K380)</f>
        <v>0</v>
      </c>
      <c r="L381" s="90"/>
    </row>
    <row r="382" spans="2:12" hidden="1">
      <c r="B382" s="219"/>
      <c r="C382" s="219"/>
      <c r="D382" s="219"/>
      <c r="E382" s="219"/>
      <c r="F382" s="219"/>
      <c r="G382" s="219"/>
      <c r="H382" s="219"/>
      <c r="I382" s="219"/>
      <c r="J382" s="219"/>
      <c r="K382" s="219"/>
      <c r="L382" s="219"/>
    </row>
    <row r="383" spans="2:12" ht="24.75" hidden="1" customHeight="1">
      <c r="B383" s="85" t="str">
        <f>'[6]PLANILHA ORÇAMENTÁRIA'!D107</f>
        <v>12.14</v>
      </c>
      <c r="C383" s="1032" t="str">
        <f>'[6]PLANILHA ORÇAMENTÁRIA'!E107</f>
        <v>CABO DE COBRE FLEXÍVEL ISOLADO, 4 MM², ANTI-CHAMA 450/750 V, PARA CIRCUITOS TERMINAIS - FORNECIMENTO E INSTALAÇÃO. AF_12/2015</v>
      </c>
      <c r="D383" s="1032"/>
      <c r="E383" s="1032"/>
      <c r="F383" s="1032"/>
      <c r="G383" s="1032"/>
      <c r="H383" s="1032"/>
      <c r="I383" s="1032"/>
      <c r="J383" s="1032"/>
      <c r="K383" s="294" t="str">
        <f>'[6]PLANILHA ORÇAMENTÁRIA'!F107</f>
        <v>M</v>
      </c>
      <c r="L383" s="295">
        <f>K386</f>
        <v>160</v>
      </c>
    </row>
    <row r="384" spans="2:12" hidden="1">
      <c r="B384" s="663"/>
      <c r="C384" s="983" t="s">
        <v>20</v>
      </c>
      <c r="D384" s="983"/>
      <c r="E384" s="983"/>
      <c r="F384" s="87" t="s">
        <v>22</v>
      </c>
      <c r="G384" s="656" t="s">
        <v>111</v>
      </c>
      <c r="H384" s="656" t="s">
        <v>114</v>
      </c>
      <c r="I384" s="656" t="s">
        <v>113</v>
      </c>
      <c r="J384" s="656" t="s">
        <v>136</v>
      </c>
      <c r="K384" s="89" t="s">
        <v>25</v>
      </c>
      <c r="L384" s="90"/>
    </row>
    <row r="385" spans="2:12" hidden="1">
      <c r="B385" s="663"/>
      <c r="C385" s="1028"/>
      <c r="D385" s="1028"/>
      <c r="E385" s="1028"/>
      <c r="F385" s="91"/>
      <c r="G385" s="91"/>
      <c r="H385" s="91"/>
      <c r="I385" s="91">
        <f>'[6]PLANILHA ORÇAMENTÁRIA'!G107</f>
        <v>160</v>
      </c>
      <c r="J385" s="91"/>
      <c r="K385" s="664">
        <f>I385</f>
        <v>160</v>
      </c>
      <c r="L385" s="90"/>
    </row>
    <row r="386" spans="2:12" hidden="1">
      <c r="B386" s="663"/>
      <c r="C386" s="987" t="s">
        <v>116</v>
      </c>
      <c r="D386" s="987"/>
      <c r="E386" s="987"/>
      <c r="F386" s="987"/>
      <c r="G386" s="987"/>
      <c r="H386" s="987"/>
      <c r="I386" s="987"/>
      <c r="J386" s="987"/>
      <c r="K386" s="89">
        <f>SUM(K385:K385)</f>
        <v>160</v>
      </c>
      <c r="L386" s="90"/>
    </row>
    <row r="387" spans="2:12" hidden="1">
      <c r="B387" s="663"/>
      <c r="C387" s="211"/>
      <c r="D387" s="211"/>
      <c r="E387" s="211"/>
      <c r="F387" s="211"/>
      <c r="G387" s="211"/>
      <c r="H387" s="211"/>
      <c r="I387" s="211"/>
      <c r="J387" s="211"/>
      <c r="K387" s="212"/>
      <c r="L387" s="90"/>
    </row>
    <row r="388" spans="2:12" ht="32.25" hidden="1" customHeight="1">
      <c r="B388" s="85" t="str">
        <f>'[6]PLANILHA ORÇAMENTÁRIA'!D108</f>
        <v>12.15</v>
      </c>
      <c r="C388" s="1032" t="str">
        <f>'[6]PLANILHA ORÇAMENTÁRIA'!E108</f>
        <v>CABO DE COBRE FLEXÍVEL ISOLADO, 2,5 MM², ANTI-CHAMA 450/750 V, PARA CIRCUITOS TERMINAIS - FORNECIMENTO E INSTALAÇÃO. AF_12/2015</v>
      </c>
      <c r="D388" s="1032"/>
      <c r="E388" s="1032"/>
      <c r="F388" s="1032"/>
      <c r="G388" s="1032"/>
      <c r="H388" s="1032"/>
      <c r="I388" s="1032"/>
      <c r="J388" s="1032"/>
      <c r="K388" s="294" t="str">
        <f>'[6]PLANILHA ORÇAMENTÁRIA'!F108</f>
        <v>M</v>
      </c>
      <c r="L388" s="295">
        <f>K391</f>
        <v>160</v>
      </c>
    </row>
    <row r="389" spans="2:12" hidden="1">
      <c r="B389" s="663"/>
      <c r="C389" s="983" t="s">
        <v>20</v>
      </c>
      <c r="D389" s="983"/>
      <c r="E389" s="983"/>
      <c r="F389" s="87" t="s">
        <v>22</v>
      </c>
      <c r="G389" s="656" t="s">
        <v>111</v>
      </c>
      <c r="H389" s="656" t="s">
        <v>114</v>
      </c>
      <c r="I389" s="656" t="s">
        <v>113</v>
      </c>
      <c r="J389" s="656" t="s">
        <v>136</v>
      </c>
      <c r="K389" s="89" t="s">
        <v>25</v>
      </c>
      <c r="L389" s="90"/>
    </row>
    <row r="390" spans="2:12" hidden="1">
      <c r="B390" s="663"/>
      <c r="C390" s="1028"/>
      <c r="D390" s="1028"/>
      <c r="E390" s="1028"/>
      <c r="F390" s="91"/>
      <c r="G390" s="91"/>
      <c r="H390" s="91"/>
      <c r="I390" s="91">
        <f>'[6]PLANILHA ORÇAMENTÁRIA'!G108</f>
        <v>160</v>
      </c>
      <c r="J390" s="91"/>
      <c r="K390" s="664">
        <f>I390</f>
        <v>160</v>
      </c>
      <c r="L390" s="90"/>
    </row>
    <row r="391" spans="2:12" hidden="1">
      <c r="B391" s="663"/>
      <c r="C391" s="987" t="s">
        <v>116</v>
      </c>
      <c r="D391" s="987"/>
      <c r="E391" s="987"/>
      <c r="F391" s="987"/>
      <c r="G391" s="987"/>
      <c r="H391" s="987"/>
      <c r="I391" s="987"/>
      <c r="J391" s="987"/>
      <c r="K391" s="89">
        <f>SUM(K390:K390)</f>
        <v>160</v>
      </c>
      <c r="L391" s="90"/>
    </row>
    <row r="392" spans="2:12" hidden="1">
      <c r="B392" s="219"/>
      <c r="C392" s="219"/>
      <c r="D392" s="219"/>
      <c r="E392" s="219"/>
      <c r="F392" s="219"/>
      <c r="G392" s="219"/>
      <c r="H392" s="219"/>
      <c r="I392" s="219"/>
      <c r="J392" s="219"/>
      <c r="K392" s="219"/>
      <c r="L392" s="219"/>
    </row>
    <row r="393" spans="2:12" hidden="1">
      <c r="B393" s="292" t="str">
        <f>'[6]PLANILHA ORÇAMENTÁRIA'!D109</f>
        <v>13.0</v>
      </c>
      <c r="C393" s="1093" t="str">
        <f>'[6]PLANILHA ORÇAMENTÁRIA'!E109</f>
        <v>PINTURA</v>
      </c>
      <c r="D393" s="1093"/>
      <c r="E393" s="1093"/>
      <c r="F393" s="1093"/>
      <c r="G393" s="1093"/>
      <c r="H393" s="1093"/>
      <c r="I393" s="1093"/>
      <c r="J393" s="1093"/>
      <c r="K393" s="293"/>
      <c r="L393" s="293"/>
    </row>
    <row r="394" spans="2:12" ht="15" hidden="1" customHeight="1">
      <c r="B394" s="85" t="str">
        <f>'[6]PLANILHA ORÇAMENTÁRIA'!D110</f>
        <v>13.1</v>
      </c>
      <c r="C394" s="1032" t="str">
        <f>'[6]PLANILHA ORÇAMENTÁRIA'!E110</f>
        <v>APLICAÇÃO DE FUNDO SELADOR LÁTEX PVA EM TETO, UMA DEMÃO. AF_06/2014</v>
      </c>
      <c r="D394" s="1032"/>
      <c r="E394" s="1032"/>
      <c r="F394" s="1032"/>
      <c r="G394" s="1032"/>
      <c r="H394" s="1032"/>
      <c r="I394" s="1032"/>
      <c r="J394" s="1032"/>
      <c r="K394" s="294" t="str">
        <f>'[6]PLANILHA ORÇAMENTÁRIA'!F110</f>
        <v>M2</v>
      </c>
      <c r="L394" s="295">
        <f>K401</f>
        <v>23.02</v>
      </c>
    </row>
    <row r="395" spans="2:12" hidden="1">
      <c r="B395" s="663"/>
      <c r="C395" s="983" t="s">
        <v>20</v>
      </c>
      <c r="D395" s="983"/>
      <c r="E395" s="983"/>
      <c r="F395" s="87" t="s">
        <v>22</v>
      </c>
      <c r="G395" s="656" t="s">
        <v>111</v>
      </c>
      <c r="H395" s="87" t="s">
        <v>112</v>
      </c>
      <c r="I395" s="656" t="s">
        <v>113</v>
      </c>
      <c r="J395" s="656" t="s">
        <v>114</v>
      </c>
      <c r="K395" s="89" t="s">
        <v>25</v>
      </c>
      <c r="L395" s="90"/>
    </row>
    <row r="396" spans="2:12" hidden="1">
      <c r="B396" s="663"/>
      <c r="C396" s="1028" t="s">
        <v>167</v>
      </c>
      <c r="D396" s="1028"/>
      <c r="E396" s="1028"/>
      <c r="F396" s="91"/>
      <c r="G396" s="91"/>
      <c r="H396" s="91">
        <v>2</v>
      </c>
      <c r="I396" s="91">
        <v>4.2</v>
      </c>
      <c r="J396" s="91"/>
      <c r="K396" s="664">
        <f>TRUNC(H396*I396,2)</f>
        <v>8.4</v>
      </c>
      <c r="L396" s="90"/>
    </row>
    <row r="397" spans="2:12" hidden="1">
      <c r="B397" s="663"/>
      <c r="C397" s="1028" t="s">
        <v>168</v>
      </c>
      <c r="D397" s="1028"/>
      <c r="E397" s="1028"/>
      <c r="F397" s="91"/>
      <c r="G397" s="91"/>
      <c r="H397" s="91">
        <v>2</v>
      </c>
      <c r="I397" s="91">
        <v>3.13</v>
      </c>
      <c r="J397" s="91"/>
      <c r="K397" s="664">
        <f>TRUNC(H397*I397,2)</f>
        <v>6.26</v>
      </c>
      <c r="L397" s="90"/>
    </row>
    <row r="398" spans="2:12" hidden="1">
      <c r="B398" s="663"/>
      <c r="C398" s="1028" t="s">
        <v>169</v>
      </c>
      <c r="D398" s="1028"/>
      <c r="E398" s="1028"/>
      <c r="F398" s="91"/>
      <c r="G398" s="91"/>
      <c r="H398" s="91">
        <v>1</v>
      </c>
      <c r="I398" s="91">
        <v>1.05</v>
      </c>
      <c r="J398" s="91"/>
      <c r="K398" s="664">
        <f>TRUNC(H398*I398,2)</f>
        <v>1.05</v>
      </c>
      <c r="L398" s="90"/>
    </row>
    <row r="399" spans="2:12" hidden="1">
      <c r="B399" s="663"/>
      <c r="C399" s="1028" t="s">
        <v>170</v>
      </c>
      <c r="D399" s="1028"/>
      <c r="E399" s="1028"/>
      <c r="F399" s="91"/>
      <c r="G399" s="91"/>
      <c r="H399" s="91">
        <v>2</v>
      </c>
      <c r="I399" s="91">
        <v>3.13</v>
      </c>
      <c r="J399" s="91"/>
      <c r="K399" s="664">
        <f>TRUNC(H399*I399,2)</f>
        <v>6.26</v>
      </c>
      <c r="L399" s="90"/>
    </row>
    <row r="400" spans="2:12" hidden="1">
      <c r="B400" s="663"/>
      <c r="C400" s="1028" t="s">
        <v>171</v>
      </c>
      <c r="D400" s="1028"/>
      <c r="E400" s="1028"/>
      <c r="F400" s="91"/>
      <c r="G400" s="91"/>
      <c r="H400" s="91">
        <v>1</v>
      </c>
      <c r="I400" s="91">
        <v>1.05</v>
      </c>
      <c r="J400" s="91"/>
      <c r="K400" s="664">
        <f>TRUNC(H400*I400,2)</f>
        <v>1.05</v>
      </c>
      <c r="L400" s="90"/>
    </row>
    <row r="401" spans="2:12" hidden="1">
      <c r="B401" s="663"/>
      <c r="C401" s="987" t="s">
        <v>116</v>
      </c>
      <c r="D401" s="987"/>
      <c r="E401" s="987"/>
      <c r="F401" s="987"/>
      <c r="G401" s="987"/>
      <c r="H401" s="987"/>
      <c r="I401" s="987"/>
      <c r="J401" s="987"/>
      <c r="K401" s="89">
        <f>SUM(K396:K400)</f>
        <v>23.02</v>
      </c>
      <c r="L401" s="90"/>
    </row>
    <row r="402" spans="2:12" hidden="1">
      <c r="B402" s="219"/>
      <c r="C402" s="219"/>
      <c r="D402" s="219"/>
      <c r="E402" s="219"/>
      <c r="F402" s="219"/>
      <c r="G402" s="219"/>
      <c r="H402" s="219"/>
      <c r="I402" s="219"/>
      <c r="J402" s="219"/>
      <c r="K402" s="219"/>
      <c r="L402" s="219"/>
    </row>
    <row r="403" spans="2:12" ht="15" hidden="1" customHeight="1">
      <c r="B403" s="85" t="str">
        <f>'[6]PLANILHA ORÇAMENTÁRIA'!D111</f>
        <v>13.2</v>
      </c>
      <c r="C403" s="1032" t="str">
        <f>'[6]PLANILHA ORÇAMENTÁRIA'!E111</f>
        <v>APLICAÇÃO E LIXAMENTO DE MASSA LÁTEX EM TETO, DUAS DEMÃOS. AF_06/2014</v>
      </c>
      <c r="D403" s="1032"/>
      <c r="E403" s="1032"/>
      <c r="F403" s="1032"/>
      <c r="G403" s="1032"/>
      <c r="H403" s="1032"/>
      <c r="I403" s="1032"/>
      <c r="J403" s="1032"/>
      <c r="K403" s="294" t="str">
        <f>'[6]PLANILHA ORÇAMENTÁRIA'!F111</f>
        <v>M2</v>
      </c>
      <c r="L403" s="295">
        <f>K410</f>
        <v>23.02</v>
      </c>
    </row>
    <row r="404" spans="2:12" hidden="1">
      <c r="B404" s="663"/>
      <c r="C404" s="983" t="s">
        <v>20</v>
      </c>
      <c r="D404" s="983"/>
      <c r="E404" s="983"/>
      <c r="F404" s="87" t="s">
        <v>22</v>
      </c>
      <c r="G404" s="656" t="s">
        <v>111</v>
      </c>
      <c r="H404" s="87" t="s">
        <v>112</v>
      </c>
      <c r="I404" s="656" t="s">
        <v>113</v>
      </c>
      <c r="J404" s="656" t="s">
        <v>114</v>
      </c>
      <c r="K404" s="89" t="s">
        <v>25</v>
      </c>
      <c r="L404" s="90"/>
    </row>
    <row r="405" spans="2:12" hidden="1">
      <c r="B405" s="663"/>
      <c r="C405" s="1028" t="s">
        <v>167</v>
      </c>
      <c r="D405" s="1028"/>
      <c r="E405" s="1028"/>
      <c r="F405" s="91"/>
      <c r="G405" s="91"/>
      <c r="H405" s="91">
        <v>2</v>
      </c>
      <c r="I405" s="91">
        <v>4.2</v>
      </c>
      <c r="J405" s="91"/>
      <c r="K405" s="664">
        <f>TRUNC(H405*I405,2)</f>
        <v>8.4</v>
      </c>
      <c r="L405" s="90"/>
    </row>
    <row r="406" spans="2:12" hidden="1">
      <c r="B406" s="663"/>
      <c r="C406" s="1028" t="s">
        <v>168</v>
      </c>
      <c r="D406" s="1028"/>
      <c r="E406" s="1028"/>
      <c r="F406" s="91"/>
      <c r="G406" s="91"/>
      <c r="H406" s="91">
        <v>2</v>
      </c>
      <c r="I406" s="91">
        <v>3.13</v>
      </c>
      <c r="J406" s="91"/>
      <c r="K406" s="664">
        <f>TRUNC(H406*I406,2)</f>
        <v>6.26</v>
      </c>
      <c r="L406" s="90"/>
    </row>
    <row r="407" spans="2:12" hidden="1">
      <c r="B407" s="663"/>
      <c r="C407" s="1028" t="s">
        <v>169</v>
      </c>
      <c r="D407" s="1028"/>
      <c r="E407" s="1028"/>
      <c r="F407" s="91"/>
      <c r="G407" s="91"/>
      <c r="H407" s="91">
        <v>1</v>
      </c>
      <c r="I407" s="91">
        <v>1.05</v>
      </c>
      <c r="J407" s="91"/>
      <c r="K407" s="664">
        <f>TRUNC(H407*I407,2)</f>
        <v>1.05</v>
      </c>
      <c r="L407" s="90"/>
    </row>
    <row r="408" spans="2:12" hidden="1">
      <c r="B408" s="663"/>
      <c r="C408" s="1028" t="s">
        <v>170</v>
      </c>
      <c r="D408" s="1028"/>
      <c r="E408" s="1028"/>
      <c r="F408" s="91"/>
      <c r="G408" s="91"/>
      <c r="H408" s="91">
        <v>2</v>
      </c>
      <c r="I408" s="91">
        <v>3.13</v>
      </c>
      <c r="J408" s="91"/>
      <c r="K408" s="664">
        <f>TRUNC(H408*I408,2)</f>
        <v>6.26</v>
      </c>
      <c r="L408" s="90"/>
    </row>
    <row r="409" spans="2:12" hidden="1">
      <c r="B409" s="663"/>
      <c r="C409" s="1028" t="s">
        <v>171</v>
      </c>
      <c r="D409" s="1028"/>
      <c r="E409" s="1028"/>
      <c r="F409" s="91"/>
      <c r="G409" s="91"/>
      <c r="H409" s="91">
        <v>1</v>
      </c>
      <c r="I409" s="91">
        <v>1.05</v>
      </c>
      <c r="J409" s="91"/>
      <c r="K409" s="664">
        <f>TRUNC(H409*I409,2)</f>
        <v>1.05</v>
      </c>
      <c r="L409" s="90"/>
    </row>
    <row r="410" spans="2:12" hidden="1">
      <c r="B410" s="663"/>
      <c r="C410" s="987" t="s">
        <v>116</v>
      </c>
      <c r="D410" s="987"/>
      <c r="E410" s="987"/>
      <c r="F410" s="987"/>
      <c r="G410" s="987"/>
      <c r="H410" s="987"/>
      <c r="I410" s="987"/>
      <c r="J410" s="987"/>
      <c r="K410" s="89">
        <f>SUM(K405:K409)</f>
        <v>23.02</v>
      </c>
      <c r="L410" s="90"/>
    </row>
    <row r="411" spans="2:12" hidden="1">
      <c r="B411" s="219"/>
      <c r="C411" s="219"/>
      <c r="D411" s="219"/>
      <c r="E411" s="219"/>
      <c r="F411" s="219"/>
      <c r="G411" s="219"/>
      <c r="H411" s="219"/>
      <c r="I411" s="219"/>
      <c r="J411" s="219"/>
      <c r="K411" s="219"/>
      <c r="L411" s="219"/>
    </row>
    <row r="412" spans="2:12" ht="15" hidden="1" customHeight="1">
      <c r="B412" s="85" t="str">
        <f>'[6]PLANILHA ORÇAMENTÁRIA'!D112</f>
        <v>13.3</v>
      </c>
      <c r="C412" s="1032" t="str">
        <f>'[6]PLANILHA ORÇAMENTÁRIA'!E112</f>
        <v>APLICAÇÃO MANUAL DE PINTURA COM TINTA LÁTEX PVA EM TETO, DUAS DEMÃOS. AF_06/2014</v>
      </c>
      <c r="D412" s="1032"/>
      <c r="E412" s="1032"/>
      <c r="F412" s="1032"/>
      <c r="G412" s="1032"/>
      <c r="H412" s="1032"/>
      <c r="I412" s="1032"/>
      <c r="J412" s="1032"/>
      <c r="K412" s="294" t="str">
        <f>'[6]PLANILHA ORÇAMENTÁRIA'!F112</f>
        <v>M2</v>
      </c>
      <c r="L412" s="295">
        <f>K419</f>
        <v>23.02</v>
      </c>
    </row>
    <row r="413" spans="2:12" hidden="1">
      <c r="B413" s="663"/>
      <c r="C413" s="983" t="s">
        <v>20</v>
      </c>
      <c r="D413" s="983"/>
      <c r="E413" s="983"/>
      <c r="F413" s="87" t="s">
        <v>22</v>
      </c>
      <c r="G413" s="656" t="s">
        <v>111</v>
      </c>
      <c r="H413" s="87" t="s">
        <v>112</v>
      </c>
      <c r="I413" s="656" t="s">
        <v>113</v>
      </c>
      <c r="J413" s="656" t="s">
        <v>114</v>
      </c>
      <c r="K413" s="89" t="s">
        <v>25</v>
      </c>
      <c r="L413" s="90"/>
    </row>
    <row r="414" spans="2:12" hidden="1">
      <c r="B414" s="663"/>
      <c r="C414" s="1028" t="s">
        <v>167</v>
      </c>
      <c r="D414" s="1028"/>
      <c r="E414" s="1028"/>
      <c r="F414" s="91"/>
      <c r="G414" s="91"/>
      <c r="H414" s="91">
        <v>2</v>
      </c>
      <c r="I414" s="91">
        <v>4.2</v>
      </c>
      <c r="J414" s="91"/>
      <c r="K414" s="664">
        <f>TRUNC(H414*I414,2)</f>
        <v>8.4</v>
      </c>
      <c r="L414" s="90"/>
    </row>
    <row r="415" spans="2:12" hidden="1">
      <c r="B415" s="663"/>
      <c r="C415" s="1028" t="s">
        <v>168</v>
      </c>
      <c r="D415" s="1028"/>
      <c r="E415" s="1028"/>
      <c r="F415" s="91"/>
      <c r="G415" s="91"/>
      <c r="H415" s="91">
        <v>2</v>
      </c>
      <c r="I415" s="91">
        <v>3.13</v>
      </c>
      <c r="J415" s="91"/>
      <c r="K415" s="664">
        <f>TRUNC(H415*I415,2)</f>
        <v>6.26</v>
      </c>
      <c r="L415" s="90"/>
    </row>
    <row r="416" spans="2:12" hidden="1">
      <c r="B416" s="663"/>
      <c r="C416" s="1028" t="s">
        <v>169</v>
      </c>
      <c r="D416" s="1028"/>
      <c r="E416" s="1028"/>
      <c r="F416" s="91"/>
      <c r="G416" s="91"/>
      <c r="H416" s="91">
        <v>1</v>
      </c>
      <c r="I416" s="91">
        <v>1.05</v>
      </c>
      <c r="J416" s="91"/>
      <c r="K416" s="664">
        <f>TRUNC(H416*I416,2)</f>
        <v>1.05</v>
      </c>
      <c r="L416" s="90"/>
    </row>
    <row r="417" spans="2:12" hidden="1">
      <c r="B417" s="663"/>
      <c r="C417" s="1028" t="s">
        <v>170</v>
      </c>
      <c r="D417" s="1028"/>
      <c r="E417" s="1028"/>
      <c r="F417" s="91"/>
      <c r="G417" s="91"/>
      <c r="H417" s="91">
        <v>2</v>
      </c>
      <c r="I417" s="91">
        <v>3.13</v>
      </c>
      <c r="J417" s="91"/>
      <c r="K417" s="664">
        <f>TRUNC(H417*I417,2)</f>
        <v>6.26</v>
      </c>
      <c r="L417" s="90"/>
    </row>
    <row r="418" spans="2:12" hidden="1">
      <c r="B418" s="663"/>
      <c r="C418" s="1028" t="s">
        <v>171</v>
      </c>
      <c r="D418" s="1028"/>
      <c r="E418" s="1028"/>
      <c r="F418" s="91"/>
      <c r="G418" s="91"/>
      <c r="H418" s="91">
        <v>1</v>
      </c>
      <c r="I418" s="91">
        <v>1.05</v>
      </c>
      <c r="J418" s="91"/>
      <c r="K418" s="664">
        <f>TRUNC(H418*I418,2)</f>
        <v>1.05</v>
      </c>
      <c r="L418" s="90"/>
    </row>
    <row r="419" spans="2:12" hidden="1">
      <c r="B419" s="663"/>
      <c r="C419" s="987" t="s">
        <v>116</v>
      </c>
      <c r="D419" s="987"/>
      <c r="E419" s="987"/>
      <c r="F419" s="987"/>
      <c r="G419" s="987"/>
      <c r="H419" s="987"/>
      <c r="I419" s="987"/>
      <c r="J419" s="987"/>
      <c r="K419" s="89">
        <f>SUM(K414:K418)</f>
        <v>23.02</v>
      </c>
      <c r="L419" s="90"/>
    </row>
    <row r="420" spans="2:12" hidden="1">
      <c r="B420" s="219"/>
      <c r="C420" s="219"/>
      <c r="D420" s="219"/>
      <c r="E420" s="219"/>
      <c r="F420" s="219"/>
      <c r="G420" s="219"/>
      <c r="H420" s="219"/>
      <c r="I420" s="219"/>
      <c r="J420" s="219"/>
      <c r="K420" s="219"/>
      <c r="L420" s="219"/>
    </row>
    <row r="421" spans="2:12" hidden="1">
      <c r="B421" s="85" t="str">
        <f>'[6]PLANILHA ORÇAMENTÁRIA'!D113</f>
        <v>13.4</v>
      </c>
      <c r="C421" s="1032" t="str">
        <f>'[6]PLANILHA ORÇAMENTÁRIA'!E113</f>
        <v>APLICAÇÃO DE FUNDO SELADOR ACRÍLICO EM PAREDES, UMA DEMÃO. AF_06/2014</v>
      </c>
      <c r="D421" s="1032"/>
      <c r="E421" s="1032"/>
      <c r="F421" s="1032"/>
      <c r="G421" s="1032"/>
      <c r="H421" s="1032"/>
      <c r="I421" s="1032"/>
      <c r="J421" s="1032"/>
      <c r="K421" s="294" t="str">
        <f>'[6]PLANILHA ORÇAMENTÁRIA'!F113</f>
        <v>M2</v>
      </c>
      <c r="L421" s="295">
        <f>K425</f>
        <v>50.4</v>
      </c>
    </row>
    <row r="422" spans="2:12" hidden="1">
      <c r="B422" s="663"/>
      <c r="C422" s="983" t="s">
        <v>20</v>
      </c>
      <c r="D422" s="983"/>
      <c r="E422" s="983"/>
      <c r="F422" s="87" t="s">
        <v>22</v>
      </c>
      <c r="G422" s="656" t="s">
        <v>111</v>
      </c>
      <c r="H422" s="87" t="s">
        <v>112</v>
      </c>
      <c r="I422" s="656" t="s">
        <v>154</v>
      </c>
      <c r="J422" s="656" t="s">
        <v>114</v>
      </c>
      <c r="K422" s="89" t="s">
        <v>25</v>
      </c>
      <c r="L422" s="90"/>
    </row>
    <row r="423" spans="2:12" ht="25.5" hidden="1" customHeight="1">
      <c r="B423" s="663"/>
      <c r="C423" s="1028" t="s">
        <v>172</v>
      </c>
      <c r="D423" s="1028"/>
      <c r="E423" s="1028"/>
      <c r="F423" s="91">
        <v>1</v>
      </c>
      <c r="G423" s="91">
        <v>2.4</v>
      </c>
      <c r="H423" s="91"/>
      <c r="I423" s="91">
        <v>12.6</v>
      </c>
      <c r="J423" s="91"/>
      <c r="K423" s="664">
        <f>TRUNC(((G423*I423)*F423)-J423,2)</f>
        <v>30.24</v>
      </c>
      <c r="L423" s="90"/>
    </row>
    <row r="424" spans="2:12" hidden="1">
      <c r="B424" s="663"/>
      <c r="C424" s="1028" t="s">
        <v>173</v>
      </c>
      <c r="D424" s="1028"/>
      <c r="E424" s="1028"/>
      <c r="F424" s="91">
        <v>1</v>
      </c>
      <c r="G424" s="91">
        <v>2.4</v>
      </c>
      <c r="H424" s="91"/>
      <c r="I424" s="91">
        <v>8.4</v>
      </c>
      <c r="J424" s="91"/>
      <c r="K424" s="664">
        <f>TRUNC(((G424*I424)*F424),2)</f>
        <v>20.16</v>
      </c>
      <c r="L424" s="90"/>
    </row>
    <row r="425" spans="2:12" hidden="1">
      <c r="B425" s="219"/>
      <c r="C425" s="987" t="s">
        <v>116</v>
      </c>
      <c r="D425" s="987"/>
      <c r="E425" s="987"/>
      <c r="F425" s="987"/>
      <c r="G425" s="987"/>
      <c r="H425" s="987"/>
      <c r="I425" s="987"/>
      <c r="J425" s="987"/>
      <c r="K425" s="89">
        <f>SUM(K423:K424)</f>
        <v>50.4</v>
      </c>
      <c r="L425" s="219"/>
    </row>
    <row r="426" spans="2:12" hidden="1">
      <c r="B426" s="219"/>
      <c r="C426" s="219"/>
      <c r="D426" s="219"/>
      <c r="E426" s="219"/>
      <c r="F426" s="219"/>
      <c r="G426" s="219"/>
      <c r="H426" s="219"/>
      <c r="I426" s="219"/>
      <c r="J426" s="219"/>
      <c r="K426" s="219"/>
      <c r="L426" s="219"/>
    </row>
    <row r="427" spans="2:12" hidden="1">
      <c r="B427" s="85" t="str">
        <f>'[6]PLANILHA ORÇAMENTÁRIA'!D114</f>
        <v>13.5</v>
      </c>
      <c r="C427" s="1032" t="str">
        <f>'[6]PLANILHA ORÇAMENTÁRIA'!E114</f>
        <v>APLICAÇÃO E LIXAMENTO DE MASSA LÁTEX EM PAREDES, UMA DEMÃO. AF_06/2014</v>
      </c>
      <c r="D427" s="1032"/>
      <c r="E427" s="1032"/>
      <c r="F427" s="1032"/>
      <c r="G427" s="1032"/>
      <c r="H427" s="1032"/>
      <c r="I427" s="1032"/>
      <c r="J427" s="1032"/>
      <c r="K427" s="294" t="str">
        <f>'[6]PLANILHA ORÇAMENTÁRIA'!F114</f>
        <v>M2</v>
      </c>
      <c r="L427" s="295">
        <f>K431</f>
        <v>50.4</v>
      </c>
    </row>
    <row r="428" spans="2:12" hidden="1">
      <c r="B428" s="663"/>
      <c r="C428" s="983" t="s">
        <v>20</v>
      </c>
      <c r="D428" s="983"/>
      <c r="E428" s="983"/>
      <c r="F428" s="87" t="s">
        <v>22</v>
      </c>
      <c r="G428" s="656" t="s">
        <v>111</v>
      </c>
      <c r="H428" s="87" t="s">
        <v>112</v>
      </c>
      <c r="I428" s="656" t="s">
        <v>154</v>
      </c>
      <c r="J428" s="656" t="s">
        <v>114</v>
      </c>
      <c r="K428" s="89" t="s">
        <v>25</v>
      </c>
      <c r="L428" s="90"/>
    </row>
    <row r="429" spans="2:12" hidden="1">
      <c r="B429" s="663"/>
      <c r="C429" s="1028" t="s">
        <v>172</v>
      </c>
      <c r="D429" s="1028"/>
      <c r="E429" s="1028"/>
      <c r="F429" s="91">
        <v>1</v>
      </c>
      <c r="G429" s="91">
        <v>2.4</v>
      </c>
      <c r="H429" s="91"/>
      <c r="I429" s="91">
        <v>12.6</v>
      </c>
      <c r="J429" s="91"/>
      <c r="K429" s="664">
        <f>TRUNC(((G429*I429)*F429)-J429,2)</f>
        <v>30.24</v>
      </c>
      <c r="L429" s="90"/>
    </row>
    <row r="430" spans="2:12" hidden="1">
      <c r="B430" s="663"/>
      <c r="C430" s="1028" t="s">
        <v>173</v>
      </c>
      <c r="D430" s="1028"/>
      <c r="E430" s="1028"/>
      <c r="F430" s="91">
        <v>1</v>
      </c>
      <c r="G430" s="91">
        <v>2.4</v>
      </c>
      <c r="H430" s="91"/>
      <c r="I430" s="91">
        <v>8.4</v>
      </c>
      <c r="J430" s="91"/>
      <c r="K430" s="664">
        <f>TRUNC(((G430*I430)*F430),2)</f>
        <v>20.16</v>
      </c>
      <c r="L430" s="90"/>
    </row>
    <row r="431" spans="2:12" hidden="1">
      <c r="B431" s="219"/>
      <c r="C431" s="987" t="s">
        <v>116</v>
      </c>
      <c r="D431" s="987"/>
      <c r="E431" s="987"/>
      <c r="F431" s="987"/>
      <c r="G431" s="987"/>
      <c r="H431" s="987"/>
      <c r="I431" s="987"/>
      <c r="J431" s="987"/>
      <c r="K431" s="89">
        <f>SUM(K429:K430)</f>
        <v>50.4</v>
      </c>
      <c r="L431" s="219"/>
    </row>
    <row r="432" spans="2:12" hidden="1">
      <c r="B432" s="219"/>
      <c r="C432" s="219"/>
      <c r="D432" s="219"/>
      <c r="E432" s="219"/>
      <c r="F432" s="219"/>
      <c r="G432" s="219"/>
      <c r="H432" s="219"/>
      <c r="I432" s="219"/>
      <c r="J432" s="219"/>
      <c r="K432" s="219"/>
      <c r="L432" s="219"/>
    </row>
    <row r="433" spans="2:12" hidden="1">
      <c r="B433" s="85" t="str">
        <f>'[6]PLANILHA ORÇAMENTÁRIA'!D115</f>
        <v>13.6</v>
      </c>
      <c r="C433" s="1032" t="str">
        <f>'[6]PLANILHA ORÇAMENTÁRIA'!E115</f>
        <v>APLICAÇÃO MANUAL DE PINTURA COM TINTA LÁTEX ACRÍLICA EM PAREDES, DUAS DEMÃOS. AF_06/2014</v>
      </c>
      <c r="D433" s="1032"/>
      <c r="E433" s="1032"/>
      <c r="F433" s="1032"/>
      <c r="G433" s="1032"/>
      <c r="H433" s="1032"/>
      <c r="I433" s="1032"/>
      <c r="J433" s="1032"/>
      <c r="K433" s="294" t="str">
        <f>'[6]PLANILHA ORÇAMENTÁRIA'!F115</f>
        <v>M2</v>
      </c>
      <c r="L433" s="295">
        <f>K437</f>
        <v>50.4</v>
      </c>
    </row>
    <row r="434" spans="2:12" hidden="1">
      <c r="B434" s="663"/>
      <c r="C434" s="983" t="s">
        <v>20</v>
      </c>
      <c r="D434" s="983"/>
      <c r="E434" s="983"/>
      <c r="F434" s="87" t="s">
        <v>22</v>
      </c>
      <c r="G434" s="656" t="s">
        <v>111</v>
      </c>
      <c r="H434" s="87" t="s">
        <v>112</v>
      </c>
      <c r="I434" s="656" t="s">
        <v>154</v>
      </c>
      <c r="J434" s="656" t="s">
        <v>114</v>
      </c>
      <c r="K434" s="89" t="s">
        <v>25</v>
      </c>
      <c r="L434" s="90"/>
    </row>
    <row r="435" spans="2:12" hidden="1">
      <c r="B435" s="663"/>
      <c r="C435" s="1028" t="s">
        <v>172</v>
      </c>
      <c r="D435" s="1028"/>
      <c r="E435" s="1028"/>
      <c r="F435" s="91">
        <v>1</v>
      </c>
      <c r="G435" s="91">
        <v>2.4</v>
      </c>
      <c r="H435" s="91"/>
      <c r="I435" s="91">
        <v>12.6</v>
      </c>
      <c r="J435" s="91"/>
      <c r="K435" s="664">
        <f>TRUNC(((G435*I435)*F435)-J435,2)</f>
        <v>30.24</v>
      </c>
      <c r="L435" s="90"/>
    </row>
    <row r="436" spans="2:12" hidden="1">
      <c r="B436" s="663"/>
      <c r="C436" s="1028" t="s">
        <v>173</v>
      </c>
      <c r="D436" s="1028"/>
      <c r="E436" s="1028"/>
      <c r="F436" s="91">
        <v>1</v>
      </c>
      <c r="G436" s="91">
        <v>2.4</v>
      </c>
      <c r="H436" s="91"/>
      <c r="I436" s="91">
        <v>8.4</v>
      </c>
      <c r="J436" s="91"/>
      <c r="K436" s="664">
        <f>TRUNC(((G436*I436)*F436),2)</f>
        <v>20.16</v>
      </c>
      <c r="L436" s="90"/>
    </row>
    <row r="437" spans="2:12" hidden="1">
      <c r="B437" s="219"/>
      <c r="C437" s="987" t="s">
        <v>116</v>
      </c>
      <c r="D437" s="987"/>
      <c r="E437" s="987"/>
      <c r="F437" s="987"/>
      <c r="G437" s="987"/>
      <c r="H437" s="987"/>
      <c r="I437" s="987"/>
      <c r="J437" s="987"/>
      <c r="K437" s="89">
        <f>SUM(K435:K436)</f>
        <v>50.4</v>
      </c>
      <c r="L437" s="219"/>
    </row>
    <row r="438" spans="2:12" hidden="1">
      <c r="B438" s="219"/>
      <c r="C438" s="219"/>
      <c r="D438" s="219"/>
      <c r="E438" s="219"/>
      <c r="F438" s="219"/>
      <c r="G438" s="219"/>
      <c r="H438" s="219"/>
      <c r="I438" s="219"/>
      <c r="J438" s="219"/>
      <c r="K438" s="219"/>
      <c r="L438" s="219"/>
    </row>
    <row r="439" spans="2:12" hidden="1">
      <c r="B439" s="292" t="str">
        <f>'[6]PLANILHA ORÇAMENTÁRIA'!D116</f>
        <v>14.0</v>
      </c>
      <c r="C439" s="1093" t="str">
        <f>'[6]PLANILHA ORÇAMENTÁRIA'!E116</f>
        <v>APARELHOS DA ACADEMIA</v>
      </c>
      <c r="D439" s="1093"/>
      <c r="E439" s="1093"/>
      <c r="F439" s="1093"/>
      <c r="G439" s="1093"/>
      <c r="H439" s="1093"/>
      <c r="I439" s="1093"/>
      <c r="J439" s="1093"/>
      <c r="K439" s="293"/>
      <c r="L439" s="293"/>
    </row>
    <row r="440" spans="2:12" hidden="1">
      <c r="B440" s="292" t="str">
        <f>'[6]PLANILHA ORÇAMENTÁRIA'!D117</f>
        <v>14.1</v>
      </c>
      <c r="C440" s="1093" t="str">
        <f>'[6]PLANILHA ORÇAMENTÁRIA'!E117</f>
        <v>BARRA PARALELA</v>
      </c>
      <c r="D440" s="1093"/>
      <c r="E440" s="1093"/>
      <c r="F440" s="1093"/>
      <c r="G440" s="1093"/>
      <c r="H440" s="1093"/>
      <c r="I440" s="1093"/>
      <c r="J440" s="1093"/>
      <c r="K440" s="293"/>
      <c r="L440" s="293"/>
    </row>
    <row r="441" spans="2:12" ht="15" hidden="1" customHeight="1">
      <c r="B441" s="85" t="str">
        <f>'[6]PLANILHA ORÇAMENTÁRIA'!D118</f>
        <v>14.1.1</v>
      </c>
      <c r="C441" s="1032" t="str">
        <f>'[6]PLANILHA ORÇAMENTÁRIA'!E118</f>
        <v>ESCAVAÇÃO MANUAL DE VALA COM PROFUNDIDADE MENOR OU IGUAL A 1,30 M</v>
      </c>
      <c r="D441" s="1032"/>
      <c r="E441" s="1032"/>
      <c r="F441" s="1032"/>
      <c r="G441" s="1032"/>
      <c r="H441" s="1032"/>
      <c r="I441" s="1032"/>
      <c r="J441" s="1032"/>
      <c r="K441" s="294" t="str">
        <f>'[6]PLANILHA ORÇAMENTÁRIA'!F118</f>
        <v>M3</v>
      </c>
      <c r="L441" s="295">
        <f>K444</f>
        <v>9.9000000000000005E-2</v>
      </c>
    </row>
    <row r="442" spans="2:12" hidden="1">
      <c r="B442" s="663"/>
      <c r="C442" s="983" t="s">
        <v>20</v>
      </c>
      <c r="D442" s="983"/>
      <c r="E442" s="983"/>
      <c r="F442" s="87" t="s">
        <v>22</v>
      </c>
      <c r="G442" s="656" t="s">
        <v>111</v>
      </c>
      <c r="H442" s="87" t="s">
        <v>112</v>
      </c>
      <c r="I442" s="656" t="s">
        <v>113</v>
      </c>
      <c r="J442" s="656" t="s">
        <v>114</v>
      </c>
      <c r="K442" s="89" t="s">
        <v>25</v>
      </c>
      <c r="L442" s="90"/>
    </row>
    <row r="443" spans="2:12" hidden="1">
      <c r="B443" s="663"/>
      <c r="C443" s="1028" t="s">
        <v>174</v>
      </c>
      <c r="D443" s="1028"/>
      <c r="E443" s="1028"/>
      <c r="F443" s="91">
        <v>8</v>
      </c>
      <c r="G443" s="91">
        <v>0.55000000000000004</v>
      </c>
      <c r="H443" s="91">
        <v>0.15</v>
      </c>
      <c r="I443" s="91">
        <v>0.15</v>
      </c>
      <c r="J443" s="91"/>
      <c r="K443" s="296">
        <f>PRODUCT(F443:I443)</f>
        <v>9.9000000000000005E-2</v>
      </c>
      <c r="L443" s="90"/>
    </row>
    <row r="444" spans="2:12" hidden="1">
      <c r="B444" s="663"/>
      <c r="C444" s="987" t="s">
        <v>116</v>
      </c>
      <c r="D444" s="987"/>
      <c r="E444" s="987"/>
      <c r="F444" s="987"/>
      <c r="G444" s="987"/>
      <c r="H444" s="987"/>
      <c r="I444" s="987"/>
      <c r="J444" s="987"/>
      <c r="K444" s="298">
        <f>SUM(K443:K443)</f>
        <v>9.9000000000000005E-2</v>
      </c>
      <c r="L444" s="90"/>
    </row>
    <row r="445" spans="2:12" hidden="1">
      <c r="B445" s="663"/>
      <c r="C445" s="211"/>
      <c r="D445" s="211"/>
      <c r="E445" s="211"/>
      <c r="F445" s="211"/>
      <c r="G445" s="211"/>
      <c r="H445" s="211"/>
      <c r="I445" s="211"/>
      <c r="J445" s="211"/>
      <c r="K445" s="299"/>
      <c r="L445" s="90"/>
    </row>
    <row r="446" spans="2:12" ht="22.5" hidden="1" customHeight="1">
      <c r="B446" s="85" t="str">
        <f>'[6]PLANILHA ORÇAMENTÁRIA'!D119</f>
        <v>14.1.2</v>
      </c>
      <c r="C446" s="1032" t="str">
        <f>'[6]PLANILHA ORÇAMENTÁRIA'!E119</f>
        <v>LASTRO DE CONCRETO MAGRO, APLICADO EM PISOS OU RADIERS, ESPESSURA DE 5CM. AF_07_2016</v>
      </c>
      <c r="D446" s="1032"/>
      <c r="E446" s="1032"/>
      <c r="F446" s="1032"/>
      <c r="G446" s="1032"/>
      <c r="H446" s="1032"/>
      <c r="I446" s="1032"/>
      <c r="J446" s="1032"/>
      <c r="K446" s="294" t="str">
        <f>'[6]PLANILHA ORÇAMENTÁRIA'!F119</f>
        <v>M2</v>
      </c>
      <c r="L446" s="295">
        <f>K449</f>
        <v>0.18</v>
      </c>
    </row>
    <row r="447" spans="2:12" hidden="1">
      <c r="B447" s="663"/>
      <c r="C447" s="983" t="s">
        <v>20</v>
      </c>
      <c r="D447" s="983"/>
      <c r="E447" s="983"/>
      <c r="F447" s="87" t="s">
        <v>22</v>
      </c>
      <c r="G447" s="656" t="s">
        <v>111</v>
      </c>
      <c r="H447" s="87" t="s">
        <v>112</v>
      </c>
      <c r="I447" s="656" t="s">
        <v>113</v>
      </c>
      <c r="J447" s="656" t="s">
        <v>114</v>
      </c>
      <c r="K447" s="89" t="s">
        <v>25</v>
      </c>
      <c r="L447" s="90"/>
    </row>
    <row r="448" spans="2:12" hidden="1">
      <c r="B448" s="663"/>
      <c r="C448" s="1028"/>
      <c r="D448" s="1028"/>
      <c r="E448" s="1028"/>
      <c r="F448" s="91">
        <v>8</v>
      </c>
      <c r="G448" s="91"/>
      <c r="H448" s="91">
        <v>0.15</v>
      </c>
      <c r="I448" s="91">
        <v>0.15</v>
      </c>
      <c r="J448" s="91"/>
      <c r="K448" s="296">
        <f>PRODUCT(F448:I448)</f>
        <v>0.18</v>
      </c>
      <c r="L448" s="90"/>
    </row>
    <row r="449" spans="2:12" hidden="1">
      <c r="B449" s="663"/>
      <c r="C449" s="987" t="s">
        <v>116</v>
      </c>
      <c r="D449" s="987"/>
      <c r="E449" s="987"/>
      <c r="F449" s="987"/>
      <c r="G449" s="987"/>
      <c r="H449" s="987"/>
      <c r="I449" s="987"/>
      <c r="J449" s="987"/>
      <c r="K449" s="298">
        <f>SUM(K448:K448)</f>
        <v>0.18</v>
      </c>
      <c r="L449" s="90"/>
    </row>
    <row r="450" spans="2:12" hidden="1">
      <c r="B450" s="663"/>
      <c r="C450" s="211"/>
      <c r="D450" s="211"/>
      <c r="E450" s="211"/>
      <c r="F450" s="211"/>
      <c r="G450" s="211"/>
      <c r="H450" s="211"/>
      <c r="I450" s="211"/>
      <c r="J450" s="211"/>
      <c r="K450" s="299"/>
      <c r="L450" s="90"/>
    </row>
    <row r="451" spans="2:12" ht="24" hidden="1" customHeight="1">
      <c r="B451" s="85" t="str">
        <f>'[6]PLANILHA ORÇAMENTÁRIA'!D120</f>
        <v>14.1.3</v>
      </c>
      <c r="C451" s="1032" t="str">
        <f>'[6]PLANILHA ORÇAMENTÁRIA'!E120</f>
        <v>CONCRETAGEM DE BLOCOS DE COROAMENTO E VIGAS BALDRAMES, FCK 30 MPA, COM USO DE BOMBA LANÇAMENTO, ADENSAMENTO E ACABAMENTO. AF_06/2017</v>
      </c>
      <c r="D451" s="1032"/>
      <c r="E451" s="1032"/>
      <c r="F451" s="1032"/>
      <c r="G451" s="1032"/>
      <c r="H451" s="1032"/>
      <c r="I451" s="1032"/>
      <c r="J451" s="1032"/>
      <c r="K451" s="294" t="str">
        <f>'[6]PLANILHA ORÇAMENTÁRIA'!F120</f>
        <v>M3</v>
      </c>
      <c r="L451" s="295">
        <f>K454</f>
        <v>7.0000000000000007E-2</v>
      </c>
    </row>
    <row r="452" spans="2:12" hidden="1">
      <c r="B452" s="663"/>
      <c r="C452" s="983" t="s">
        <v>20</v>
      </c>
      <c r="D452" s="983"/>
      <c r="E452" s="983"/>
      <c r="F452" s="87" t="s">
        <v>22</v>
      </c>
      <c r="G452" s="656" t="s">
        <v>111</v>
      </c>
      <c r="H452" s="87" t="s">
        <v>112</v>
      </c>
      <c r="I452" s="656" t="s">
        <v>113</v>
      </c>
      <c r="J452" s="656" t="s">
        <v>114</v>
      </c>
      <c r="K452" s="89" t="s">
        <v>25</v>
      </c>
      <c r="L452" s="90"/>
    </row>
    <row r="453" spans="2:12" hidden="1">
      <c r="B453" s="663"/>
      <c r="C453" s="1028" t="s">
        <v>175</v>
      </c>
      <c r="D453" s="1028"/>
      <c r="E453" s="1028"/>
      <c r="F453" s="91">
        <v>8</v>
      </c>
      <c r="G453" s="91">
        <v>0.4</v>
      </c>
      <c r="H453" s="91">
        <v>0.15</v>
      </c>
      <c r="I453" s="91">
        <v>0.15</v>
      </c>
      <c r="J453" s="91"/>
      <c r="K453" s="664">
        <f>TRUNC(G453*H453*F453*I453,2)</f>
        <v>7.0000000000000007E-2</v>
      </c>
      <c r="L453" s="90"/>
    </row>
    <row r="454" spans="2:12" hidden="1">
      <c r="B454" s="663"/>
      <c r="C454" s="987" t="s">
        <v>116</v>
      </c>
      <c r="D454" s="987"/>
      <c r="E454" s="987"/>
      <c r="F454" s="987"/>
      <c r="G454" s="987"/>
      <c r="H454" s="987"/>
      <c r="I454" s="987"/>
      <c r="J454" s="987"/>
      <c r="K454" s="89">
        <f>SUM(K453:K453)</f>
        <v>7.0000000000000007E-2</v>
      </c>
      <c r="L454" s="90"/>
    </row>
    <row r="455" spans="2:12" hidden="1">
      <c r="B455" s="219"/>
      <c r="C455" s="219"/>
      <c r="D455" s="219"/>
      <c r="E455" s="219"/>
      <c r="F455" s="219"/>
      <c r="G455" s="219"/>
      <c r="H455" s="219"/>
      <c r="I455" s="219"/>
      <c r="J455" s="219"/>
      <c r="K455" s="219"/>
      <c r="L455" s="219"/>
    </row>
    <row r="456" spans="2:12" ht="15" hidden="1" customHeight="1">
      <c r="B456" s="85" t="str">
        <f>'[6]PLANILHA ORÇAMENTÁRIA'!D121</f>
        <v>14.1.4</v>
      </c>
      <c r="C456" s="1032" t="str">
        <f>'[6]PLANILHA ORÇAMENTÁRIA'!E121</f>
        <v>TUBO DE AÇO GALVANIZADO COM COSTURA 2" - FORNECIMENTO E INSTALACAO.</v>
      </c>
      <c r="D456" s="1032"/>
      <c r="E456" s="1032"/>
      <c r="F456" s="1032"/>
      <c r="G456" s="1032"/>
      <c r="H456" s="1032"/>
      <c r="I456" s="1032"/>
      <c r="J456" s="1032"/>
      <c r="K456" s="294" t="str">
        <f>'[6]PLANILHA ORÇAMENTÁRIA'!F121</f>
        <v>M</v>
      </c>
      <c r="L456" s="295">
        <f>K460</f>
        <v>21.2</v>
      </c>
    </row>
    <row r="457" spans="2:12" hidden="1">
      <c r="B457" s="663"/>
      <c r="C457" s="983" t="s">
        <v>20</v>
      </c>
      <c r="D457" s="983"/>
      <c r="E457" s="983"/>
      <c r="F457" s="87" t="s">
        <v>22</v>
      </c>
      <c r="G457" s="656" t="s">
        <v>111</v>
      </c>
      <c r="H457" s="87" t="s">
        <v>112</v>
      </c>
      <c r="I457" s="656" t="s">
        <v>113</v>
      </c>
      <c r="J457" s="656" t="s">
        <v>114</v>
      </c>
      <c r="K457" s="89" t="s">
        <v>25</v>
      </c>
      <c r="L457" s="90"/>
    </row>
    <row r="458" spans="2:12" hidden="1">
      <c r="B458" s="663"/>
      <c r="C458" s="1028" t="s">
        <v>176</v>
      </c>
      <c r="D458" s="1028"/>
      <c r="E458" s="1028"/>
      <c r="F458" s="91">
        <v>8</v>
      </c>
      <c r="G458" s="91"/>
      <c r="H458" s="91"/>
      <c r="I458" s="91">
        <v>1.65</v>
      </c>
      <c r="J458" s="91"/>
      <c r="K458" s="664">
        <f>F458*I458</f>
        <v>13.2</v>
      </c>
      <c r="L458" s="90"/>
    </row>
    <row r="459" spans="2:12" hidden="1">
      <c r="B459" s="663"/>
      <c r="C459" s="984" t="s">
        <v>177</v>
      </c>
      <c r="D459" s="985"/>
      <c r="E459" s="986"/>
      <c r="F459" s="91">
        <v>4</v>
      </c>
      <c r="G459" s="91"/>
      <c r="H459" s="91"/>
      <c r="I459" s="91">
        <v>2</v>
      </c>
      <c r="J459" s="91"/>
      <c r="K459" s="664">
        <f>F459*I459</f>
        <v>8</v>
      </c>
      <c r="L459" s="90"/>
    </row>
    <row r="460" spans="2:12" hidden="1">
      <c r="B460" s="663"/>
      <c r="C460" s="987" t="s">
        <v>116</v>
      </c>
      <c r="D460" s="987"/>
      <c r="E460" s="987"/>
      <c r="F460" s="987"/>
      <c r="G460" s="987"/>
      <c r="H460" s="987"/>
      <c r="I460" s="987"/>
      <c r="J460" s="987"/>
      <c r="K460" s="89">
        <f>SUM(K458:K459)</f>
        <v>21.2</v>
      </c>
      <c r="L460" s="90"/>
    </row>
    <row r="461" spans="2:12" hidden="1">
      <c r="B461" s="663"/>
      <c r="C461" s="211"/>
      <c r="D461" s="211"/>
      <c r="E461" s="211"/>
      <c r="F461" s="211"/>
      <c r="G461" s="211"/>
      <c r="H461" s="211"/>
      <c r="I461" s="211"/>
      <c r="J461" s="211"/>
      <c r="K461" s="212"/>
      <c r="L461" s="90"/>
    </row>
    <row r="462" spans="2:12" ht="15" hidden="1" customHeight="1">
      <c r="B462" s="85" t="str">
        <f>'[6]PLANILHA ORÇAMENTÁRIA'!D122</f>
        <v>14.1.5</v>
      </c>
      <c r="C462" s="1032" t="str">
        <f>'[6]PLANILHA ORÇAMENTÁRIA'!E122</f>
        <v>PINTURA ESMALTE ALTO BRILHO, DUAS DEMAOS, SOBRE SUPERFICIE METALICA</v>
      </c>
      <c r="D462" s="1032"/>
      <c r="E462" s="1032"/>
      <c r="F462" s="1032"/>
      <c r="G462" s="1032"/>
      <c r="H462" s="1032"/>
      <c r="I462" s="1032"/>
      <c r="J462" s="1032"/>
      <c r="K462" s="294" t="str">
        <f>'[6]PLANILHA ORÇAMENTÁRIA'!F122</f>
        <v>M2</v>
      </c>
      <c r="L462" s="295">
        <f>K467</f>
        <v>2.76</v>
      </c>
    </row>
    <row r="463" spans="2:12" hidden="1">
      <c r="B463" s="663"/>
      <c r="C463" s="983" t="s">
        <v>20</v>
      </c>
      <c r="D463" s="983"/>
      <c r="E463" s="983"/>
      <c r="F463" s="87" t="s">
        <v>22</v>
      </c>
      <c r="G463" s="656" t="s">
        <v>111</v>
      </c>
      <c r="H463" s="87" t="s">
        <v>178</v>
      </c>
      <c r="I463" s="656" t="s">
        <v>113</v>
      </c>
      <c r="J463" s="656" t="s">
        <v>114</v>
      </c>
      <c r="K463" s="89" t="s">
        <v>25</v>
      </c>
      <c r="L463" s="90"/>
    </row>
    <row r="464" spans="2:12" hidden="1">
      <c r="B464" s="663"/>
      <c r="C464" s="1028" t="s">
        <v>176</v>
      </c>
      <c r="D464" s="1028"/>
      <c r="E464" s="1028"/>
      <c r="F464" s="91">
        <v>8</v>
      </c>
      <c r="G464" s="91"/>
      <c r="H464" s="300">
        <v>2.5000000000000001E-2</v>
      </c>
      <c r="I464" s="91">
        <v>1.2</v>
      </c>
      <c r="J464" s="91"/>
      <c r="K464" s="664">
        <f>TRUNC((2*3.14*H464*I464)*F464,2)</f>
        <v>1.5</v>
      </c>
      <c r="L464" s="90"/>
    </row>
    <row r="465" spans="2:12" hidden="1">
      <c r="B465" s="663"/>
      <c r="C465" s="984" t="s">
        <v>177</v>
      </c>
      <c r="D465" s="985"/>
      <c r="E465" s="986"/>
      <c r="F465" s="91">
        <v>4</v>
      </c>
      <c r="G465" s="91"/>
      <c r="H465" s="300">
        <v>2.5000000000000001E-2</v>
      </c>
      <c r="I465" s="91">
        <v>2</v>
      </c>
      <c r="J465" s="91"/>
      <c r="K465" s="664">
        <f>TRUNC((2*3.14*H465*I465)*F465,2)</f>
        <v>1.25</v>
      </c>
      <c r="L465" s="90"/>
    </row>
    <row r="466" spans="2:12" hidden="1">
      <c r="B466" s="663"/>
      <c r="C466" s="984" t="s">
        <v>179</v>
      </c>
      <c r="D466" s="985"/>
      <c r="E466" s="986"/>
      <c r="F466" s="91">
        <v>8</v>
      </c>
      <c r="G466" s="91"/>
      <c r="H466" s="300">
        <v>2.5000000000000001E-2</v>
      </c>
      <c r="I466" s="91"/>
      <c r="J466" s="91"/>
      <c r="K466" s="664">
        <f>TRUNC((3.14*H466^2)*F466,2)</f>
        <v>0.01</v>
      </c>
      <c r="L466" s="90"/>
    </row>
    <row r="467" spans="2:12" hidden="1">
      <c r="B467" s="663"/>
      <c r="C467" s="987" t="s">
        <v>116</v>
      </c>
      <c r="D467" s="987"/>
      <c r="E467" s="987"/>
      <c r="F467" s="987"/>
      <c r="G467" s="987"/>
      <c r="H467" s="987"/>
      <c r="I467" s="987"/>
      <c r="J467" s="987"/>
      <c r="K467" s="89">
        <f>SUM(K464:K466)</f>
        <v>2.76</v>
      </c>
      <c r="L467" s="90"/>
    </row>
    <row r="468" spans="2:12" hidden="1">
      <c r="B468" s="663"/>
      <c r="C468" s="211"/>
      <c r="D468" s="211"/>
      <c r="E468" s="211"/>
      <c r="F468" s="211"/>
      <c r="G468" s="211"/>
      <c r="H468" s="211"/>
      <c r="I468" s="211"/>
      <c r="J468" s="211"/>
      <c r="K468" s="212"/>
      <c r="L468" s="90"/>
    </row>
    <row r="469" spans="2:12" hidden="1">
      <c r="B469" s="292" t="str">
        <f>'[6]PLANILHA ORÇAMENTÁRIA'!D123</f>
        <v>14.2</v>
      </c>
      <c r="C469" s="1093" t="str">
        <f>'[6]PLANILHA ORÇAMENTÁRIA'!E123</f>
        <v>BARRAS MARINHEIRO</v>
      </c>
      <c r="D469" s="1093"/>
      <c r="E469" s="1093"/>
      <c r="F469" s="1093"/>
      <c r="G469" s="1093"/>
      <c r="H469" s="1093"/>
      <c r="I469" s="1093"/>
      <c r="J469" s="1093"/>
      <c r="K469" s="293"/>
      <c r="L469" s="293"/>
    </row>
    <row r="470" spans="2:12" ht="15" hidden="1" customHeight="1">
      <c r="B470" s="85" t="str">
        <f>'[6]PLANILHA ORÇAMENTÁRIA'!D124</f>
        <v>14.2.1</v>
      </c>
      <c r="C470" s="1032" t="str">
        <f>'[6]PLANILHA ORÇAMENTÁRIA'!E124</f>
        <v>ESCAVAÇÃO MANUAL DE VALA COM PROFUNDIDADE MENOR OU IGUAL A 1,30 M</v>
      </c>
      <c r="D470" s="1032"/>
      <c r="E470" s="1032"/>
      <c r="F470" s="1032"/>
      <c r="G470" s="1032"/>
      <c r="H470" s="1032"/>
      <c r="I470" s="1032"/>
      <c r="J470" s="1032"/>
      <c r="K470" s="294" t="str">
        <f>'[6]PLANILHA ORÇAMENTÁRIA'!F124</f>
        <v>M3</v>
      </c>
      <c r="L470" s="295">
        <f>K473</f>
        <v>0.14849999999999999</v>
      </c>
    </row>
    <row r="471" spans="2:12" hidden="1">
      <c r="B471" s="663"/>
      <c r="C471" s="983" t="s">
        <v>20</v>
      </c>
      <c r="D471" s="983"/>
      <c r="E471" s="983"/>
      <c r="F471" s="87" t="s">
        <v>22</v>
      </c>
      <c r="G471" s="656" t="s">
        <v>111</v>
      </c>
      <c r="H471" s="87" t="s">
        <v>112</v>
      </c>
      <c r="I471" s="656" t="s">
        <v>113</v>
      </c>
      <c r="J471" s="656" t="s">
        <v>114</v>
      </c>
      <c r="K471" s="89" t="s">
        <v>25</v>
      </c>
      <c r="L471" s="90"/>
    </row>
    <row r="472" spans="2:12" hidden="1">
      <c r="B472" s="663"/>
      <c r="C472" s="1028" t="s">
        <v>174</v>
      </c>
      <c r="D472" s="1028"/>
      <c r="E472" s="1028"/>
      <c r="F472" s="91">
        <v>12</v>
      </c>
      <c r="G472" s="91">
        <v>0.55000000000000004</v>
      </c>
      <c r="H472" s="91">
        <v>0.15</v>
      </c>
      <c r="I472" s="91">
        <v>0.15</v>
      </c>
      <c r="J472" s="91"/>
      <c r="K472" s="296">
        <f>PRODUCT(F472:I472)</f>
        <v>0.14849999999999999</v>
      </c>
      <c r="L472" s="90"/>
    </row>
    <row r="473" spans="2:12" hidden="1">
      <c r="B473" s="663"/>
      <c r="C473" s="987" t="s">
        <v>116</v>
      </c>
      <c r="D473" s="987"/>
      <c r="E473" s="987"/>
      <c r="F473" s="987"/>
      <c r="G473" s="987"/>
      <c r="H473" s="987"/>
      <c r="I473" s="987"/>
      <c r="J473" s="987"/>
      <c r="K473" s="298">
        <f>SUM(K472:K472)</f>
        <v>0.14849999999999999</v>
      </c>
      <c r="L473" s="90"/>
    </row>
    <row r="474" spans="2:12" hidden="1">
      <c r="B474" s="663"/>
      <c r="C474" s="211"/>
      <c r="D474" s="211"/>
      <c r="E474" s="211"/>
      <c r="F474" s="211"/>
      <c r="G474" s="211"/>
      <c r="H474" s="211"/>
      <c r="I474" s="211"/>
      <c r="J474" s="211"/>
      <c r="K474" s="299"/>
      <c r="L474" s="90"/>
    </row>
    <row r="475" spans="2:12" ht="15" hidden="1" customHeight="1">
      <c r="B475" s="85" t="str">
        <f>'[6]PLANILHA ORÇAMENTÁRIA'!D125</f>
        <v>14.2.2</v>
      </c>
      <c r="C475" s="1032" t="str">
        <f>'[6]PLANILHA ORÇAMENTÁRIA'!E125</f>
        <v>LASTRO DE CONCRETO MAGRO, APLICADO EM PISOS OU RADIERS, ESPESSURA DE 5CM. AF_07_2016</v>
      </c>
      <c r="D475" s="1032"/>
      <c r="E475" s="1032"/>
      <c r="F475" s="1032"/>
      <c r="G475" s="1032"/>
      <c r="H475" s="1032"/>
      <c r="I475" s="1032"/>
      <c r="J475" s="1032"/>
      <c r="K475" s="294" t="str">
        <f>'[6]PLANILHA ORÇAMENTÁRIA'!F125</f>
        <v>M2</v>
      </c>
      <c r="L475" s="295">
        <f>K478</f>
        <v>0.26999999999999996</v>
      </c>
    </row>
    <row r="476" spans="2:12" hidden="1">
      <c r="B476" s="663"/>
      <c r="C476" s="983" t="s">
        <v>20</v>
      </c>
      <c r="D476" s="983"/>
      <c r="E476" s="983"/>
      <c r="F476" s="87" t="s">
        <v>22</v>
      </c>
      <c r="G476" s="656" t="s">
        <v>111</v>
      </c>
      <c r="H476" s="87" t="s">
        <v>112</v>
      </c>
      <c r="I476" s="656" t="s">
        <v>113</v>
      </c>
      <c r="J476" s="656" t="s">
        <v>114</v>
      </c>
      <c r="K476" s="89" t="s">
        <v>25</v>
      </c>
      <c r="L476" s="90"/>
    </row>
    <row r="477" spans="2:12" hidden="1">
      <c r="B477" s="663"/>
      <c r="C477" s="1028"/>
      <c r="D477" s="1028"/>
      <c r="E477" s="1028"/>
      <c r="F477" s="91">
        <v>12</v>
      </c>
      <c r="G477" s="91"/>
      <c r="H477" s="91">
        <v>0.15</v>
      </c>
      <c r="I477" s="91">
        <v>0.15</v>
      </c>
      <c r="J477" s="91"/>
      <c r="K477" s="296">
        <f>PRODUCT(F477:I477)</f>
        <v>0.26999999999999996</v>
      </c>
      <c r="L477" s="90"/>
    </row>
    <row r="478" spans="2:12" hidden="1">
      <c r="B478" s="663"/>
      <c r="C478" s="987" t="s">
        <v>116</v>
      </c>
      <c r="D478" s="987"/>
      <c r="E478" s="987"/>
      <c r="F478" s="987"/>
      <c r="G478" s="987"/>
      <c r="H478" s="987"/>
      <c r="I478" s="987"/>
      <c r="J478" s="987"/>
      <c r="K478" s="298">
        <f>SUM(K477:K477)</f>
        <v>0.26999999999999996</v>
      </c>
      <c r="L478" s="90"/>
    </row>
    <row r="479" spans="2:12" hidden="1">
      <c r="B479" s="663"/>
      <c r="C479" s="211"/>
      <c r="D479" s="211"/>
      <c r="E479" s="211"/>
      <c r="F479" s="211"/>
      <c r="G479" s="211"/>
      <c r="H479" s="211"/>
      <c r="I479" s="211"/>
      <c r="J479" s="211"/>
      <c r="K479" s="299"/>
      <c r="L479" s="90"/>
    </row>
    <row r="480" spans="2:12" ht="22.5" hidden="1" customHeight="1">
      <c r="B480" s="85" t="str">
        <f>'[6]PLANILHA ORÇAMENTÁRIA'!D126</f>
        <v>14.2.3</v>
      </c>
      <c r="C480" s="1032" t="str">
        <f>'[6]PLANILHA ORÇAMENTÁRIA'!E126</f>
        <v>CONCRETAGEM DE BLOCOS DE COROAMENTO E VIGAS BALDRAMES, FCK 30 MPA, COM USO DE BOMBA LANÇAMENTO, ADENSAMENTO E ACABAMENTO. AF_06/2017</v>
      </c>
      <c r="D480" s="1032"/>
      <c r="E480" s="1032"/>
      <c r="F480" s="1032"/>
      <c r="G480" s="1032"/>
      <c r="H480" s="1032"/>
      <c r="I480" s="1032"/>
      <c r="J480" s="1032"/>
      <c r="K480" s="294" t="str">
        <f>'[6]PLANILHA ORÇAMENTÁRIA'!F126</f>
        <v>M3</v>
      </c>
      <c r="L480" s="295">
        <f>K483</f>
        <v>0.1</v>
      </c>
    </row>
    <row r="481" spans="2:12" hidden="1">
      <c r="B481" s="663"/>
      <c r="C481" s="983" t="s">
        <v>20</v>
      </c>
      <c r="D481" s="983"/>
      <c r="E481" s="983"/>
      <c r="F481" s="87" t="s">
        <v>22</v>
      </c>
      <c r="G481" s="656" t="s">
        <v>111</v>
      </c>
      <c r="H481" s="87" t="s">
        <v>112</v>
      </c>
      <c r="I481" s="656" t="s">
        <v>113</v>
      </c>
      <c r="J481" s="656" t="s">
        <v>114</v>
      </c>
      <c r="K481" s="89" t="s">
        <v>25</v>
      </c>
      <c r="L481" s="90"/>
    </row>
    <row r="482" spans="2:12" hidden="1">
      <c r="B482" s="663"/>
      <c r="C482" s="1028" t="s">
        <v>175</v>
      </c>
      <c r="D482" s="1028"/>
      <c r="E482" s="1028"/>
      <c r="F482" s="91">
        <v>12</v>
      </c>
      <c r="G482" s="91">
        <v>0.4</v>
      </c>
      <c r="H482" s="91">
        <v>0.15</v>
      </c>
      <c r="I482" s="91">
        <v>0.15</v>
      </c>
      <c r="J482" s="91"/>
      <c r="K482" s="664">
        <f>TRUNC(G482*H482*F482*I482,2)</f>
        <v>0.1</v>
      </c>
      <c r="L482" s="90"/>
    </row>
    <row r="483" spans="2:12" hidden="1">
      <c r="B483" s="663"/>
      <c r="C483" s="987" t="s">
        <v>116</v>
      </c>
      <c r="D483" s="987"/>
      <c r="E483" s="987"/>
      <c r="F483" s="987"/>
      <c r="G483" s="987"/>
      <c r="H483" s="987"/>
      <c r="I483" s="987"/>
      <c r="J483" s="987"/>
      <c r="K483" s="89">
        <f>SUM(K482:K482)</f>
        <v>0.1</v>
      </c>
      <c r="L483" s="90"/>
    </row>
    <row r="484" spans="2:12" hidden="1">
      <c r="B484" s="219"/>
      <c r="C484" s="219"/>
      <c r="D484" s="219"/>
      <c r="E484" s="219"/>
      <c r="F484" s="219"/>
      <c r="G484" s="219"/>
      <c r="H484" s="219"/>
      <c r="I484" s="219"/>
      <c r="J484" s="219"/>
      <c r="K484" s="219"/>
      <c r="L484" s="219"/>
    </row>
    <row r="485" spans="2:12" ht="15" hidden="1" customHeight="1">
      <c r="B485" s="85" t="str">
        <f>'[6]PLANILHA ORÇAMENTÁRIA'!D127</f>
        <v>14.2.4</v>
      </c>
      <c r="C485" s="1032" t="str">
        <f>'[6]PLANILHA ORÇAMENTÁRIA'!E127</f>
        <v>TUBO DE AÇO GALVANIZADO COM COSTURA 2" - FORNECIMENTO E INSTALACAO. - M</v>
      </c>
      <c r="D485" s="1032"/>
      <c r="E485" s="1032"/>
      <c r="F485" s="1032"/>
      <c r="G485" s="1032"/>
      <c r="H485" s="1032"/>
      <c r="I485" s="1032"/>
      <c r="J485" s="1032"/>
      <c r="K485" s="294" t="str">
        <f>'[6]PLANILHA ORÇAMENTÁRIA'!F127</f>
        <v>M</v>
      </c>
      <c r="L485" s="295">
        <f>K490</f>
        <v>19.100000000000001</v>
      </c>
    </row>
    <row r="486" spans="2:12" hidden="1">
      <c r="B486" s="663"/>
      <c r="C486" s="983" t="s">
        <v>20</v>
      </c>
      <c r="D486" s="983"/>
      <c r="E486" s="983"/>
      <c r="F486" s="87" t="s">
        <v>22</v>
      </c>
      <c r="G486" s="656" t="s">
        <v>111</v>
      </c>
      <c r="H486" s="87" t="s">
        <v>112</v>
      </c>
      <c r="I486" s="656" t="s">
        <v>113</v>
      </c>
      <c r="J486" s="656" t="s">
        <v>114</v>
      </c>
      <c r="K486" s="89" t="s">
        <v>25</v>
      </c>
      <c r="L486" s="90"/>
    </row>
    <row r="487" spans="2:12" hidden="1">
      <c r="B487" s="663"/>
      <c r="C487" s="1028" t="s">
        <v>180</v>
      </c>
      <c r="D487" s="1028"/>
      <c r="E487" s="1028"/>
      <c r="F487" s="91">
        <v>2</v>
      </c>
      <c r="G487" s="91"/>
      <c r="H487" s="91"/>
      <c r="I487" s="91">
        <v>3.56</v>
      </c>
      <c r="J487" s="91"/>
      <c r="K487" s="664">
        <f>F487*I487</f>
        <v>7.12</v>
      </c>
      <c r="L487" s="90"/>
    </row>
    <row r="488" spans="2:12" hidden="1">
      <c r="B488" s="663"/>
      <c r="C488" s="984" t="s">
        <v>181</v>
      </c>
      <c r="D488" s="985"/>
      <c r="E488" s="986"/>
      <c r="F488" s="91">
        <v>2</v>
      </c>
      <c r="G488" s="91"/>
      <c r="H488" s="91"/>
      <c r="I488" s="91">
        <v>3.16</v>
      </c>
      <c r="J488" s="91"/>
      <c r="K488" s="664">
        <f>F488*I488</f>
        <v>6.32</v>
      </c>
      <c r="L488" s="90"/>
    </row>
    <row r="489" spans="2:12" hidden="1">
      <c r="B489" s="663"/>
      <c r="C489" s="984" t="s">
        <v>182</v>
      </c>
      <c r="D489" s="985"/>
      <c r="E489" s="986"/>
      <c r="F489" s="91">
        <v>2</v>
      </c>
      <c r="G489" s="91"/>
      <c r="H489" s="91"/>
      <c r="I489" s="91">
        <v>2.83</v>
      </c>
      <c r="J489" s="91"/>
      <c r="K489" s="664">
        <f>F489*I489</f>
        <v>5.66</v>
      </c>
      <c r="L489" s="90"/>
    </row>
    <row r="490" spans="2:12" hidden="1">
      <c r="B490" s="663"/>
      <c r="C490" s="987" t="s">
        <v>116</v>
      </c>
      <c r="D490" s="987"/>
      <c r="E490" s="987"/>
      <c r="F490" s="987"/>
      <c r="G490" s="987"/>
      <c r="H490" s="987"/>
      <c r="I490" s="987"/>
      <c r="J490" s="987"/>
      <c r="K490" s="89">
        <f>SUM(K487:K489)</f>
        <v>19.100000000000001</v>
      </c>
      <c r="L490" s="90"/>
    </row>
    <row r="491" spans="2:12" hidden="1">
      <c r="B491" s="663"/>
      <c r="C491" s="211"/>
      <c r="D491" s="211"/>
      <c r="E491" s="211"/>
      <c r="F491" s="211"/>
      <c r="G491" s="211"/>
      <c r="H491" s="211"/>
      <c r="I491" s="211"/>
      <c r="J491" s="211"/>
      <c r="K491" s="212"/>
      <c r="L491" s="90"/>
    </row>
    <row r="492" spans="2:12" ht="15" hidden="1" customHeight="1">
      <c r="B492" s="85" t="str">
        <f>'[6]PLANILHA ORÇAMENTÁRIA'!D128</f>
        <v>14.2.5</v>
      </c>
      <c r="C492" s="1032" t="str">
        <f>'[6]PLANILHA ORÇAMENTÁRIA'!E128</f>
        <v>PINTURA ESMALTE ALTO BRILHO, DUAS DEMAOS, SOBRE SUPERFICIE METALICA</v>
      </c>
      <c r="D492" s="1032"/>
      <c r="E492" s="1032"/>
      <c r="F492" s="1032"/>
      <c r="G492" s="1032"/>
      <c r="H492" s="1032"/>
      <c r="I492" s="1032"/>
      <c r="J492" s="1032"/>
      <c r="K492" s="294" t="str">
        <f>'[6]PLANILHA ORÇAMENTÁRIA'!F128</f>
        <v>M2</v>
      </c>
      <c r="L492" s="295">
        <f>K497</f>
        <v>2.13</v>
      </c>
    </row>
    <row r="493" spans="2:12" hidden="1">
      <c r="B493" s="663"/>
      <c r="C493" s="983" t="s">
        <v>20</v>
      </c>
      <c r="D493" s="983"/>
      <c r="E493" s="983"/>
      <c r="F493" s="87" t="s">
        <v>22</v>
      </c>
      <c r="G493" s="656" t="s">
        <v>111</v>
      </c>
      <c r="H493" s="87" t="s">
        <v>178</v>
      </c>
      <c r="I493" s="656" t="s">
        <v>113</v>
      </c>
      <c r="J493" s="656" t="s">
        <v>114</v>
      </c>
      <c r="K493" s="89" t="s">
        <v>25</v>
      </c>
      <c r="L493" s="90"/>
    </row>
    <row r="494" spans="2:12" hidden="1">
      <c r="B494" s="663"/>
      <c r="C494" s="1028" t="s">
        <v>180</v>
      </c>
      <c r="D494" s="1028"/>
      <c r="E494" s="1028"/>
      <c r="F494" s="91">
        <v>2</v>
      </c>
      <c r="G494" s="91"/>
      <c r="H494" s="300">
        <v>2.5000000000000001E-2</v>
      </c>
      <c r="I494" s="91">
        <f>I487-0.9</f>
        <v>2.66</v>
      </c>
      <c r="J494" s="91"/>
      <c r="K494" s="664">
        <f>TRUNC((2*3.14*H494*I494)*F494,2)</f>
        <v>0.83</v>
      </c>
      <c r="L494" s="90"/>
    </row>
    <row r="495" spans="2:12" hidden="1">
      <c r="B495" s="663"/>
      <c r="C495" s="984" t="s">
        <v>181</v>
      </c>
      <c r="D495" s="985"/>
      <c r="E495" s="986"/>
      <c r="F495" s="91">
        <v>2</v>
      </c>
      <c r="G495" s="91"/>
      <c r="H495" s="300">
        <v>2.5000000000000001E-2</v>
      </c>
      <c r="I495" s="91">
        <f>I488-0.9</f>
        <v>2.2600000000000002</v>
      </c>
      <c r="J495" s="91"/>
      <c r="K495" s="664">
        <f>TRUNC((2*3.14*H495*I495)*F495,2)</f>
        <v>0.7</v>
      </c>
      <c r="L495" s="90"/>
    </row>
    <row r="496" spans="2:12" hidden="1">
      <c r="B496" s="663"/>
      <c r="C496" s="984" t="s">
        <v>182</v>
      </c>
      <c r="D496" s="985"/>
      <c r="E496" s="986"/>
      <c r="F496" s="91">
        <v>2</v>
      </c>
      <c r="G496" s="91"/>
      <c r="H496" s="300">
        <v>2.5000000000000001E-2</v>
      </c>
      <c r="I496" s="91">
        <f>I489-0.9</f>
        <v>1.9300000000000002</v>
      </c>
      <c r="J496" s="91"/>
      <c r="K496" s="664">
        <f>TRUNC((2*3.14*H496*I496)*F496,2)</f>
        <v>0.6</v>
      </c>
      <c r="L496" s="90"/>
    </row>
    <row r="497" spans="2:12" hidden="1">
      <c r="B497" s="663"/>
      <c r="C497" s="987" t="s">
        <v>116</v>
      </c>
      <c r="D497" s="987"/>
      <c r="E497" s="987"/>
      <c r="F497" s="987"/>
      <c r="G497" s="987"/>
      <c r="H497" s="987"/>
      <c r="I497" s="987"/>
      <c r="J497" s="987"/>
      <c r="K497" s="89">
        <f>SUM(K494:K496)</f>
        <v>2.13</v>
      </c>
      <c r="L497" s="90"/>
    </row>
    <row r="498" spans="2:12" hidden="1">
      <c r="B498" s="219"/>
      <c r="C498" s="219"/>
      <c r="D498" s="219"/>
      <c r="E498" s="219"/>
      <c r="F498" s="219"/>
      <c r="G498" s="219"/>
      <c r="H498" s="219"/>
      <c r="I498" s="219"/>
      <c r="J498" s="219"/>
      <c r="K498" s="219"/>
      <c r="L498" s="219"/>
    </row>
    <row r="499" spans="2:12" hidden="1">
      <c r="B499" s="292" t="str">
        <f>'[6]PLANILHA ORÇAMENTÁRIA'!D129</f>
        <v>14.3</v>
      </c>
      <c r="C499" s="1093" t="str">
        <f>'[6]PLANILHA ORÇAMENTÁRIA'!E129</f>
        <v>BARRA HORIZONTAL TRIPLA</v>
      </c>
      <c r="D499" s="1093"/>
      <c r="E499" s="1093"/>
      <c r="F499" s="1093"/>
      <c r="G499" s="1093"/>
      <c r="H499" s="1093"/>
      <c r="I499" s="1093"/>
      <c r="J499" s="1093"/>
      <c r="K499" s="293"/>
      <c r="L499" s="293"/>
    </row>
    <row r="500" spans="2:12" ht="15" hidden="1" customHeight="1">
      <c r="B500" s="85" t="str">
        <f>'[6]PLANILHA ORÇAMENTÁRIA'!D130</f>
        <v>14.3.1</v>
      </c>
      <c r="C500" s="1032" t="str">
        <f>'[6]PLANILHA ORÇAMENTÁRIA'!E130</f>
        <v>ESCAVAÇÃO MANUAL DE VALA COM PROFUNDIDADE MENOR OU IGUAL A 1,30 M</v>
      </c>
      <c r="D500" s="1032"/>
      <c r="E500" s="1032"/>
      <c r="F500" s="1032"/>
      <c r="G500" s="1032"/>
      <c r="H500" s="1032"/>
      <c r="I500" s="1032"/>
      <c r="J500" s="1032"/>
      <c r="K500" s="294" t="str">
        <f>'[6]PLANILHA ORÇAMENTÁRIA'!F130</f>
        <v>M3</v>
      </c>
      <c r="L500" s="295">
        <f>K505</f>
        <v>7.5374999999999998E-2</v>
      </c>
    </row>
    <row r="501" spans="2:12" hidden="1">
      <c r="B501" s="663"/>
      <c r="C501" s="983" t="s">
        <v>20</v>
      </c>
      <c r="D501" s="983"/>
      <c r="E501" s="983"/>
      <c r="F501" s="87" t="s">
        <v>22</v>
      </c>
      <c r="G501" s="656" t="s">
        <v>111</v>
      </c>
      <c r="H501" s="87" t="s">
        <v>112</v>
      </c>
      <c r="I501" s="656" t="s">
        <v>113</v>
      </c>
      <c r="J501" s="656" t="s">
        <v>114</v>
      </c>
      <c r="K501" s="89" t="s">
        <v>25</v>
      </c>
      <c r="L501" s="90"/>
    </row>
    <row r="502" spans="2:12" hidden="1">
      <c r="B502" s="663"/>
      <c r="C502" s="1028" t="s">
        <v>183</v>
      </c>
      <c r="D502" s="1028"/>
      <c r="E502" s="1028"/>
      <c r="F502" s="91">
        <v>2</v>
      </c>
      <c r="G502" s="91">
        <v>0.9</v>
      </c>
      <c r="H502" s="91">
        <v>0.15</v>
      </c>
      <c r="I502" s="91">
        <v>0.15</v>
      </c>
      <c r="J502" s="91"/>
      <c r="K502" s="296">
        <f>PRODUCT(F502:I502)</f>
        <v>4.0500000000000001E-2</v>
      </c>
      <c r="L502" s="90"/>
    </row>
    <row r="503" spans="2:12" hidden="1">
      <c r="B503" s="663"/>
      <c r="C503" s="1028" t="s">
        <v>184</v>
      </c>
      <c r="D503" s="1028"/>
      <c r="E503" s="1028"/>
      <c r="F503" s="91">
        <v>1</v>
      </c>
      <c r="G503" s="91">
        <v>0.8</v>
      </c>
      <c r="H503" s="91">
        <v>0.15</v>
      </c>
      <c r="I503" s="91">
        <v>0.15</v>
      </c>
      <c r="J503" s="91"/>
      <c r="K503" s="296">
        <f>PRODUCT(F503:I503)</f>
        <v>1.7999999999999999E-2</v>
      </c>
      <c r="L503" s="90"/>
    </row>
    <row r="504" spans="2:12" hidden="1">
      <c r="B504" s="663"/>
      <c r="C504" s="1028" t="s">
        <v>185</v>
      </c>
      <c r="D504" s="1028"/>
      <c r="E504" s="1028"/>
      <c r="F504" s="91">
        <v>1</v>
      </c>
      <c r="G504" s="91">
        <v>0.75</v>
      </c>
      <c r="H504" s="91">
        <v>0.15</v>
      </c>
      <c r="I504" s="91">
        <v>0.15</v>
      </c>
      <c r="J504" s="91"/>
      <c r="K504" s="296">
        <f>PRODUCT(F504:I504)</f>
        <v>1.6874999999999998E-2</v>
      </c>
      <c r="L504" s="90"/>
    </row>
    <row r="505" spans="2:12" hidden="1">
      <c r="B505" s="663"/>
      <c r="C505" s="987" t="s">
        <v>116</v>
      </c>
      <c r="D505" s="987"/>
      <c r="E505" s="987"/>
      <c r="F505" s="987"/>
      <c r="G505" s="987"/>
      <c r="H505" s="987"/>
      <c r="I505" s="987"/>
      <c r="J505" s="987"/>
      <c r="K505" s="298">
        <f>SUM(K502:K504)</f>
        <v>7.5374999999999998E-2</v>
      </c>
      <c r="L505" s="90"/>
    </row>
    <row r="506" spans="2:12" hidden="1">
      <c r="B506" s="663"/>
      <c r="C506" s="211"/>
      <c r="D506" s="211"/>
      <c r="E506" s="211"/>
      <c r="F506" s="211"/>
      <c r="G506" s="211"/>
      <c r="H506" s="211"/>
      <c r="I506" s="211"/>
      <c r="J506" s="211"/>
      <c r="K506" s="299"/>
      <c r="L506" s="90"/>
    </row>
    <row r="507" spans="2:12" ht="15" hidden="1" customHeight="1">
      <c r="B507" s="85" t="str">
        <f>'[6]PLANILHA ORÇAMENTÁRIA'!D131</f>
        <v>14.3.2</v>
      </c>
      <c r="C507" s="1032" t="str">
        <f>'[6]PLANILHA ORÇAMENTÁRIA'!E131</f>
        <v>LASTRO DE CONCRETO MAGRO, APLICADO EM PISOS OU RADIERS, ESPESSURA DE 5CM. AF_07_2016</v>
      </c>
      <c r="D507" s="1032"/>
      <c r="E507" s="1032"/>
      <c r="F507" s="1032"/>
      <c r="G507" s="1032"/>
      <c r="H507" s="1032"/>
      <c r="I507" s="1032"/>
      <c r="J507" s="1032"/>
      <c r="K507" s="294" t="str">
        <f>'[6]PLANILHA ORÇAMENTÁRIA'!F131</f>
        <v>M2</v>
      </c>
      <c r="L507" s="295">
        <f>K510</f>
        <v>0.09</v>
      </c>
    </row>
    <row r="508" spans="2:12" hidden="1">
      <c r="B508" s="663"/>
      <c r="C508" s="983" t="s">
        <v>20</v>
      </c>
      <c r="D508" s="983"/>
      <c r="E508" s="983"/>
      <c r="F508" s="87" t="s">
        <v>22</v>
      </c>
      <c r="G508" s="656" t="s">
        <v>111</v>
      </c>
      <c r="H508" s="87" t="s">
        <v>112</v>
      </c>
      <c r="I508" s="656" t="s">
        <v>113</v>
      </c>
      <c r="J508" s="656" t="s">
        <v>114</v>
      </c>
      <c r="K508" s="89" t="s">
        <v>25</v>
      </c>
      <c r="L508" s="90"/>
    </row>
    <row r="509" spans="2:12" hidden="1">
      <c r="B509" s="663"/>
      <c r="C509" s="1028"/>
      <c r="D509" s="1028"/>
      <c r="E509" s="1028"/>
      <c r="F509" s="91">
        <v>4</v>
      </c>
      <c r="G509" s="91"/>
      <c r="H509" s="91">
        <v>0.15</v>
      </c>
      <c r="I509" s="91">
        <v>0.15</v>
      </c>
      <c r="J509" s="91"/>
      <c r="K509" s="296">
        <f>PRODUCT(F509:I509)</f>
        <v>0.09</v>
      </c>
      <c r="L509" s="90"/>
    </row>
    <row r="510" spans="2:12" hidden="1">
      <c r="B510" s="663"/>
      <c r="C510" s="987" t="s">
        <v>116</v>
      </c>
      <c r="D510" s="987"/>
      <c r="E510" s="987"/>
      <c r="F510" s="987"/>
      <c r="G510" s="987"/>
      <c r="H510" s="987"/>
      <c r="I510" s="987"/>
      <c r="J510" s="987"/>
      <c r="K510" s="298">
        <f>SUM(K509:K509)</f>
        <v>0.09</v>
      </c>
      <c r="L510" s="90"/>
    </row>
    <row r="511" spans="2:12" hidden="1">
      <c r="B511" s="663"/>
      <c r="C511" s="211"/>
      <c r="D511" s="211"/>
      <c r="E511" s="211"/>
      <c r="F511" s="211"/>
      <c r="G511" s="211"/>
      <c r="H511" s="211"/>
      <c r="I511" s="211"/>
      <c r="J511" s="211"/>
      <c r="K511" s="299"/>
      <c r="L511" s="90"/>
    </row>
    <row r="512" spans="2:12" ht="27" hidden="1" customHeight="1">
      <c r="B512" s="85" t="str">
        <f>'[6]PLANILHA ORÇAMENTÁRIA'!D132</f>
        <v>14.3.3</v>
      </c>
      <c r="C512" s="1032" t="str">
        <f>'[6]PLANILHA ORÇAMENTÁRIA'!E132</f>
        <v>CONCRETAGEM DE BLOCOS DE COROAMENTO E VIGAS BALDRAMES, FCK 30 MPA, COM USO DE BOMBA LANÇAMENTO, ADENSAMENTO E ACABAMENTO. AF_06/2017</v>
      </c>
      <c r="D512" s="1032"/>
      <c r="E512" s="1032"/>
      <c r="F512" s="1032"/>
      <c r="G512" s="1032"/>
      <c r="H512" s="1032"/>
      <c r="I512" s="1032"/>
      <c r="J512" s="1032"/>
      <c r="K512" s="294" t="str">
        <f>'[6]PLANILHA ORÇAMENTÁRIA'!F132</f>
        <v>M3</v>
      </c>
      <c r="L512" s="295">
        <f>K517</f>
        <v>0.05</v>
      </c>
    </row>
    <row r="513" spans="2:12" hidden="1">
      <c r="B513" s="663"/>
      <c r="C513" s="983" t="s">
        <v>20</v>
      </c>
      <c r="D513" s="983"/>
      <c r="E513" s="983"/>
      <c r="F513" s="87" t="s">
        <v>22</v>
      </c>
      <c r="G513" s="656" t="s">
        <v>111</v>
      </c>
      <c r="H513" s="87" t="s">
        <v>112</v>
      </c>
      <c r="I513" s="656" t="s">
        <v>113</v>
      </c>
      <c r="J513" s="656" t="s">
        <v>114</v>
      </c>
      <c r="K513" s="89" t="s">
        <v>25</v>
      </c>
      <c r="L513" s="90"/>
    </row>
    <row r="514" spans="2:12" hidden="1">
      <c r="B514" s="663"/>
      <c r="C514" s="1028" t="s">
        <v>186</v>
      </c>
      <c r="D514" s="1028"/>
      <c r="E514" s="1028"/>
      <c r="F514" s="91">
        <v>2</v>
      </c>
      <c r="G514" s="91">
        <v>0.75</v>
      </c>
      <c r="H514" s="91">
        <v>0.15</v>
      </c>
      <c r="I514" s="91">
        <v>0.15</v>
      </c>
      <c r="J514" s="91"/>
      <c r="K514" s="664">
        <f>TRUNC(G514*H514*F514*I514,2)</f>
        <v>0.03</v>
      </c>
      <c r="L514" s="90"/>
    </row>
    <row r="515" spans="2:12" hidden="1">
      <c r="B515" s="663"/>
      <c r="C515" s="1028" t="s">
        <v>187</v>
      </c>
      <c r="D515" s="1028"/>
      <c r="E515" s="1028"/>
      <c r="F515" s="91">
        <v>1</v>
      </c>
      <c r="G515" s="91">
        <v>0.65</v>
      </c>
      <c r="H515" s="91">
        <v>0.15</v>
      </c>
      <c r="I515" s="91">
        <v>0.15</v>
      </c>
      <c r="J515" s="91"/>
      <c r="K515" s="664">
        <f>TRUNC(G515*H515*F515*I515,2)</f>
        <v>0.01</v>
      </c>
      <c r="L515" s="90"/>
    </row>
    <row r="516" spans="2:12" hidden="1">
      <c r="B516" s="663"/>
      <c r="C516" s="1028" t="s">
        <v>188</v>
      </c>
      <c r="D516" s="1028"/>
      <c r="E516" s="1028"/>
      <c r="F516" s="91">
        <v>1</v>
      </c>
      <c r="G516" s="91">
        <v>0.6</v>
      </c>
      <c r="H516" s="91">
        <v>0.15</v>
      </c>
      <c r="I516" s="91">
        <v>0.15</v>
      </c>
      <c r="J516" s="91"/>
      <c r="K516" s="664">
        <f>TRUNC(G516*H516*F516*I516,2)</f>
        <v>0.01</v>
      </c>
      <c r="L516" s="90"/>
    </row>
    <row r="517" spans="2:12" hidden="1">
      <c r="B517" s="663"/>
      <c r="C517" s="987" t="s">
        <v>116</v>
      </c>
      <c r="D517" s="987"/>
      <c r="E517" s="987"/>
      <c r="F517" s="987"/>
      <c r="G517" s="987"/>
      <c r="H517" s="987"/>
      <c r="I517" s="987"/>
      <c r="J517" s="987"/>
      <c r="K517" s="89">
        <f>SUM(K514:K516)</f>
        <v>0.05</v>
      </c>
      <c r="L517" s="90"/>
    </row>
    <row r="518" spans="2:12" hidden="1">
      <c r="B518" s="219"/>
      <c r="C518" s="219"/>
      <c r="D518" s="219"/>
      <c r="E518" s="219"/>
      <c r="F518" s="219"/>
      <c r="G518" s="219"/>
      <c r="H518" s="219"/>
      <c r="I518" s="219"/>
      <c r="J518" s="219"/>
      <c r="K518" s="219"/>
      <c r="L518" s="219"/>
    </row>
    <row r="519" spans="2:12" ht="15" hidden="1" customHeight="1">
      <c r="B519" s="85" t="str">
        <f>'[6]PLANILHA ORÇAMENTÁRIA'!D133</f>
        <v>14.3.4</v>
      </c>
      <c r="C519" s="1032" t="str">
        <f>'[6]PLANILHA ORÇAMENTÁRIA'!E133</f>
        <v>TUBO DE AÇO GALVANIZADO COM COSTURA 2" - FORNECIMENTO E INSTALACAO. - M</v>
      </c>
      <c r="D519" s="1032"/>
      <c r="E519" s="1032"/>
      <c r="F519" s="1032"/>
      <c r="G519" s="1032"/>
      <c r="H519" s="1032"/>
      <c r="I519" s="1032"/>
      <c r="J519" s="1032"/>
      <c r="K519" s="294" t="str">
        <f>'[6]PLANILHA ORÇAMENTÁRIA'!F133</f>
        <v>M</v>
      </c>
      <c r="L519" s="295">
        <f>K523</f>
        <v>13.2</v>
      </c>
    </row>
    <row r="520" spans="2:12" hidden="1">
      <c r="B520" s="663"/>
      <c r="C520" s="983" t="s">
        <v>20</v>
      </c>
      <c r="D520" s="983"/>
      <c r="E520" s="983"/>
      <c r="F520" s="87" t="s">
        <v>22</v>
      </c>
      <c r="G520" s="656" t="s">
        <v>111</v>
      </c>
      <c r="H520" s="87" t="s">
        <v>112</v>
      </c>
      <c r="I520" s="656" t="s">
        <v>113</v>
      </c>
      <c r="J520" s="656" t="s">
        <v>114</v>
      </c>
      <c r="K520" s="89" t="s">
        <v>25</v>
      </c>
      <c r="L520" s="90"/>
    </row>
    <row r="521" spans="2:12" hidden="1">
      <c r="B521" s="663"/>
      <c r="C521" s="1028" t="s">
        <v>189</v>
      </c>
      <c r="D521" s="1028"/>
      <c r="E521" s="1028"/>
      <c r="F521" s="91">
        <v>1</v>
      </c>
      <c r="G521" s="91"/>
      <c r="H521" s="91"/>
      <c r="I521" s="91">
        <v>10.199999999999999</v>
      </c>
      <c r="J521" s="91"/>
      <c r="K521" s="664">
        <f>F521*I521</f>
        <v>10.199999999999999</v>
      </c>
      <c r="L521" s="90"/>
    </row>
    <row r="522" spans="2:12" hidden="1">
      <c r="B522" s="663"/>
      <c r="C522" s="984" t="s">
        <v>190</v>
      </c>
      <c r="D522" s="985"/>
      <c r="E522" s="986"/>
      <c r="F522" s="91">
        <v>3</v>
      </c>
      <c r="G522" s="91"/>
      <c r="H522" s="91"/>
      <c r="I522" s="91">
        <v>1</v>
      </c>
      <c r="J522" s="91"/>
      <c r="K522" s="664">
        <f>F522*I522</f>
        <v>3</v>
      </c>
      <c r="L522" s="90"/>
    </row>
    <row r="523" spans="2:12" hidden="1">
      <c r="B523" s="663"/>
      <c r="C523" s="987" t="s">
        <v>116</v>
      </c>
      <c r="D523" s="987"/>
      <c r="E523" s="987"/>
      <c r="F523" s="987"/>
      <c r="G523" s="987"/>
      <c r="H523" s="987"/>
      <c r="I523" s="987"/>
      <c r="J523" s="987"/>
      <c r="K523" s="89">
        <f>SUM(K521:K522)</f>
        <v>13.2</v>
      </c>
      <c r="L523" s="90"/>
    </row>
    <row r="524" spans="2:12" hidden="1">
      <c r="B524" s="663"/>
      <c r="C524" s="211"/>
      <c r="D524" s="211"/>
      <c r="E524" s="211"/>
      <c r="F524" s="211"/>
      <c r="G524" s="211"/>
      <c r="H524" s="211"/>
      <c r="I524" s="211"/>
      <c r="J524" s="211"/>
      <c r="K524" s="212"/>
      <c r="L524" s="90"/>
    </row>
    <row r="525" spans="2:12" ht="15" hidden="1" customHeight="1">
      <c r="B525" s="85" t="str">
        <f>'[6]PLANILHA ORÇAMENTÁRIA'!D134</f>
        <v>14.3.5</v>
      </c>
      <c r="C525" s="1032" t="str">
        <f>'[6]PLANILHA ORÇAMENTÁRIA'!E134</f>
        <v>PINTURA ESMALTE ALTO BRILHO, DUAS DEMAOS, SOBRE SUPERFICIE METALICA</v>
      </c>
      <c r="D525" s="1032"/>
      <c r="E525" s="1032"/>
      <c r="F525" s="1032"/>
      <c r="G525" s="1032"/>
      <c r="H525" s="1032"/>
      <c r="I525" s="1032"/>
      <c r="J525" s="1032"/>
      <c r="K525" s="294" t="str">
        <f>'[6]PLANILHA ORÇAMENTÁRIA'!F134</f>
        <v>M2</v>
      </c>
      <c r="L525" s="295">
        <f>K529</f>
        <v>1.63</v>
      </c>
    </row>
    <row r="526" spans="2:12" hidden="1">
      <c r="B526" s="663"/>
      <c r="C526" s="983" t="s">
        <v>20</v>
      </c>
      <c r="D526" s="983"/>
      <c r="E526" s="983"/>
      <c r="F526" s="87" t="s">
        <v>22</v>
      </c>
      <c r="G526" s="656" t="s">
        <v>111</v>
      </c>
      <c r="H526" s="87" t="s">
        <v>178</v>
      </c>
      <c r="I526" s="656" t="s">
        <v>113</v>
      </c>
      <c r="J526" s="656" t="s">
        <v>114</v>
      </c>
      <c r="K526" s="89" t="s">
        <v>25</v>
      </c>
      <c r="L526" s="90"/>
    </row>
    <row r="527" spans="2:12" hidden="1">
      <c r="B527" s="663"/>
      <c r="C527" s="1028" t="s">
        <v>189</v>
      </c>
      <c r="D527" s="1028"/>
      <c r="E527" s="1028"/>
      <c r="F527" s="91">
        <v>1</v>
      </c>
      <c r="G527" s="91"/>
      <c r="H527" s="300">
        <v>2.5000000000000001E-2</v>
      </c>
      <c r="I527" s="91">
        <v>7.45</v>
      </c>
      <c r="J527" s="91"/>
      <c r="K527" s="664">
        <f>TRUNC((2*3.14*H527*I527)*F527,2)</f>
        <v>1.1599999999999999</v>
      </c>
      <c r="L527" s="90"/>
    </row>
    <row r="528" spans="2:12" hidden="1">
      <c r="B528" s="663"/>
      <c r="C528" s="984" t="s">
        <v>190</v>
      </c>
      <c r="D528" s="985"/>
      <c r="E528" s="986"/>
      <c r="F528" s="91">
        <v>3</v>
      </c>
      <c r="G528" s="91"/>
      <c r="H528" s="300">
        <v>2.5000000000000001E-2</v>
      </c>
      <c r="I528" s="91">
        <v>1</v>
      </c>
      <c r="J528" s="91"/>
      <c r="K528" s="664">
        <f>TRUNC((2*3.14*H528*I528)*F528,2)</f>
        <v>0.47</v>
      </c>
      <c r="L528" s="90"/>
    </row>
    <row r="529" spans="2:12" hidden="1">
      <c r="B529" s="663"/>
      <c r="C529" s="987" t="s">
        <v>116</v>
      </c>
      <c r="D529" s="987"/>
      <c r="E529" s="987"/>
      <c r="F529" s="987"/>
      <c r="G529" s="987"/>
      <c r="H529" s="987"/>
      <c r="I529" s="987"/>
      <c r="J529" s="987"/>
      <c r="K529" s="89">
        <f>SUM(K527:K528)</f>
        <v>1.63</v>
      </c>
      <c r="L529" s="90"/>
    </row>
    <row r="530" spans="2:12" hidden="1">
      <c r="B530" s="219"/>
      <c r="C530" s="219"/>
      <c r="D530" s="219"/>
      <c r="E530" s="219"/>
      <c r="F530" s="219"/>
      <c r="G530" s="219"/>
      <c r="H530" s="219"/>
      <c r="I530" s="219"/>
      <c r="J530" s="219"/>
      <c r="K530" s="219"/>
      <c r="L530" s="219"/>
    </row>
    <row r="531" spans="2:12" hidden="1">
      <c r="B531" s="292" t="str">
        <f>'[6]PLANILHA ORÇAMENTÁRIA'!D135</f>
        <v>14.4</v>
      </c>
      <c r="C531" s="1093" t="str">
        <f>'[6]PLANILHA ORÇAMENTÁRIA'!E135</f>
        <v>ESPALDAR SIMPLES</v>
      </c>
      <c r="D531" s="1093"/>
      <c r="E531" s="1093"/>
      <c r="F531" s="1093"/>
      <c r="G531" s="1093"/>
      <c r="H531" s="1093"/>
      <c r="I531" s="1093"/>
      <c r="J531" s="1093"/>
      <c r="K531" s="293"/>
      <c r="L531" s="293"/>
    </row>
    <row r="532" spans="2:12" ht="15" hidden="1" customHeight="1">
      <c r="B532" s="85" t="str">
        <f>'[6]PLANILHA ORÇAMENTÁRIA'!D136</f>
        <v>14.4.1</v>
      </c>
      <c r="C532" s="1032" t="str">
        <f>'[6]PLANILHA ORÇAMENTÁRIA'!E136</f>
        <v>ESCAVAÇÃO MANUAL DE VALA COM PROFUNDIDADE MENOR OU IGUAL A 1,30 M</v>
      </c>
      <c r="D532" s="1032"/>
      <c r="E532" s="1032"/>
      <c r="F532" s="1032"/>
      <c r="G532" s="1032"/>
      <c r="H532" s="1032"/>
      <c r="I532" s="1032"/>
      <c r="J532" s="1032"/>
      <c r="K532" s="294" t="str">
        <f>'[6]PLANILHA ORÇAMENTÁRIA'!F136</f>
        <v>M3</v>
      </c>
      <c r="L532" s="295">
        <f>K535</f>
        <v>3.5999999999999997E-2</v>
      </c>
    </row>
    <row r="533" spans="2:12" hidden="1">
      <c r="B533" s="663"/>
      <c r="C533" s="983" t="s">
        <v>20</v>
      </c>
      <c r="D533" s="983"/>
      <c r="E533" s="983"/>
      <c r="F533" s="87" t="s">
        <v>22</v>
      </c>
      <c r="G533" s="656" t="s">
        <v>111</v>
      </c>
      <c r="H533" s="87" t="s">
        <v>112</v>
      </c>
      <c r="I533" s="656" t="s">
        <v>113</v>
      </c>
      <c r="J533" s="656" t="s">
        <v>114</v>
      </c>
      <c r="K533" s="89" t="s">
        <v>25</v>
      </c>
      <c r="L533" s="90"/>
    </row>
    <row r="534" spans="2:12" hidden="1">
      <c r="B534" s="663"/>
      <c r="C534" s="1028" t="s">
        <v>174</v>
      </c>
      <c r="D534" s="1028"/>
      <c r="E534" s="1028"/>
      <c r="F534" s="91">
        <v>2</v>
      </c>
      <c r="G534" s="91">
        <v>0.8</v>
      </c>
      <c r="H534" s="91">
        <v>0.15</v>
      </c>
      <c r="I534" s="91">
        <v>0.15</v>
      </c>
      <c r="J534" s="91"/>
      <c r="K534" s="296">
        <f>PRODUCT(F534:I534)</f>
        <v>3.5999999999999997E-2</v>
      </c>
      <c r="L534" s="90"/>
    </row>
    <row r="535" spans="2:12" hidden="1">
      <c r="B535" s="663"/>
      <c r="C535" s="987" t="s">
        <v>116</v>
      </c>
      <c r="D535" s="987"/>
      <c r="E535" s="987"/>
      <c r="F535" s="987"/>
      <c r="G535" s="987"/>
      <c r="H535" s="987"/>
      <c r="I535" s="987"/>
      <c r="J535" s="987"/>
      <c r="K535" s="298">
        <f>SUM(K534:K534)</f>
        <v>3.5999999999999997E-2</v>
      </c>
      <c r="L535" s="90"/>
    </row>
    <row r="536" spans="2:12" hidden="1">
      <c r="B536" s="663"/>
      <c r="C536" s="211"/>
      <c r="D536" s="211"/>
      <c r="E536" s="211"/>
      <c r="F536" s="211"/>
      <c r="G536" s="211"/>
      <c r="H536" s="211"/>
      <c r="I536" s="211"/>
      <c r="J536" s="211"/>
      <c r="K536" s="299"/>
      <c r="L536" s="90"/>
    </row>
    <row r="537" spans="2:12" ht="15" hidden="1" customHeight="1">
      <c r="B537" s="85" t="str">
        <f>'[6]PLANILHA ORÇAMENTÁRIA'!D137</f>
        <v>14.4.2</v>
      </c>
      <c r="C537" s="1032" t="str">
        <f>'[6]PLANILHA ORÇAMENTÁRIA'!E137</f>
        <v>LASTRO DE CONCRETO MAGRO, APLICADO EM PISOS OU RADIERS, ESPESSURA DE 5CM. AF_07_2016</v>
      </c>
      <c r="D537" s="1032"/>
      <c r="E537" s="1032"/>
      <c r="F537" s="1032"/>
      <c r="G537" s="1032"/>
      <c r="H537" s="1032"/>
      <c r="I537" s="1032"/>
      <c r="J537" s="1032"/>
      <c r="K537" s="294" t="str">
        <f>'[6]PLANILHA ORÇAMENTÁRIA'!F137</f>
        <v>M2</v>
      </c>
      <c r="L537" s="295">
        <f>K540</f>
        <v>4.4999999999999998E-2</v>
      </c>
    </row>
    <row r="538" spans="2:12" hidden="1">
      <c r="B538" s="663"/>
      <c r="C538" s="983" t="s">
        <v>20</v>
      </c>
      <c r="D538" s="983"/>
      <c r="E538" s="983"/>
      <c r="F538" s="87" t="s">
        <v>22</v>
      </c>
      <c r="G538" s="656" t="s">
        <v>111</v>
      </c>
      <c r="H538" s="87" t="s">
        <v>112</v>
      </c>
      <c r="I538" s="656" t="s">
        <v>113</v>
      </c>
      <c r="J538" s="656" t="s">
        <v>114</v>
      </c>
      <c r="K538" s="89" t="s">
        <v>25</v>
      </c>
      <c r="L538" s="90"/>
    </row>
    <row r="539" spans="2:12" hidden="1">
      <c r="B539" s="663"/>
      <c r="C539" s="1028"/>
      <c r="D539" s="1028"/>
      <c r="E539" s="1028"/>
      <c r="F539" s="91">
        <v>2</v>
      </c>
      <c r="G539" s="91"/>
      <c r="H539" s="91">
        <v>0.15</v>
      </c>
      <c r="I539" s="91">
        <v>0.15</v>
      </c>
      <c r="J539" s="91"/>
      <c r="K539" s="296">
        <f>PRODUCT(F539:I539)</f>
        <v>4.4999999999999998E-2</v>
      </c>
      <c r="L539" s="90"/>
    </row>
    <row r="540" spans="2:12" hidden="1">
      <c r="B540" s="663"/>
      <c r="C540" s="987" t="s">
        <v>116</v>
      </c>
      <c r="D540" s="987"/>
      <c r="E540" s="987"/>
      <c r="F540" s="987"/>
      <c r="G540" s="987"/>
      <c r="H540" s="987"/>
      <c r="I540" s="987"/>
      <c r="J540" s="987"/>
      <c r="K540" s="298">
        <f>SUM(K539:K539)</f>
        <v>4.4999999999999998E-2</v>
      </c>
      <c r="L540" s="90"/>
    </row>
    <row r="541" spans="2:12" hidden="1">
      <c r="B541" s="663"/>
      <c r="C541" s="211"/>
      <c r="D541" s="211"/>
      <c r="E541" s="211"/>
      <c r="F541" s="211"/>
      <c r="G541" s="211"/>
      <c r="H541" s="211"/>
      <c r="I541" s="211"/>
      <c r="J541" s="211"/>
      <c r="K541" s="299"/>
      <c r="L541" s="90"/>
    </row>
    <row r="542" spans="2:12" ht="21.75" hidden="1" customHeight="1">
      <c r="B542" s="85" t="str">
        <f>'[6]PLANILHA ORÇAMENTÁRIA'!D138</f>
        <v>14.4.3</v>
      </c>
      <c r="C542" s="1032" t="str">
        <f>'[6]PLANILHA ORÇAMENTÁRIA'!E138</f>
        <v>CONCRETAGEM DE BLOCOS DE COROAMENTO E VIGAS BALDRAMES, FCK 30 MPA, COM USO DE BOMBA LANÇAMENTO, ADENSAMENTO E ACABAMENTO. AF_06/2017</v>
      </c>
      <c r="D542" s="1032"/>
      <c r="E542" s="1032"/>
      <c r="F542" s="1032"/>
      <c r="G542" s="1032"/>
      <c r="H542" s="1032"/>
      <c r="I542" s="1032"/>
      <c r="J542" s="1032"/>
      <c r="K542" s="294" t="str">
        <f>'[6]PLANILHA ORÇAMENTÁRIA'!F138</f>
        <v>M3</v>
      </c>
      <c r="L542" s="295">
        <f>K545</f>
        <v>0.02</v>
      </c>
    </row>
    <row r="543" spans="2:12" hidden="1">
      <c r="B543" s="663"/>
      <c r="C543" s="983" t="s">
        <v>20</v>
      </c>
      <c r="D543" s="983"/>
      <c r="E543" s="983"/>
      <c r="F543" s="87" t="s">
        <v>22</v>
      </c>
      <c r="G543" s="656" t="s">
        <v>111</v>
      </c>
      <c r="H543" s="87" t="s">
        <v>112</v>
      </c>
      <c r="I543" s="656" t="s">
        <v>113</v>
      </c>
      <c r="J543" s="656" t="s">
        <v>114</v>
      </c>
      <c r="K543" s="89" t="s">
        <v>25</v>
      </c>
      <c r="L543" s="90"/>
    </row>
    <row r="544" spans="2:12" hidden="1">
      <c r="B544" s="663"/>
      <c r="C544" s="1028" t="s">
        <v>191</v>
      </c>
      <c r="D544" s="1028"/>
      <c r="E544" s="1028"/>
      <c r="F544" s="91">
        <v>2</v>
      </c>
      <c r="G544" s="91">
        <v>0.65</v>
      </c>
      <c r="H544" s="91">
        <v>0.15</v>
      </c>
      <c r="I544" s="91">
        <v>0.15</v>
      </c>
      <c r="J544" s="91"/>
      <c r="K544" s="664">
        <f>TRUNC(G544*H544*F544*I544,2)</f>
        <v>0.02</v>
      </c>
      <c r="L544" s="90"/>
    </row>
    <row r="545" spans="2:12" hidden="1">
      <c r="B545" s="663"/>
      <c r="C545" s="987" t="s">
        <v>116</v>
      </c>
      <c r="D545" s="987"/>
      <c r="E545" s="987"/>
      <c r="F545" s="987"/>
      <c r="G545" s="987"/>
      <c r="H545" s="987"/>
      <c r="I545" s="987"/>
      <c r="J545" s="987"/>
      <c r="K545" s="89">
        <f>SUM(K544:K544)</f>
        <v>0.02</v>
      </c>
      <c r="L545" s="90"/>
    </row>
    <row r="546" spans="2:12" hidden="1">
      <c r="B546" s="219"/>
      <c r="C546" s="219"/>
      <c r="D546" s="219"/>
      <c r="E546" s="219"/>
      <c r="F546" s="219"/>
      <c r="G546" s="219"/>
      <c r="H546" s="219"/>
      <c r="I546" s="219"/>
      <c r="J546" s="219"/>
      <c r="K546" s="219"/>
      <c r="L546" s="219"/>
    </row>
    <row r="547" spans="2:12" ht="15" hidden="1" customHeight="1">
      <c r="B547" s="85" t="str">
        <f>'[6]PLANILHA ORÇAMENTÁRIA'!D139</f>
        <v>14.4.4</v>
      </c>
      <c r="C547" s="1032" t="str">
        <f>'[6]PLANILHA ORÇAMENTÁRIA'!E139</f>
        <v>TUBO DE AÇO GALVANIZADO COM COSTURA 2" - FORNECIMENTO E INSTALACAO. - M</v>
      </c>
      <c r="D547" s="1032"/>
      <c r="E547" s="1032"/>
      <c r="F547" s="1032"/>
      <c r="G547" s="1032"/>
      <c r="H547" s="1032"/>
      <c r="I547" s="1032"/>
      <c r="J547" s="1032"/>
      <c r="K547" s="294" t="str">
        <f>'[6]PLANILHA ORÇAMENTÁRIA'!F139</f>
        <v>M</v>
      </c>
      <c r="L547" s="295">
        <f>K551</f>
        <v>12.2</v>
      </c>
    </row>
    <row r="548" spans="2:12" hidden="1">
      <c r="B548" s="663"/>
      <c r="C548" s="983" t="s">
        <v>20</v>
      </c>
      <c r="D548" s="983"/>
      <c r="E548" s="983"/>
      <c r="F548" s="87" t="s">
        <v>22</v>
      </c>
      <c r="G548" s="656" t="s">
        <v>111</v>
      </c>
      <c r="H548" s="87" t="s">
        <v>112</v>
      </c>
      <c r="I548" s="656" t="s">
        <v>113</v>
      </c>
      <c r="J548" s="656" t="s">
        <v>114</v>
      </c>
      <c r="K548" s="89" t="s">
        <v>25</v>
      </c>
      <c r="L548" s="90"/>
    </row>
    <row r="549" spans="2:12" hidden="1">
      <c r="B549" s="663"/>
      <c r="C549" s="1028" t="s">
        <v>189</v>
      </c>
      <c r="D549" s="1028"/>
      <c r="E549" s="1028"/>
      <c r="F549" s="91">
        <v>2</v>
      </c>
      <c r="G549" s="91"/>
      <c r="H549" s="91"/>
      <c r="I549" s="91">
        <v>2.6</v>
      </c>
      <c r="J549" s="91"/>
      <c r="K549" s="664">
        <f>F549*I549</f>
        <v>5.2</v>
      </c>
      <c r="L549" s="90"/>
    </row>
    <row r="550" spans="2:12" hidden="1">
      <c r="B550" s="663"/>
      <c r="C550" s="984" t="s">
        <v>190</v>
      </c>
      <c r="D550" s="985"/>
      <c r="E550" s="986"/>
      <c r="F550" s="91">
        <v>7</v>
      </c>
      <c r="G550" s="91"/>
      <c r="H550" s="91"/>
      <c r="I550" s="91">
        <v>1</v>
      </c>
      <c r="J550" s="91"/>
      <c r="K550" s="664">
        <f>F550*I550</f>
        <v>7</v>
      </c>
      <c r="L550" s="90"/>
    </row>
    <row r="551" spans="2:12" hidden="1">
      <c r="B551" s="663"/>
      <c r="C551" s="987" t="s">
        <v>116</v>
      </c>
      <c r="D551" s="987"/>
      <c r="E551" s="987"/>
      <c r="F551" s="987"/>
      <c r="G551" s="987"/>
      <c r="H551" s="987"/>
      <c r="I551" s="987"/>
      <c r="J551" s="987"/>
      <c r="K551" s="89">
        <f>SUM(K549:K550)</f>
        <v>12.2</v>
      </c>
      <c r="L551" s="90"/>
    </row>
    <row r="552" spans="2:12" hidden="1">
      <c r="B552" s="663"/>
      <c r="C552" s="211"/>
      <c r="D552" s="211"/>
      <c r="E552" s="211"/>
      <c r="F552" s="211"/>
      <c r="G552" s="211"/>
      <c r="H552" s="211"/>
      <c r="I552" s="211"/>
      <c r="J552" s="211"/>
      <c r="K552" s="212"/>
      <c r="L552" s="90"/>
    </row>
    <row r="553" spans="2:12" ht="15" hidden="1" customHeight="1">
      <c r="B553" s="85" t="str">
        <f>'[6]PLANILHA ORÇAMENTÁRIA'!D140</f>
        <v>14.4.5</v>
      </c>
      <c r="C553" s="1032" t="str">
        <f>'[6]PLANILHA ORÇAMENTÁRIA'!E140</f>
        <v>PINTURA ESMALTE ALTO BRILHO, DUAS DEMAOS, SOBRE SUPERFICIE METALICA</v>
      </c>
      <c r="D553" s="1032"/>
      <c r="E553" s="1032"/>
      <c r="F553" s="1032"/>
      <c r="G553" s="1032"/>
      <c r="H553" s="1032"/>
      <c r="I553" s="1032"/>
      <c r="J553" s="1032"/>
      <c r="K553" s="294" t="str">
        <f>'[6]PLANILHA ORÇAMENTÁRIA'!F140</f>
        <v>M2</v>
      </c>
      <c r="L553" s="295">
        <f>K557</f>
        <v>1.7000000000000002</v>
      </c>
    </row>
    <row r="554" spans="2:12" hidden="1">
      <c r="B554" s="663"/>
      <c r="C554" s="983" t="s">
        <v>20</v>
      </c>
      <c r="D554" s="983"/>
      <c r="E554" s="983"/>
      <c r="F554" s="87" t="s">
        <v>22</v>
      </c>
      <c r="G554" s="656" t="s">
        <v>111</v>
      </c>
      <c r="H554" s="87" t="s">
        <v>178</v>
      </c>
      <c r="I554" s="656" t="s">
        <v>113</v>
      </c>
      <c r="J554" s="656" t="s">
        <v>114</v>
      </c>
      <c r="K554" s="89" t="s">
        <v>25</v>
      </c>
      <c r="L554" s="90"/>
    </row>
    <row r="555" spans="2:12" hidden="1">
      <c r="B555" s="663"/>
      <c r="C555" s="1028" t="s">
        <v>189</v>
      </c>
      <c r="D555" s="1028"/>
      <c r="E555" s="1028"/>
      <c r="F555" s="91">
        <v>2</v>
      </c>
      <c r="G555" s="91"/>
      <c r="H555" s="300">
        <v>2.5000000000000001E-2</v>
      </c>
      <c r="I555" s="91">
        <v>1.95</v>
      </c>
      <c r="J555" s="91"/>
      <c r="K555" s="664">
        <f>TRUNC((2*3.14*H555*I555)*F555,2)</f>
        <v>0.61</v>
      </c>
      <c r="L555" s="90"/>
    </row>
    <row r="556" spans="2:12" hidden="1">
      <c r="B556" s="663"/>
      <c r="C556" s="984" t="s">
        <v>190</v>
      </c>
      <c r="D556" s="985"/>
      <c r="E556" s="986"/>
      <c r="F556" s="91">
        <v>7</v>
      </c>
      <c r="G556" s="91"/>
      <c r="H556" s="300">
        <v>2.5000000000000001E-2</v>
      </c>
      <c r="I556" s="91">
        <v>1</v>
      </c>
      <c r="J556" s="91"/>
      <c r="K556" s="664">
        <f>TRUNC((2*3.14*H556*I556)*F556,2)</f>
        <v>1.0900000000000001</v>
      </c>
      <c r="L556" s="90"/>
    </row>
    <row r="557" spans="2:12" hidden="1">
      <c r="B557" s="663"/>
      <c r="C557" s="987" t="s">
        <v>116</v>
      </c>
      <c r="D557" s="987"/>
      <c r="E557" s="987"/>
      <c r="F557" s="987"/>
      <c r="G557" s="987"/>
      <c r="H557" s="987"/>
      <c r="I557" s="987"/>
      <c r="J557" s="987"/>
      <c r="K557" s="89">
        <f>SUM(K555:K556)</f>
        <v>1.7000000000000002</v>
      </c>
      <c r="L557" s="90"/>
    </row>
    <row r="558" spans="2:12" hidden="1">
      <c r="B558" s="219"/>
      <c r="C558" s="219"/>
      <c r="D558" s="219"/>
      <c r="E558" s="219"/>
      <c r="F558" s="219"/>
      <c r="G558" s="219"/>
      <c r="H558" s="219"/>
      <c r="I558" s="219"/>
      <c r="J558" s="219"/>
      <c r="K558" s="219"/>
      <c r="L558" s="219"/>
    </row>
    <row r="559" spans="2:12" hidden="1">
      <c r="B559" s="292" t="str">
        <f>'[6]PLANILHA ORÇAMENTÁRIA'!D141</f>
        <v>14.5</v>
      </c>
      <c r="C559" s="1093" t="str">
        <f>'[6]PLANILHA ORÇAMENTÁRIA'!E141</f>
        <v>BARRA DE APOIO</v>
      </c>
      <c r="D559" s="1093"/>
      <c r="E559" s="1093"/>
      <c r="F559" s="1093"/>
      <c r="G559" s="1093"/>
      <c r="H559" s="1093"/>
      <c r="I559" s="1093"/>
      <c r="J559" s="1093"/>
      <c r="K559" s="293"/>
      <c r="L559" s="293"/>
    </row>
    <row r="560" spans="2:12" ht="15" hidden="1" customHeight="1">
      <c r="B560" s="85" t="str">
        <f>'[6]PLANILHA ORÇAMENTÁRIA'!D142</f>
        <v>14.5.1</v>
      </c>
      <c r="C560" s="1032" t="str">
        <f>'[6]PLANILHA ORÇAMENTÁRIA'!E142</f>
        <v>ESCAVAÇÃO MANUAL DE VALA COM PROFUNDIDADE MENOR OU IGUAL A 1,30 M</v>
      </c>
      <c r="D560" s="1032"/>
      <c r="E560" s="1032"/>
      <c r="F560" s="1032"/>
      <c r="G560" s="1032"/>
      <c r="H560" s="1032"/>
      <c r="I560" s="1032"/>
      <c r="J560" s="1032"/>
      <c r="K560" s="294" t="str">
        <f>'[6]PLANILHA ORÇAMENTÁRIA'!F142</f>
        <v>M3</v>
      </c>
      <c r="L560" s="295">
        <f>K563</f>
        <v>4.9500000000000002E-2</v>
      </c>
    </row>
    <row r="561" spans="2:12" hidden="1">
      <c r="B561" s="663"/>
      <c r="C561" s="983" t="s">
        <v>20</v>
      </c>
      <c r="D561" s="983"/>
      <c r="E561" s="983"/>
      <c r="F561" s="87" t="s">
        <v>22</v>
      </c>
      <c r="G561" s="656" t="s">
        <v>111</v>
      </c>
      <c r="H561" s="87" t="s">
        <v>112</v>
      </c>
      <c r="I561" s="656" t="s">
        <v>113</v>
      </c>
      <c r="J561" s="656" t="s">
        <v>114</v>
      </c>
      <c r="K561" s="89" t="s">
        <v>25</v>
      </c>
      <c r="L561" s="90"/>
    </row>
    <row r="562" spans="2:12" hidden="1">
      <c r="B562" s="663"/>
      <c r="C562" s="1028" t="s">
        <v>174</v>
      </c>
      <c r="D562" s="1028"/>
      <c r="E562" s="1028"/>
      <c r="F562" s="91">
        <v>4</v>
      </c>
      <c r="G562" s="91">
        <v>0.55000000000000004</v>
      </c>
      <c r="H562" s="91">
        <v>0.15</v>
      </c>
      <c r="I562" s="91">
        <v>0.15</v>
      </c>
      <c r="J562" s="91"/>
      <c r="K562" s="296">
        <f>PRODUCT(F562:I562)</f>
        <v>4.9500000000000002E-2</v>
      </c>
      <c r="L562" s="90"/>
    </row>
    <row r="563" spans="2:12" hidden="1">
      <c r="B563" s="663"/>
      <c r="C563" s="987" t="s">
        <v>116</v>
      </c>
      <c r="D563" s="987"/>
      <c r="E563" s="987"/>
      <c r="F563" s="987"/>
      <c r="G563" s="987"/>
      <c r="H563" s="987"/>
      <c r="I563" s="987"/>
      <c r="J563" s="987"/>
      <c r="K563" s="298">
        <f>SUM(K562:K562)</f>
        <v>4.9500000000000002E-2</v>
      </c>
      <c r="L563" s="90"/>
    </row>
    <row r="564" spans="2:12" hidden="1">
      <c r="B564" s="663"/>
      <c r="C564" s="211"/>
      <c r="D564" s="211"/>
      <c r="E564" s="211"/>
      <c r="F564" s="211"/>
      <c r="G564" s="211"/>
      <c r="H564" s="211"/>
      <c r="I564" s="211"/>
      <c r="J564" s="211"/>
      <c r="K564" s="299"/>
      <c r="L564" s="90"/>
    </row>
    <row r="565" spans="2:12" ht="15" hidden="1" customHeight="1">
      <c r="B565" s="85" t="str">
        <f>'[6]PLANILHA ORÇAMENTÁRIA'!D143</f>
        <v>14.5.2</v>
      </c>
      <c r="C565" s="1032" t="str">
        <f>'[6]PLANILHA ORÇAMENTÁRIA'!E143</f>
        <v>LASTRO DE CONCRETO MAGRO, APLICADO EM PISOS OU RADIERS, ESPESSURA DE 5CM. AF_07_2016</v>
      </c>
      <c r="D565" s="1032"/>
      <c r="E565" s="1032"/>
      <c r="F565" s="1032"/>
      <c r="G565" s="1032"/>
      <c r="H565" s="1032"/>
      <c r="I565" s="1032"/>
      <c r="J565" s="1032"/>
      <c r="K565" s="294" t="str">
        <f>'[6]PLANILHA ORÇAMENTÁRIA'!F143</f>
        <v>M2</v>
      </c>
      <c r="L565" s="295">
        <f>K568</f>
        <v>0.09</v>
      </c>
    </row>
    <row r="566" spans="2:12" hidden="1">
      <c r="B566" s="663"/>
      <c r="C566" s="983" t="s">
        <v>20</v>
      </c>
      <c r="D566" s="983"/>
      <c r="E566" s="983"/>
      <c r="F566" s="87" t="s">
        <v>22</v>
      </c>
      <c r="G566" s="656" t="s">
        <v>111</v>
      </c>
      <c r="H566" s="87" t="s">
        <v>112</v>
      </c>
      <c r="I566" s="656" t="s">
        <v>113</v>
      </c>
      <c r="J566" s="656" t="s">
        <v>114</v>
      </c>
      <c r="K566" s="89" t="s">
        <v>25</v>
      </c>
      <c r="L566" s="90"/>
    </row>
    <row r="567" spans="2:12" hidden="1">
      <c r="B567" s="663"/>
      <c r="C567" s="1028"/>
      <c r="D567" s="1028"/>
      <c r="E567" s="1028"/>
      <c r="F567" s="91">
        <v>4</v>
      </c>
      <c r="G567" s="91"/>
      <c r="H567" s="91">
        <v>0.15</v>
      </c>
      <c r="I567" s="91">
        <v>0.15</v>
      </c>
      <c r="J567" s="91"/>
      <c r="K567" s="296">
        <f>PRODUCT(F567:I567)</f>
        <v>0.09</v>
      </c>
      <c r="L567" s="90"/>
    </row>
    <row r="568" spans="2:12" hidden="1">
      <c r="B568" s="663"/>
      <c r="C568" s="987" t="s">
        <v>116</v>
      </c>
      <c r="D568" s="987"/>
      <c r="E568" s="987"/>
      <c r="F568" s="987"/>
      <c r="G568" s="987"/>
      <c r="H568" s="987"/>
      <c r="I568" s="987"/>
      <c r="J568" s="987"/>
      <c r="K568" s="298">
        <f>SUM(K567:K567)</f>
        <v>0.09</v>
      </c>
      <c r="L568" s="90"/>
    </row>
    <row r="569" spans="2:12" ht="17.25" hidden="1" customHeight="1">
      <c r="B569" s="663"/>
      <c r="C569" s="211"/>
      <c r="D569" s="211"/>
      <c r="E569" s="211"/>
      <c r="F569" s="211"/>
      <c r="G569" s="211"/>
      <c r="H569" s="211"/>
      <c r="I569" s="211"/>
      <c r="J569" s="211"/>
      <c r="K569" s="299"/>
      <c r="L569" s="90"/>
    </row>
    <row r="570" spans="2:12" ht="22.5" hidden="1" customHeight="1">
      <c r="B570" s="85" t="str">
        <f>'[6]PLANILHA ORÇAMENTÁRIA'!D144</f>
        <v>14.5.3</v>
      </c>
      <c r="C570" s="1032" t="str">
        <f>'[6]PLANILHA ORÇAMENTÁRIA'!E144</f>
        <v>CONCRETAGEM DE BLOCOS DE COROAMENTO E VIGAS BALDRAMES, FCK 30 MPA, COM USO DE BOMBA LANÇAMENTO, ADENSAMENTO E ACABAMENTO. AF_06/2017</v>
      </c>
      <c r="D570" s="1032"/>
      <c r="E570" s="1032"/>
      <c r="F570" s="1032"/>
      <c r="G570" s="1032"/>
      <c r="H570" s="1032"/>
      <c r="I570" s="1032"/>
      <c r="J570" s="1032"/>
      <c r="K570" s="294" t="str">
        <f>'[6]PLANILHA ORÇAMENTÁRIA'!F144</f>
        <v>M3</v>
      </c>
      <c r="L570" s="295">
        <f>K573</f>
        <v>0.03</v>
      </c>
    </row>
    <row r="571" spans="2:12" hidden="1">
      <c r="B571" s="663"/>
      <c r="C571" s="983" t="s">
        <v>20</v>
      </c>
      <c r="D571" s="983"/>
      <c r="E571" s="983"/>
      <c r="F571" s="87" t="s">
        <v>22</v>
      </c>
      <c r="G571" s="656" t="s">
        <v>111</v>
      </c>
      <c r="H571" s="87" t="s">
        <v>112</v>
      </c>
      <c r="I571" s="656" t="s">
        <v>113</v>
      </c>
      <c r="J571" s="656" t="s">
        <v>114</v>
      </c>
      <c r="K571" s="89" t="s">
        <v>25</v>
      </c>
      <c r="L571" s="90"/>
    </row>
    <row r="572" spans="2:12" hidden="1">
      <c r="B572" s="663"/>
      <c r="C572" s="1028" t="s">
        <v>191</v>
      </c>
      <c r="D572" s="1028"/>
      <c r="E572" s="1028"/>
      <c r="F572" s="91">
        <v>4</v>
      </c>
      <c r="G572" s="91">
        <v>0.4</v>
      </c>
      <c r="H572" s="91">
        <v>0.15</v>
      </c>
      <c r="I572" s="91">
        <v>0.15</v>
      </c>
      <c r="J572" s="91"/>
      <c r="K572" s="664">
        <f>TRUNC(G572*H572*F572*I572,2)</f>
        <v>0.03</v>
      </c>
      <c r="L572" s="90"/>
    </row>
    <row r="573" spans="2:12" hidden="1">
      <c r="B573" s="663"/>
      <c r="C573" s="987" t="s">
        <v>116</v>
      </c>
      <c r="D573" s="987"/>
      <c r="E573" s="987"/>
      <c r="F573" s="987"/>
      <c r="G573" s="987"/>
      <c r="H573" s="987"/>
      <c r="I573" s="987"/>
      <c r="J573" s="987"/>
      <c r="K573" s="89">
        <f>SUM(K572:K572)</f>
        <v>0.03</v>
      </c>
      <c r="L573" s="90"/>
    </row>
    <row r="574" spans="2:12" ht="18" hidden="1" customHeight="1">
      <c r="B574" s="219"/>
      <c r="C574" s="219"/>
      <c r="D574" s="219"/>
      <c r="E574" s="219"/>
      <c r="F574" s="219"/>
      <c r="G574" s="219"/>
      <c r="H574" s="219"/>
      <c r="I574" s="219"/>
      <c r="J574" s="219"/>
      <c r="K574" s="219"/>
      <c r="L574" s="219"/>
    </row>
    <row r="575" spans="2:12" ht="15" hidden="1" customHeight="1">
      <c r="B575" s="85" t="str">
        <f>'[6]PLANILHA ORÇAMENTÁRIA'!D145</f>
        <v>14.5.4</v>
      </c>
      <c r="C575" s="1032" t="str">
        <f>'[6]PLANILHA ORÇAMENTÁRIA'!E145</f>
        <v>TUBO DE AÇO GALVANIZADO COM COSTURA 2" - FORNECIMENTO E INSTALACAO. - M</v>
      </c>
      <c r="D575" s="1032"/>
      <c r="E575" s="1032"/>
      <c r="F575" s="1032"/>
      <c r="G575" s="1032"/>
      <c r="H575" s="1032"/>
      <c r="I575" s="1032"/>
      <c r="J575" s="1032"/>
      <c r="K575" s="294" t="str">
        <f>'[6]PLANILHA ORÇAMENTÁRIA'!F145</f>
        <v>M</v>
      </c>
      <c r="L575" s="295">
        <f>K579</f>
        <v>14</v>
      </c>
    </row>
    <row r="576" spans="2:12" hidden="1">
      <c r="B576" s="663"/>
      <c r="C576" s="983" t="s">
        <v>20</v>
      </c>
      <c r="D576" s="983"/>
      <c r="E576" s="983"/>
      <c r="F576" s="87" t="s">
        <v>22</v>
      </c>
      <c r="G576" s="656" t="s">
        <v>111</v>
      </c>
      <c r="H576" s="87" t="s">
        <v>112</v>
      </c>
      <c r="I576" s="656" t="s">
        <v>113</v>
      </c>
      <c r="J576" s="656" t="s">
        <v>114</v>
      </c>
      <c r="K576" s="89" t="s">
        <v>25</v>
      </c>
      <c r="L576" s="90"/>
    </row>
    <row r="577" spans="2:12" hidden="1">
      <c r="B577" s="663"/>
      <c r="C577" s="1028" t="s">
        <v>189</v>
      </c>
      <c r="D577" s="1028"/>
      <c r="E577" s="1028"/>
      <c r="F577" s="91">
        <v>4</v>
      </c>
      <c r="G577" s="91"/>
      <c r="H577" s="91"/>
      <c r="I577" s="91">
        <v>1.6</v>
      </c>
      <c r="J577" s="91"/>
      <c r="K577" s="664">
        <f>F577*I577</f>
        <v>6.4</v>
      </c>
      <c r="L577" s="90"/>
    </row>
    <row r="578" spans="2:12" hidden="1">
      <c r="B578" s="663"/>
      <c r="C578" s="984" t="s">
        <v>190</v>
      </c>
      <c r="D578" s="985"/>
      <c r="E578" s="986"/>
      <c r="F578" s="91">
        <v>4</v>
      </c>
      <c r="G578" s="91"/>
      <c r="H578" s="91"/>
      <c r="I578" s="91">
        <v>1.9</v>
      </c>
      <c r="J578" s="91"/>
      <c r="K578" s="664">
        <f>F578*I578</f>
        <v>7.6</v>
      </c>
      <c r="L578" s="90"/>
    </row>
    <row r="579" spans="2:12" hidden="1">
      <c r="B579" s="663"/>
      <c r="C579" s="987" t="s">
        <v>116</v>
      </c>
      <c r="D579" s="987"/>
      <c r="E579" s="987"/>
      <c r="F579" s="987"/>
      <c r="G579" s="987"/>
      <c r="H579" s="987"/>
      <c r="I579" s="987"/>
      <c r="J579" s="987"/>
      <c r="K579" s="89">
        <f>SUM(K577:K578)</f>
        <v>14</v>
      </c>
      <c r="L579" s="90"/>
    </row>
    <row r="580" spans="2:12" hidden="1">
      <c r="B580" s="663"/>
      <c r="C580" s="211"/>
      <c r="D580" s="211"/>
      <c r="E580" s="211"/>
      <c r="F580" s="211"/>
      <c r="G580" s="211"/>
      <c r="H580" s="211"/>
      <c r="I580" s="211"/>
      <c r="J580" s="211"/>
      <c r="K580" s="212"/>
      <c r="L580" s="90"/>
    </row>
    <row r="581" spans="2:12" ht="15" hidden="1" customHeight="1">
      <c r="B581" s="85" t="str">
        <f>'[6]PLANILHA ORÇAMENTÁRIA'!D146</f>
        <v>14.5.5</v>
      </c>
      <c r="C581" s="1032" t="str">
        <f>'[6]PLANILHA ORÇAMENTÁRIA'!E146</f>
        <v>PINTURA ESMALTE ALTO BRILHO, DUAS DEMAOS, SOBRE SUPERFICIE METALICA</v>
      </c>
      <c r="D581" s="1032"/>
      <c r="E581" s="1032"/>
      <c r="F581" s="1032"/>
      <c r="G581" s="1032"/>
      <c r="H581" s="1032"/>
      <c r="I581" s="1032"/>
      <c r="J581" s="1032"/>
      <c r="K581" s="294" t="str">
        <f>'[6]PLANILHA ORÇAMENTÁRIA'!F146</f>
        <v>M2</v>
      </c>
      <c r="L581" s="295">
        <f>K585</f>
        <v>1.94</v>
      </c>
    </row>
    <row r="582" spans="2:12" hidden="1">
      <c r="B582" s="663"/>
      <c r="C582" s="983" t="s">
        <v>20</v>
      </c>
      <c r="D582" s="983"/>
      <c r="E582" s="983"/>
      <c r="F582" s="87" t="s">
        <v>22</v>
      </c>
      <c r="G582" s="656" t="s">
        <v>111</v>
      </c>
      <c r="H582" s="87" t="s">
        <v>178</v>
      </c>
      <c r="I582" s="656" t="s">
        <v>113</v>
      </c>
      <c r="J582" s="656" t="s">
        <v>114</v>
      </c>
      <c r="K582" s="89" t="s">
        <v>25</v>
      </c>
      <c r="L582" s="90"/>
    </row>
    <row r="583" spans="2:12" hidden="1">
      <c r="B583" s="663"/>
      <c r="C583" s="1028" t="s">
        <v>189</v>
      </c>
      <c r="D583" s="1028"/>
      <c r="E583" s="1028"/>
      <c r="F583" s="91">
        <v>4</v>
      </c>
      <c r="G583" s="91"/>
      <c r="H583" s="300">
        <v>2.5000000000000001E-2</v>
      </c>
      <c r="I583" s="91">
        <v>1.2</v>
      </c>
      <c r="J583" s="91"/>
      <c r="K583" s="664">
        <f>TRUNC((2*3.14*H583*I583)*F583,2)</f>
        <v>0.75</v>
      </c>
      <c r="L583" s="90"/>
    </row>
    <row r="584" spans="2:12" hidden="1">
      <c r="B584" s="663"/>
      <c r="C584" s="984" t="s">
        <v>190</v>
      </c>
      <c r="D584" s="985"/>
      <c r="E584" s="986"/>
      <c r="F584" s="91">
        <v>4</v>
      </c>
      <c r="G584" s="91"/>
      <c r="H584" s="300">
        <v>2.5000000000000001E-2</v>
      </c>
      <c r="I584" s="91">
        <v>1.9</v>
      </c>
      <c r="J584" s="91"/>
      <c r="K584" s="664">
        <f>TRUNC((2*3.14*H584*I584)*F584,2)</f>
        <v>1.19</v>
      </c>
      <c r="L584" s="90"/>
    </row>
    <row r="585" spans="2:12" hidden="1">
      <c r="B585" s="663"/>
      <c r="C585" s="987" t="s">
        <v>116</v>
      </c>
      <c r="D585" s="987"/>
      <c r="E585" s="987"/>
      <c r="F585" s="987"/>
      <c r="G585" s="987"/>
      <c r="H585" s="987"/>
      <c r="I585" s="987"/>
      <c r="J585" s="987"/>
      <c r="K585" s="89">
        <f>SUM(K583:K584)</f>
        <v>1.94</v>
      </c>
      <c r="L585" s="90"/>
    </row>
    <row r="586" spans="2:12" hidden="1">
      <c r="B586" s="219"/>
      <c r="C586" s="219"/>
      <c r="D586" s="219"/>
      <c r="E586" s="219"/>
      <c r="F586" s="219"/>
      <c r="G586" s="219"/>
      <c r="H586" s="219"/>
      <c r="I586" s="219"/>
      <c r="J586" s="219"/>
      <c r="K586" s="219"/>
      <c r="L586" s="219"/>
    </row>
    <row r="587" spans="2:12" hidden="1">
      <c r="B587" s="292" t="str">
        <f>'[6]PLANILHA ORÇAMENTÁRIA'!D147</f>
        <v>14.6</v>
      </c>
      <c r="C587" s="1093" t="str">
        <f>'[6]PLANILHA ORÇAMENTÁRIA'!E147</f>
        <v>BANCOS DE APOIO</v>
      </c>
      <c r="D587" s="1093"/>
      <c r="E587" s="1093"/>
      <c r="F587" s="1093"/>
      <c r="G587" s="1093"/>
      <c r="H587" s="1093"/>
      <c r="I587" s="1093"/>
      <c r="J587" s="1093"/>
      <c r="K587" s="293"/>
      <c r="L587" s="293"/>
    </row>
    <row r="588" spans="2:12" ht="15" hidden="1" customHeight="1">
      <c r="B588" s="85" t="str">
        <f>'[6]PLANILHA ORÇAMENTÁRIA'!D148</f>
        <v>14.6.1</v>
      </c>
      <c r="C588" s="1032" t="str">
        <f>'[6]PLANILHA ORÇAMENTÁRIA'!E148</f>
        <v>CONJUNTO DE BANCOS, TAMPO EM CONCRETO SIMPLES, DESEMPOLADA H=5OCM, 40CM E 30CM</v>
      </c>
      <c r="D588" s="1032"/>
      <c r="E588" s="1032"/>
      <c r="F588" s="1032"/>
      <c r="G588" s="1032"/>
      <c r="H588" s="1032"/>
      <c r="I588" s="1032"/>
      <c r="J588" s="1032"/>
      <c r="K588" s="294" t="str">
        <f>'[6]PLANILHA ORÇAMENTÁRIA'!F148</f>
        <v>CJ</v>
      </c>
      <c r="L588" s="295">
        <f>K591</f>
        <v>1</v>
      </c>
    </row>
    <row r="589" spans="2:12" hidden="1">
      <c r="B589" s="663"/>
      <c r="C589" s="983" t="s">
        <v>20</v>
      </c>
      <c r="D589" s="983"/>
      <c r="E589" s="983"/>
      <c r="F589" s="87" t="s">
        <v>22</v>
      </c>
      <c r="G589" s="656" t="s">
        <v>111</v>
      </c>
      <c r="H589" s="87" t="s">
        <v>112</v>
      </c>
      <c r="I589" s="656" t="s">
        <v>113</v>
      </c>
      <c r="J589" s="656" t="s">
        <v>114</v>
      </c>
      <c r="K589" s="89" t="s">
        <v>25</v>
      </c>
      <c r="L589" s="90"/>
    </row>
    <row r="590" spans="2:12" hidden="1">
      <c r="B590" s="663"/>
      <c r="C590" s="1028" t="s">
        <v>192</v>
      </c>
      <c r="D590" s="1028"/>
      <c r="E590" s="1028"/>
      <c r="F590" s="91">
        <v>1</v>
      </c>
      <c r="G590" s="91"/>
      <c r="H590" s="91"/>
      <c r="I590" s="91"/>
      <c r="J590" s="91"/>
      <c r="K590" s="296">
        <f>PRODUCT(F590:I590)</f>
        <v>1</v>
      </c>
      <c r="L590" s="90"/>
    </row>
    <row r="591" spans="2:12" hidden="1">
      <c r="B591" s="663"/>
      <c r="C591" s="987" t="s">
        <v>116</v>
      </c>
      <c r="D591" s="987"/>
      <c r="E591" s="987"/>
      <c r="F591" s="987"/>
      <c r="G591" s="987"/>
      <c r="H591" s="987"/>
      <c r="I591" s="987"/>
      <c r="J591" s="987"/>
      <c r="K591" s="298">
        <f>SUM(K590:K590)</f>
        <v>1</v>
      </c>
      <c r="L591" s="90"/>
    </row>
    <row r="592" spans="2:12" ht="15" hidden="1" customHeight="1">
      <c r="B592" s="219"/>
      <c r="C592" s="219"/>
      <c r="D592" s="219"/>
      <c r="E592" s="219"/>
      <c r="F592" s="219"/>
      <c r="G592" s="219"/>
      <c r="H592" s="219"/>
      <c r="I592" s="219"/>
      <c r="J592" s="219"/>
      <c r="K592" s="219"/>
      <c r="L592" s="219"/>
    </row>
    <row r="593" spans="2:12" hidden="1">
      <c r="B593" s="292" t="str">
        <f>'[6]PLANILHA ORÇAMENTÁRIA'!D149</f>
        <v>14.7</v>
      </c>
      <c r="C593" s="1093" t="str">
        <f>'[6]PLANILHA ORÇAMENTÁRIA'!E149</f>
        <v>PRANCHAS PARA EXERCICIOS ABDOMINAIS</v>
      </c>
      <c r="D593" s="1093"/>
      <c r="E593" s="1093"/>
      <c r="F593" s="1093"/>
      <c r="G593" s="1093"/>
      <c r="H593" s="1093"/>
      <c r="I593" s="1093"/>
      <c r="J593" s="1093"/>
      <c r="K593" s="293"/>
      <c r="L593" s="293"/>
    </row>
    <row r="594" spans="2:12" ht="26.25" hidden="1" customHeight="1">
      <c r="B594" s="85" t="str">
        <f>'[6]PLANILHA ORÇAMENTÁRIA'!D150</f>
        <v>14.7.1</v>
      </c>
      <c r="C594" s="1032" t="str">
        <f>'[6]PLANILHA ORÇAMENTÁRIA'!E150</f>
        <v>CONJUNTO DE PRANCHAS P/ EXERCICIOS ABDOMINAIS, TAMPO EM CONCRETO SIMPLES, DESEMPOLADA H=80CM, H=5OCM E 40CM</v>
      </c>
      <c r="D594" s="1032"/>
      <c r="E594" s="1032"/>
      <c r="F594" s="1032"/>
      <c r="G594" s="1032"/>
      <c r="H594" s="1032"/>
      <c r="I594" s="1032"/>
      <c r="J594" s="1032"/>
      <c r="K594" s="294" t="str">
        <f>'[6]PLANILHA ORÇAMENTÁRIA'!F150</f>
        <v>CJ</v>
      </c>
      <c r="L594" s="295">
        <f>K597</f>
        <v>1</v>
      </c>
    </row>
    <row r="595" spans="2:12" hidden="1">
      <c r="B595" s="663"/>
      <c r="C595" s="983" t="s">
        <v>20</v>
      </c>
      <c r="D595" s="983"/>
      <c r="E595" s="983"/>
      <c r="F595" s="87" t="s">
        <v>22</v>
      </c>
      <c r="G595" s="656" t="s">
        <v>111</v>
      </c>
      <c r="H595" s="87" t="s">
        <v>112</v>
      </c>
      <c r="I595" s="656" t="s">
        <v>113</v>
      </c>
      <c r="J595" s="656" t="s">
        <v>114</v>
      </c>
      <c r="K595" s="89" t="s">
        <v>25</v>
      </c>
      <c r="L595" s="90"/>
    </row>
    <row r="596" spans="2:12" hidden="1">
      <c r="B596" s="663"/>
      <c r="C596" s="1028" t="s">
        <v>193</v>
      </c>
      <c r="D596" s="1028"/>
      <c r="E596" s="1028"/>
      <c r="F596" s="91">
        <v>1</v>
      </c>
      <c r="G596" s="91"/>
      <c r="H596" s="91"/>
      <c r="I596" s="91"/>
      <c r="J596" s="91"/>
      <c r="K596" s="296">
        <f>PRODUCT(F596:I596)</f>
        <v>1</v>
      </c>
      <c r="L596" s="90"/>
    </row>
    <row r="597" spans="2:12" hidden="1">
      <c r="B597" s="663"/>
      <c r="C597" s="987" t="s">
        <v>116</v>
      </c>
      <c r="D597" s="987"/>
      <c r="E597" s="987"/>
      <c r="F597" s="987"/>
      <c r="G597" s="987"/>
      <c r="H597" s="987"/>
      <c r="I597" s="987"/>
      <c r="J597" s="987"/>
      <c r="K597" s="298">
        <f>SUM(K596:K596)</f>
        <v>1</v>
      </c>
      <c r="L597" s="90"/>
    </row>
    <row r="598" spans="2:12" hidden="1">
      <c r="B598" s="663"/>
      <c r="C598" s="211"/>
      <c r="D598" s="211"/>
      <c r="E598" s="211"/>
      <c r="F598" s="211"/>
      <c r="G598" s="211"/>
      <c r="H598" s="211"/>
      <c r="I598" s="211"/>
      <c r="J598" s="211"/>
      <c r="K598" s="299"/>
      <c r="L598" s="90"/>
    </row>
    <row r="599" spans="2:12" hidden="1">
      <c r="B599" s="663"/>
      <c r="C599" s="211"/>
      <c r="D599" s="211"/>
      <c r="E599" s="211"/>
      <c r="F599" s="211"/>
      <c r="G599" s="211"/>
      <c r="H599" s="211"/>
      <c r="I599" s="211"/>
      <c r="J599" s="211"/>
      <c r="K599" s="212"/>
      <c r="L599" s="90"/>
    </row>
    <row r="600" spans="2:12" ht="15" hidden="1" customHeight="1">
      <c r="B600" s="85" t="str">
        <f>'[6]PLANILHA ORÇAMENTÁRIA'!D153</f>
        <v>15.2</v>
      </c>
      <c r="C600" s="1032" t="str">
        <f>'[6]PLANILHA ORÇAMENTÁRIA'!E153</f>
        <v>BARRA DE APOIO RETA, EM ACO INOX POLIDO, COMPRIMENTO 60CM, DIAMETRO MINIMO 3CM</v>
      </c>
      <c r="D600" s="1032"/>
      <c r="E600" s="1032"/>
      <c r="F600" s="1032"/>
      <c r="G600" s="1032"/>
      <c r="H600" s="1032"/>
      <c r="I600" s="1032"/>
      <c r="J600" s="1032"/>
      <c r="K600" s="294" t="str">
        <f>'[6]PLANILHA ORÇAMENTÁRIA'!F153</f>
        <v>UND</v>
      </c>
      <c r="L600" s="295">
        <f>K604</f>
        <v>2</v>
      </c>
    </row>
    <row r="601" spans="2:12" hidden="1">
      <c r="B601" s="663"/>
      <c r="C601" s="1018" t="s">
        <v>20</v>
      </c>
      <c r="D601" s="1019"/>
      <c r="E601" s="1020"/>
      <c r="F601" s="87" t="s">
        <v>22</v>
      </c>
      <c r="G601" s="656" t="s">
        <v>111</v>
      </c>
      <c r="H601" s="656" t="s">
        <v>114</v>
      </c>
      <c r="I601" s="656" t="s">
        <v>113</v>
      </c>
      <c r="J601" s="656" t="s">
        <v>136</v>
      </c>
      <c r="K601" s="89" t="s">
        <v>25</v>
      </c>
      <c r="L601" s="90"/>
    </row>
    <row r="602" spans="2:12" ht="15" hidden="1" customHeight="1">
      <c r="B602" s="663"/>
      <c r="C602" s="984" t="s">
        <v>170</v>
      </c>
      <c r="D602" s="985"/>
      <c r="E602" s="986"/>
      <c r="F602" s="91">
        <v>1</v>
      </c>
      <c r="G602" s="91"/>
      <c r="H602" s="91"/>
      <c r="I602" s="91"/>
      <c r="J602" s="91"/>
      <c r="K602" s="664">
        <f>F602</f>
        <v>1</v>
      </c>
      <c r="L602" s="90"/>
    </row>
    <row r="603" spans="2:12" ht="15" hidden="1" customHeight="1">
      <c r="B603" s="663"/>
      <c r="C603" s="984" t="s">
        <v>194</v>
      </c>
      <c r="D603" s="985"/>
      <c r="E603" s="986"/>
      <c r="F603" s="91">
        <v>1</v>
      </c>
      <c r="G603" s="91"/>
      <c r="H603" s="91"/>
      <c r="I603" s="91"/>
      <c r="J603" s="91"/>
      <c r="K603" s="664">
        <f>F603</f>
        <v>1</v>
      </c>
      <c r="L603" s="90"/>
    </row>
    <row r="604" spans="2:12" hidden="1">
      <c r="B604" s="663"/>
      <c r="C604" s="1014" t="s">
        <v>116</v>
      </c>
      <c r="D604" s="1015"/>
      <c r="E604" s="1015"/>
      <c r="F604" s="1015"/>
      <c r="G604" s="1015"/>
      <c r="H604" s="1015"/>
      <c r="I604" s="1015"/>
      <c r="J604" s="1016"/>
      <c r="K604" s="89">
        <f>SUM(K602:K603)</f>
        <v>2</v>
      </c>
      <c r="L604" s="90"/>
    </row>
    <row r="605" spans="2:12" hidden="1">
      <c r="B605" s="663"/>
      <c r="C605" s="211"/>
      <c r="D605" s="211"/>
      <c r="E605" s="211"/>
      <c r="F605" s="211"/>
      <c r="G605" s="211"/>
      <c r="H605" s="211"/>
      <c r="I605" s="211"/>
      <c r="J605" s="211"/>
      <c r="K605" s="212"/>
      <c r="L605" s="90"/>
    </row>
    <row r="606" spans="2:12" ht="15" hidden="1" customHeight="1">
      <c r="B606" s="85" t="str">
        <f>'[6]PLANILHA ORÇAMENTÁRIA'!D154</f>
        <v>15.3</v>
      </c>
      <c r="C606" s="1032" t="str">
        <f>'[6]PLANILHA ORÇAMENTÁRIA'!E154</f>
        <v>PRATELEIRA EM CONCRETO ARMADO, LARGURA = 40CM, ESP= 5CM, REVESTIDA COM CERAMICA.</v>
      </c>
      <c r="D606" s="1032"/>
      <c r="E606" s="1032"/>
      <c r="F606" s="1032"/>
      <c r="G606" s="1032"/>
      <c r="H606" s="1032"/>
      <c r="I606" s="1032"/>
      <c r="J606" s="1032"/>
      <c r="K606" s="294" t="str">
        <f>'[6]PLANILHA ORÇAMENTÁRIA'!F154</f>
        <v>M</v>
      </c>
      <c r="L606" s="295">
        <f>K609</f>
        <v>12.6</v>
      </c>
    </row>
    <row r="607" spans="2:12" hidden="1">
      <c r="B607" s="663"/>
      <c r="C607" s="1018" t="s">
        <v>20</v>
      </c>
      <c r="D607" s="1019"/>
      <c r="E607" s="1020"/>
      <c r="F607" s="87" t="s">
        <v>22</v>
      </c>
      <c r="G607" s="656" t="s">
        <v>111</v>
      </c>
      <c r="H607" s="656" t="s">
        <v>114</v>
      </c>
      <c r="I607" s="656" t="s">
        <v>113</v>
      </c>
      <c r="J607" s="656" t="s">
        <v>136</v>
      </c>
      <c r="K607" s="89" t="s">
        <v>25</v>
      </c>
      <c r="L607" s="90"/>
    </row>
    <row r="608" spans="2:12" hidden="1">
      <c r="B608" s="663"/>
      <c r="C608" s="984" t="s">
        <v>167</v>
      </c>
      <c r="D608" s="985"/>
      <c r="E608" s="986"/>
      <c r="F608" s="91">
        <v>3</v>
      </c>
      <c r="G608" s="91"/>
      <c r="H608" s="91"/>
      <c r="I608" s="91">
        <v>4.2</v>
      </c>
      <c r="J608" s="91"/>
      <c r="K608" s="664">
        <f>TRUNC((I608*F608),2)</f>
        <v>12.6</v>
      </c>
      <c r="L608" s="90"/>
    </row>
    <row r="609" spans="2:12" hidden="1">
      <c r="B609" s="663"/>
      <c r="C609" s="1014" t="s">
        <v>116</v>
      </c>
      <c r="D609" s="1015"/>
      <c r="E609" s="1015"/>
      <c r="F609" s="1015"/>
      <c r="G609" s="1015"/>
      <c r="H609" s="1015"/>
      <c r="I609" s="1015"/>
      <c r="J609" s="1016"/>
      <c r="K609" s="89">
        <f>SUM(K608:K608)</f>
        <v>12.6</v>
      </c>
      <c r="L609" s="90"/>
    </row>
    <row r="610" spans="2:12" hidden="1">
      <c r="B610" s="663"/>
      <c r="C610" s="211"/>
      <c r="D610" s="211"/>
      <c r="E610" s="211"/>
      <c r="F610" s="211"/>
      <c r="G610" s="211"/>
      <c r="H610" s="211"/>
      <c r="I610" s="211"/>
      <c r="J610" s="211"/>
      <c r="K610" s="212"/>
      <c r="L610" s="90"/>
    </row>
    <row r="611" spans="2:12">
      <c r="B611" s="292" t="s">
        <v>13</v>
      </c>
      <c r="C611" s="1093" t="s">
        <v>34</v>
      </c>
      <c r="D611" s="1093"/>
      <c r="E611" s="1093"/>
      <c r="F611" s="1093"/>
      <c r="G611" s="1093"/>
      <c r="H611" s="1093"/>
      <c r="I611" s="1093"/>
      <c r="J611" s="1093"/>
      <c r="K611" s="293"/>
      <c r="L611" s="293"/>
    </row>
    <row r="612" spans="2:12">
      <c r="B612" s="219"/>
      <c r="C612" s="219"/>
      <c r="D612" s="219"/>
      <c r="E612" s="219"/>
      <c r="F612" s="219"/>
      <c r="G612" s="219"/>
      <c r="H612" s="219"/>
      <c r="I612" s="219"/>
      <c r="J612" s="219"/>
      <c r="K612" s="219"/>
      <c r="L612" s="219"/>
    </row>
    <row r="613" spans="2:12" ht="26.25" customHeight="1">
      <c r="B613" s="663" t="s">
        <v>14</v>
      </c>
      <c r="C613" s="980" t="str">
        <f>'ESC. NIVALDO XAVIER '!C26</f>
        <v>APLICAÇÃO MANUAL DE PINTURA COM TINTA LÁTEX ACRÍLICA EM PAREDES, DUAS DEMÃOS. AF_06/2014</v>
      </c>
      <c r="D613" s="981"/>
      <c r="E613" s="981"/>
      <c r="F613" s="981"/>
      <c r="G613" s="981"/>
      <c r="H613" s="981"/>
      <c r="I613" s="981"/>
      <c r="J613" s="982"/>
      <c r="K613" s="97" t="s">
        <v>7</v>
      </c>
      <c r="L613" s="97">
        <f>K642</f>
        <v>1348.232</v>
      </c>
    </row>
    <row r="614" spans="2:12">
      <c r="B614" s="663"/>
      <c r="C614" s="983" t="s">
        <v>20</v>
      </c>
      <c r="D614" s="983"/>
      <c r="E614" s="983"/>
      <c r="F614" s="87" t="s">
        <v>22</v>
      </c>
      <c r="G614" s="656" t="s">
        <v>111</v>
      </c>
      <c r="H614" s="87" t="s">
        <v>112</v>
      </c>
      <c r="I614" s="656" t="s">
        <v>113</v>
      </c>
      <c r="J614" s="656" t="s">
        <v>114</v>
      </c>
      <c r="K614" s="89" t="s">
        <v>25</v>
      </c>
      <c r="L614" s="90"/>
    </row>
    <row r="615" spans="2:12">
      <c r="B615" s="663"/>
      <c r="C615" s="984" t="s">
        <v>338</v>
      </c>
      <c r="D615" s="985"/>
      <c r="E615" s="986"/>
      <c r="F615" s="91">
        <v>1</v>
      </c>
      <c r="G615" s="91">
        <v>2</v>
      </c>
      <c r="H615" s="91">
        <v>1</v>
      </c>
      <c r="I615" s="91">
        <v>28</v>
      </c>
      <c r="J615" s="91">
        <f>SUM(1.68+1.5)</f>
        <v>3.1799999999999997</v>
      </c>
      <c r="K615" s="666">
        <f>(F615*G615*H615*I615)-J615</f>
        <v>52.82</v>
      </c>
      <c r="L615" s="90"/>
    </row>
    <row r="616" spans="2:12">
      <c r="B616" s="663"/>
      <c r="C616" s="984" t="s">
        <v>244</v>
      </c>
      <c r="D616" s="985"/>
      <c r="E616" s="986"/>
      <c r="F616" s="91">
        <v>1</v>
      </c>
      <c r="G616" s="91">
        <v>4</v>
      </c>
      <c r="H616" s="91">
        <v>1</v>
      </c>
      <c r="I616" s="91">
        <v>22.3</v>
      </c>
      <c r="J616" s="91">
        <v>0</v>
      </c>
      <c r="K616" s="666">
        <f t="shared" ref="K616:K641" si="2">(F616*G616*H616*I616)-J616</f>
        <v>89.2</v>
      </c>
      <c r="L616" s="90"/>
    </row>
    <row r="617" spans="2:12">
      <c r="B617" s="663"/>
      <c r="C617" s="984" t="s">
        <v>461</v>
      </c>
      <c r="D617" s="985"/>
      <c r="E617" s="986"/>
      <c r="F617" s="91">
        <v>1</v>
      </c>
      <c r="G617" s="91">
        <v>2</v>
      </c>
      <c r="H617" s="91">
        <v>1</v>
      </c>
      <c r="I617" s="91">
        <v>28</v>
      </c>
      <c r="J617" s="91">
        <v>3.18</v>
      </c>
      <c r="K617" s="666">
        <f t="shared" si="2"/>
        <v>52.82</v>
      </c>
      <c r="L617" s="90"/>
    </row>
    <row r="618" spans="2:12">
      <c r="B618" s="663"/>
      <c r="C618" s="984" t="s">
        <v>237</v>
      </c>
      <c r="D618" s="985"/>
      <c r="E618" s="986"/>
      <c r="F618" s="91">
        <v>1</v>
      </c>
      <c r="G618" s="91">
        <v>2</v>
      </c>
      <c r="H618" s="91">
        <v>1</v>
      </c>
      <c r="I618" s="91">
        <v>20.05</v>
      </c>
      <c r="J618" s="91">
        <v>0</v>
      </c>
      <c r="K618" s="666">
        <f t="shared" si="2"/>
        <v>40.1</v>
      </c>
      <c r="L618" s="90"/>
    </row>
    <row r="619" spans="2:12">
      <c r="B619" s="663"/>
      <c r="C619" s="984" t="s">
        <v>496</v>
      </c>
      <c r="D619" s="985"/>
      <c r="E619" s="986"/>
      <c r="F619" s="91">
        <v>1</v>
      </c>
      <c r="G619" s="91">
        <v>2</v>
      </c>
      <c r="H619" s="91">
        <v>1</v>
      </c>
      <c r="I619" s="91">
        <v>28</v>
      </c>
      <c r="J619" s="91">
        <v>3.18</v>
      </c>
      <c r="K619" s="666">
        <f t="shared" si="2"/>
        <v>52.82</v>
      </c>
      <c r="L619" s="90"/>
    </row>
    <row r="620" spans="2:12">
      <c r="B620" s="663"/>
      <c r="C620" s="984" t="s">
        <v>498</v>
      </c>
      <c r="D620" s="985"/>
      <c r="E620" s="986"/>
      <c r="F620" s="91">
        <v>1</v>
      </c>
      <c r="G620" s="91">
        <v>2</v>
      </c>
      <c r="H620" s="91">
        <v>1</v>
      </c>
      <c r="I620" s="91">
        <v>28</v>
      </c>
      <c r="J620" s="91">
        <v>3.18</v>
      </c>
      <c r="K620" s="666">
        <f t="shared" si="2"/>
        <v>52.82</v>
      </c>
      <c r="L620" s="90"/>
    </row>
    <row r="621" spans="2:12">
      <c r="B621" s="663"/>
      <c r="C621" s="984" t="s">
        <v>499</v>
      </c>
      <c r="D621" s="985"/>
      <c r="E621" s="986"/>
      <c r="F621" s="91">
        <v>1</v>
      </c>
      <c r="G621" s="91">
        <v>2</v>
      </c>
      <c r="H621" s="91">
        <v>1</v>
      </c>
      <c r="I621" s="91">
        <v>28</v>
      </c>
      <c r="J621" s="91">
        <v>3.18</v>
      </c>
      <c r="K621" s="666">
        <f t="shared" si="2"/>
        <v>52.82</v>
      </c>
      <c r="L621" s="90"/>
    </row>
    <row r="622" spans="2:12">
      <c r="B622" s="663"/>
      <c r="C622" s="984" t="s">
        <v>1110</v>
      </c>
      <c r="D622" s="985"/>
      <c r="E622" s="986"/>
      <c r="F622" s="91">
        <v>1</v>
      </c>
      <c r="G622" s="91">
        <v>2</v>
      </c>
      <c r="H622" s="91">
        <v>1</v>
      </c>
      <c r="I622" s="91">
        <v>28</v>
      </c>
      <c r="J622" s="91">
        <v>4</v>
      </c>
      <c r="K622" s="666">
        <f t="shared" si="2"/>
        <v>52</v>
      </c>
      <c r="L622" s="90"/>
    </row>
    <row r="623" spans="2:12">
      <c r="B623" s="663"/>
      <c r="C623" s="984" t="s">
        <v>243</v>
      </c>
      <c r="D623" s="985"/>
      <c r="E623" s="986"/>
      <c r="F623" s="91">
        <v>1</v>
      </c>
      <c r="G623" s="91">
        <v>2</v>
      </c>
      <c r="H623" s="91">
        <v>1</v>
      </c>
      <c r="I623" s="91">
        <v>24.62</v>
      </c>
      <c r="J623" s="91">
        <v>1.5</v>
      </c>
      <c r="K623" s="666">
        <f t="shared" si="2"/>
        <v>47.74</v>
      </c>
      <c r="L623" s="90"/>
    </row>
    <row r="624" spans="2:12">
      <c r="B624" s="663"/>
      <c r="C624" s="984" t="s">
        <v>493</v>
      </c>
      <c r="D624" s="985"/>
      <c r="E624" s="986"/>
      <c r="F624" s="91">
        <v>1</v>
      </c>
      <c r="G624" s="91">
        <v>3.5</v>
      </c>
      <c r="H624" s="91">
        <v>1</v>
      </c>
      <c r="I624" s="91">
        <v>19.7</v>
      </c>
      <c r="J624" s="91">
        <v>1.5</v>
      </c>
      <c r="K624" s="666">
        <f t="shared" si="2"/>
        <v>67.45</v>
      </c>
      <c r="L624" s="90"/>
    </row>
    <row r="625" spans="2:12">
      <c r="B625" s="663"/>
      <c r="C625" s="984" t="s">
        <v>1111</v>
      </c>
      <c r="D625" s="985"/>
      <c r="E625" s="986"/>
      <c r="F625" s="91">
        <v>1</v>
      </c>
      <c r="G625" s="91">
        <v>3.5</v>
      </c>
      <c r="H625" s="91">
        <v>1</v>
      </c>
      <c r="I625" s="91">
        <v>15.1</v>
      </c>
      <c r="J625" s="91">
        <v>0</v>
      </c>
      <c r="K625" s="666">
        <f t="shared" si="2"/>
        <v>52.85</v>
      </c>
      <c r="L625" s="90"/>
    </row>
    <row r="626" spans="2:12">
      <c r="B626" s="663"/>
      <c r="C626" s="984" t="s">
        <v>242</v>
      </c>
      <c r="D626" s="985"/>
      <c r="E626" s="986"/>
      <c r="F626" s="91">
        <v>1</v>
      </c>
      <c r="G626" s="91">
        <v>2.4</v>
      </c>
      <c r="H626" s="91">
        <v>1</v>
      </c>
      <c r="I626" s="91">
        <v>15.08</v>
      </c>
      <c r="J626" s="91">
        <v>3</v>
      </c>
      <c r="K626" s="666">
        <f t="shared" si="2"/>
        <v>33.192</v>
      </c>
      <c r="L626" s="90"/>
    </row>
    <row r="627" spans="2:12">
      <c r="B627" s="663"/>
      <c r="C627" s="984" t="s">
        <v>240</v>
      </c>
      <c r="D627" s="985"/>
      <c r="E627" s="986"/>
      <c r="F627" s="91">
        <v>1</v>
      </c>
      <c r="G627" s="91">
        <v>3</v>
      </c>
      <c r="H627" s="91">
        <v>1</v>
      </c>
      <c r="I627" s="91">
        <v>23.16</v>
      </c>
      <c r="J627" s="91">
        <v>3</v>
      </c>
      <c r="K627" s="666">
        <f t="shared" si="2"/>
        <v>66.48</v>
      </c>
      <c r="L627" s="90"/>
    </row>
    <row r="628" spans="2:12">
      <c r="B628" s="663"/>
      <c r="C628" s="984" t="s">
        <v>236</v>
      </c>
      <c r="D628" s="985"/>
      <c r="E628" s="986"/>
      <c r="F628" s="91">
        <v>1</v>
      </c>
      <c r="G628" s="91">
        <v>3</v>
      </c>
      <c r="H628" s="91">
        <v>1</v>
      </c>
      <c r="I628" s="91">
        <v>18.100000000000001</v>
      </c>
      <c r="J628" s="91">
        <v>6.36</v>
      </c>
      <c r="K628" s="666">
        <f t="shared" si="2"/>
        <v>47.940000000000005</v>
      </c>
      <c r="L628" s="90"/>
    </row>
    <row r="629" spans="2:12">
      <c r="B629" s="663"/>
      <c r="C629" s="984" t="s">
        <v>465</v>
      </c>
      <c r="D629" s="985"/>
      <c r="E629" s="986"/>
      <c r="F629" s="91">
        <v>1</v>
      </c>
      <c r="G629" s="91">
        <v>2</v>
      </c>
      <c r="H629" s="91">
        <v>1</v>
      </c>
      <c r="I629" s="91">
        <v>11.8</v>
      </c>
      <c r="J629" s="91">
        <v>4.68</v>
      </c>
      <c r="K629" s="666">
        <f t="shared" si="2"/>
        <v>18.920000000000002</v>
      </c>
      <c r="L629" s="90"/>
    </row>
    <row r="630" spans="2:12">
      <c r="B630" s="663"/>
      <c r="C630" s="984" t="s">
        <v>500</v>
      </c>
      <c r="D630" s="985"/>
      <c r="E630" s="986"/>
      <c r="F630" s="91">
        <v>1</v>
      </c>
      <c r="G630" s="91">
        <v>2</v>
      </c>
      <c r="H630" s="91">
        <v>1</v>
      </c>
      <c r="I630" s="91">
        <v>28</v>
      </c>
      <c r="J630" s="91">
        <v>3.18</v>
      </c>
      <c r="K630" s="666">
        <f t="shared" si="2"/>
        <v>52.82</v>
      </c>
      <c r="L630" s="90"/>
    </row>
    <row r="631" spans="2:12">
      <c r="B631" s="663"/>
      <c r="C631" s="984" t="s">
        <v>501</v>
      </c>
      <c r="D631" s="985"/>
      <c r="E631" s="986"/>
      <c r="F631" s="91">
        <v>1</v>
      </c>
      <c r="G631" s="91">
        <v>2</v>
      </c>
      <c r="H631" s="91">
        <v>1</v>
      </c>
      <c r="I631" s="91">
        <v>28</v>
      </c>
      <c r="J631" s="91">
        <v>3.18</v>
      </c>
      <c r="K631" s="666">
        <f t="shared" si="2"/>
        <v>52.82</v>
      </c>
      <c r="L631" s="90"/>
    </row>
    <row r="632" spans="2:12">
      <c r="B632" s="663"/>
      <c r="C632" s="984" t="s">
        <v>502</v>
      </c>
      <c r="D632" s="985"/>
      <c r="E632" s="986"/>
      <c r="F632" s="91">
        <v>1</v>
      </c>
      <c r="G632" s="91">
        <v>2</v>
      </c>
      <c r="H632" s="91">
        <v>1</v>
      </c>
      <c r="I632" s="91">
        <v>28</v>
      </c>
      <c r="J632" s="91">
        <v>3.18</v>
      </c>
      <c r="K632" s="666">
        <f t="shared" si="2"/>
        <v>52.82</v>
      </c>
      <c r="L632" s="90"/>
    </row>
    <row r="633" spans="2:12">
      <c r="B633" s="663"/>
      <c r="C633" s="984" t="s">
        <v>1112</v>
      </c>
      <c r="D633" s="985"/>
      <c r="E633" s="986"/>
      <c r="F633" s="91">
        <v>1</v>
      </c>
      <c r="G633" s="91">
        <v>2</v>
      </c>
      <c r="H633" s="91">
        <v>1</v>
      </c>
      <c r="I633" s="91">
        <v>12.76</v>
      </c>
      <c r="J633" s="91">
        <v>0</v>
      </c>
      <c r="K633" s="666">
        <f t="shared" si="2"/>
        <v>25.52</v>
      </c>
      <c r="L633" s="90"/>
    </row>
    <row r="634" spans="2:12">
      <c r="B634" s="663"/>
      <c r="C634" s="984" t="s">
        <v>503</v>
      </c>
      <c r="D634" s="985"/>
      <c r="E634" s="986"/>
      <c r="F634" s="91">
        <v>1</v>
      </c>
      <c r="G634" s="91">
        <v>2</v>
      </c>
      <c r="H634" s="91">
        <v>1</v>
      </c>
      <c r="I634" s="91">
        <v>27.76</v>
      </c>
      <c r="J634" s="91">
        <v>6</v>
      </c>
      <c r="K634" s="666">
        <f t="shared" si="2"/>
        <v>49.52</v>
      </c>
      <c r="L634" s="90"/>
    </row>
    <row r="635" spans="2:12">
      <c r="B635" s="663"/>
      <c r="C635" s="984" t="s">
        <v>504</v>
      </c>
      <c r="D635" s="985"/>
      <c r="E635" s="986"/>
      <c r="F635" s="91">
        <v>1</v>
      </c>
      <c r="G635" s="91">
        <v>2</v>
      </c>
      <c r="H635" s="91">
        <v>1</v>
      </c>
      <c r="I635" s="91">
        <v>28</v>
      </c>
      <c r="J635" s="91">
        <v>3.18</v>
      </c>
      <c r="K635" s="666">
        <f t="shared" si="2"/>
        <v>52.82</v>
      </c>
      <c r="L635" s="90"/>
    </row>
    <row r="636" spans="2:12">
      <c r="B636" s="663"/>
      <c r="C636" s="984" t="s">
        <v>1113</v>
      </c>
      <c r="D636" s="985"/>
      <c r="E636" s="986"/>
      <c r="F636" s="91">
        <v>1</v>
      </c>
      <c r="G636" s="91">
        <v>2</v>
      </c>
      <c r="H636" s="91">
        <v>1</v>
      </c>
      <c r="I636" s="91">
        <v>28</v>
      </c>
      <c r="J636" s="91">
        <v>3.18</v>
      </c>
      <c r="K636" s="666">
        <f t="shared" si="2"/>
        <v>52.82</v>
      </c>
      <c r="L636" s="90"/>
    </row>
    <row r="637" spans="2:12">
      <c r="B637" s="663"/>
      <c r="C637" s="984" t="s">
        <v>1115</v>
      </c>
      <c r="D637" s="985"/>
      <c r="E637" s="986"/>
      <c r="F637" s="91">
        <v>1</v>
      </c>
      <c r="G637" s="91">
        <v>2</v>
      </c>
      <c r="H637" s="91">
        <v>1</v>
      </c>
      <c r="I637" s="91">
        <v>24.5</v>
      </c>
      <c r="J637" s="91">
        <v>3.18</v>
      </c>
      <c r="K637" s="666">
        <f t="shared" si="2"/>
        <v>45.82</v>
      </c>
      <c r="L637" s="90"/>
    </row>
    <row r="638" spans="2:12">
      <c r="B638" s="663"/>
      <c r="C638" s="984" t="s">
        <v>1116</v>
      </c>
      <c r="D638" s="985"/>
      <c r="E638" s="986"/>
      <c r="F638" s="91">
        <v>1</v>
      </c>
      <c r="G638" s="91">
        <v>2</v>
      </c>
      <c r="H638" s="91">
        <v>1</v>
      </c>
      <c r="I638" s="91">
        <v>19.7</v>
      </c>
      <c r="J638" s="91">
        <v>3.46</v>
      </c>
      <c r="K638" s="666">
        <f t="shared" si="2"/>
        <v>35.94</v>
      </c>
      <c r="L638" s="90"/>
    </row>
    <row r="639" spans="2:12">
      <c r="B639" s="663"/>
      <c r="C639" s="984" t="s">
        <v>1117</v>
      </c>
      <c r="D639" s="985"/>
      <c r="E639" s="986"/>
      <c r="F639" s="91">
        <v>1</v>
      </c>
      <c r="G639" s="91">
        <v>2</v>
      </c>
      <c r="H639" s="91">
        <v>1</v>
      </c>
      <c r="I639" s="91">
        <v>24.9</v>
      </c>
      <c r="J639" s="91">
        <v>3.68</v>
      </c>
      <c r="K639" s="666">
        <f t="shared" si="2"/>
        <v>46.12</v>
      </c>
      <c r="L639" s="90"/>
    </row>
    <row r="640" spans="2:12">
      <c r="B640" s="663"/>
      <c r="C640" s="984" t="s">
        <v>1118</v>
      </c>
      <c r="D640" s="985"/>
      <c r="E640" s="986"/>
      <c r="F640" s="91">
        <v>1</v>
      </c>
      <c r="G640" s="91">
        <v>2</v>
      </c>
      <c r="H640" s="91">
        <v>1</v>
      </c>
      <c r="I640" s="91">
        <v>20.3</v>
      </c>
      <c r="J640" s="91">
        <v>1.68</v>
      </c>
      <c r="K640" s="666">
        <f t="shared" si="2"/>
        <v>38.92</v>
      </c>
      <c r="L640" s="90"/>
    </row>
    <row r="641" spans="2:12">
      <c r="B641" s="663"/>
      <c r="C641" s="984" t="s">
        <v>1119</v>
      </c>
      <c r="D641" s="985"/>
      <c r="E641" s="986"/>
      <c r="F641" s="91">
        <v>1</v>
      </c>
      <c r="G641" s="91">
        <v>2</v>
      </c>
      <c r="H641" s="91">
        <v>1</v>
      </c>
      <c r="I641" s="91">
        <v>32</v>
      </c>
      <c r="J641" s="91">
        <v>1.68</v>
      </c>
      <c r="K641" s="666">
        <f t="shared" si="2"/>
        <v>62.32</v>
      </c>
      <c r="L641" s="90"/>
    </row>
    <row r="642" spans="2:12">
      <c r="B642" s="663"/>
      <c r="C642" s="987" t="s">
        <v>116</v>
      </c>
      <c r="D642" s="987"/>
      <c r="E642" s="987"/>
      <c r="F642" s="987"/>
      <c r="G642" s="987"/>
      <c r="H642" s="987"/>
      <c r="I642" s="987"/>
      <c r="J642" s="987"/>
      <c r="K642" s="89">
        <f>SUM(K615:K641)</f>
        <v>1348.232</v>
      </c>
      <c r="L642" s="90"/>
    </row>
    <row r="643" spans="2:12">
      <c r="B643" s="219"/>
      <c r="C643" s="219"/>
      <c r="D643" s="219"/>
      <c r="E643" s="219"/>
      <c r="F643" s="219"/>
      <c r="G643" s="219"/>
      <c r="H643" s="219"/>
      <c r="I643" s="219"/>
      <c r="J643" s="219"/>
      <c r="K643" s="219"/>
      <c r="L643" s="219"/>
    </row>
    <row r="644" spans="2:12" ht="15" customHeight="1">
      <c r="B644" s="663" t="s">
        <v>35</v>
      </c>
      <c r="C644" s="980" t="s">
        <v>38</v>
      </c>
      <c r="D644" s="981"/>
      <c r="E644" s="981"/>
      <c r="F644" s="981"/>
      <c r="G644" s="981"/>
      <c r="H644" s="981"/>
      <c r="I644" s="981"/>
      <c r="J644" s="982"/>
      <c r="K644" s="97" t="s">
        <v>7</v>
      </c>
      <c r="L644" s="97">
        <f>K674</f>
        <v>1426.4060000000002</v>
      </c>
    </row>
    <row r="645" spans="2:12">
      <c r="B645" s="663"/>
      <c r="C645" s="983" t="s">
        <v>20</v>
      </c>
      <c r="D645" s="983"/>
      <c r="E645" s="983"/>
      <c r="F645" s="87" t="s">
        <v>22</v>
      </c>
      <c r="G645" s="656" t="s">
        <v>111</v>
      </c>
      <c r="H645" s="87" t="s">
        <v>112</v>
      </c>
      <c r="I645" s="656" t="s">
        <v>113</v>
      </c>
      <c r="J645" s="656" t="s">
        <v>114</v>
      </c>
      <c r="K645" s="89" t="s">
        <v>25</v>
      </c>
      <c r="L645" s="90"/>
    </row>
    <row r="646" spans="2:12">
      <c r="B646" s="663"/>
      <c r="C646" s="984" t="s">
        <v>1105</v>
      </c>
      <c r="D646" s="985"/>
      <c r="E646" s="986"/>
      <c r="F646" s="91">
        <v>2</v>
      </c>
      <c r="G646" s="91">
        <v>6.35</v>
      </c>
      <c r="H646" s="91">
        <v>1</v>
      </c>
      <c r="I646" s="91">
        <v>65</v>
      </c>
      <c r="J646" s="91">
        <f>(4.5*28)+(3.75*4)+(2.2*12)</f>
        <v>167.4</v>
      </c>
      <c r="K646" s="664">
        <f>(F646*G646*H646*I646)-J646</f>
        <v>658.1</v>
      </c>
      <c r="L646" s="90"/>
    </row>
    <row r="647" spans="2:12">
      <c r="B647" s="663"/>
      <c r="C647" s="984" t="s">
        <v>1106</v>
      </c>
      <c r="D647" s="985"/>
      <c r="E647" s="986"/>
      <c r="F647" s="91">
        <v>1</v>
      </c>
      <c r="G647" s="91">
        <v>5.75</v>
      </c>
      <c r="H647" s="91">
        <v>1</v>
      </c>
      <c r="I647" s="91">
        <v>50</v>
      </c>
      <c r="J647" s="91">
        <f>(4*2.6)+(4.4*4)+(1.4*3)</f>
        <v>32.200000000000003</v>
      </c>
      <c r="K647" s="666">
        <f>(F647*G647*H647*I647)-J647</f>
        <v>255.3</v>
      </c>
      <c r="L647" s="90"/>
    </row>
    <row r="648" spans="2:12" ht="20.25" customHeight="1">
      <c r="B648" s="663"/>
      <c r="C648" s="984" t="s">
        <v>488</v>
      </c>
      <c r="D648" s="985"/>
      <c r="E648" s="986"/>
      <c r="F648" s="91">
        <v>1</v>
      </c>
      <c r="G648" s="91">
        <v>2.52</v>
      </c>
      <c r="H648" s="91">
        <v>1</v>
      </c>
      <c r="I648" s="91">
        <v>60</v>
      </c>
      <c r="J648" s="91">
        <f>(3.4*2.5)</f>
        <v>8.5</v>
      </c>
      <c r="K648" s="666">
        <f t="shared" ref="K648:K673" si="3">(F648*G648*H648*I648)-J648</f>
        <v>142.69999999999999</v>
      </c>
      <c r="L648" s="90"/>
    </row>
    <row r="649" spans="2:12">
      <c r="B649" s="663"/>
      <c r="C649" s="984" t="s">
        <v>1108</v>
      </c>
      <c r="D649" s="985"/>
      <c r="E649" s="986"/>
      <c r="F649" s="91">
        <v>1</v>
      </c>
      <c r="G649" s="91">
        <v>1.8</v>
      </c>
      <c r="H649" s="91">
        <v>1</v>
      </c>
      <c r="I649" s="91">
        <f>SUM(55+30.47+55+7+7+24+24+9+13)</f>
        <v>224.47</v>
      </c>
      <c r="J649" s="91">
        <f>SUM(1.68*18)+(3.5)</f>
        <v>33.739999999999995</v>
      </c>
      <c r="K649" s="666">
        <f t="shared" si="3"/>
        <v>370.30599999999998</v>
      </c>
      <c r="L649" s="90"/>
    </row>
    <row r="650" spans="2:12">
      <c r="B650" s="663"/>
      <c r="C650" s="984"/>
      <c r="D650" s="985"/>
      <c r="E650" s="986"/>
      <c r="F650" s="91"/>
      <c r="G650" s="91"/>
      <c r="H650" s="91"/>
      <c r="I650" s="91"/>
      <c r="J650" s="91"/>
      <c r="K650" s="666">
        <f t="shared" si="3"/>
        <v>0</v>
      </c>
      <c r="L650" s="90"/>
    </row>
    <row r="651" spans="2:12">
      <c r="B651" s="663"/>
      <c r="C651" s="984"/>
      <c r="D651" s="985"/>
      <c r="E651" s="986"/>
      <c r="F651" s="91"/>
      <c r="G651" s="91"/>
      <c r="H651" s="91"/>
      <c r="I651" s="91"/>
      <c r="J651" s="91"/>
      <c r="K651" s="666">
        <f t="shared" si="3"/>
        <v>0</v>
      </c>
      <c r="L651" s="90"/>
    </row>
    <row r="652" spans="2:12" ht="30" customHeight="1">
      <c r="B652" s="663"/>
      <c r="C652" s="984"/>
      <c r="D652" s="985"/>
      <c r="E652" s="986"/>
      <c r="F652" s="91"/>
      <c r="G652" s="91"/>
      <c r="H652" s="91"/>
      <c r="I652" s="91"/>
      <c r="J652" s="91"/>
      <c r="K652" s="666">
        <f t="shared" si="3"/>
        <v>0</v>
      </c>
      <c r="L652" s="90"/>
    </row>
    <row r="653" spans="2:12" ht="30.75" customHeight="1">
      <c r="B653" s="663"/>
      <c r="C653" s="984"/>
      <c r="D653" s="985"/>
      <c r="E653" s="986"/>
      <c r="F653" s="91"/>
      <c r="G653" s="91"/>
      <c r="H653" s="91"/>
      <c r="I653" s="91"/>
      <c r="J653" s="91"/>
      <c r="K653" s="666">
        <f t="shared" si="3"/>
        <v>0</v>
      </c>
      <c r="L653" s="90"/>
    </row>
    <row r="654" spans="2:12">
      <c r="B654" s="663"/>
      <c r="C654" s="984"/>
      <c r="D654" s="985"/>
      <c r="E654" s="986"/>
      <c r="F654" s="91"/>
      <c r="G654" s="91"/>
      <c r="H654" s="91"/>
      <c r="I654" s="91"/>
      <c r="J654" s="91"/>
      <c r="K654" s="666">
        <f t="shared" si="3"/>
        <v>0</v>
      </c>
      <c r="L654" s="90"/>
    </row>
    <row r="655" spans="2:12">
      <c r="B655" s="663"/>
      <c r="C655" s="984"/>
      <c r="D655" s="985"/>
      <c r="E655" s="986"/>
      <c r="F655" s="91"/>
      <c r="G655" s="91"/>
      <c r="H655" s="91"/>
      <c r="I655" s="91"/>
      <c r="J655" s="91"/>
      <c r="K655" s="666">
        <f t="shared" si="3"/>
        <v>0</v>
      </c>
      <c r="L655" s="90"/>
    </row>
    <row r="656" spans="2:12">
      <c r="B656" s="663"/>
      <c r="C656" s="984"/>
      <c r="D656" s="985"/>
      <c r="E656" s="986"/>
      <c r="F656" s="91"/>
      <c r="G656" s="91"/>
      <c r="H656" s="91"/>
      <c r="I656" s="91"/>
      <c r="J656" s="91"/>
      <c r="K656" s="666">
        <f t="shared" si="3"/>
        <v>0</v>
      </c>
      <c r="L656" s="90"/>
    </row>
    <row r="657" spans="2:12">
      <c r="B657" s="663"/>
      <c r="C657" s="984"/>
      <c r="D657" s="985"/>
      <c r="E657" s="986"/>
      <c r="F657" s="91"/>
      <c r="G657" s="91"/>
      <c r="H657" s="91"/>
      <c r="I657" s="91"/>
      <c r="J657" s="91"/>
      <c r="K657" s="666">
        <f t="shared" si="3"/>
        <v>0</v>
      </c>
      <c r="L657" s="90"/>
    </row>
    <row r="658" spans="2:12">
      <c r="B658" s="663"/>
      <c r="C658" s="984"/>
      <c r="D658" s="985"/>
      <c r="E658" s="986"/>
      <c r="F658" s="91"/>
      <c r="G658" s="91"/>
      <c r="H658" s="91"/>
      <c r="I658" s="91"/>
      <c r="J658" s="91"/>
      <c r="K658" s="666">
        <f t="shared" si="3"/>
        <v>0</v>
      </c>
      <c r="L658" s="90"/>
    </row>
    <row r="659" spans="2:12">
      <c r="B659" s="663"/>
      <c r="C659" s="984"/>
      <c r="D659" s="985"/>
      <c r="E659" s="986"/>
      <c r="F659" s="91"/>
      <c r="G659" s="91"/>
      <c r="H659" s="91"/>
      <c r="I659" s="91"/>
      <c r="J659" s="91"/>
      <c r="K659" s="666">
        <f t="shared" si="3"/>
        <v>0</v>
      </c>
      <c r="L659" s="90"/>
    </row>
    <row r="660" spans="2:12">
      <c r="B660" s="663"/>
      <c r="C660" s="984"/>
      <c r="D660" s="985"/>
      <c r="E660" s="986"/>
      <c r="F660" s="91"/>
      <c r="G660" s="91"/>
      <c r="H660" s="91"/>
      <c r="I660" s="91"/>
      <c r="J660" s="91"/>
      <c r="K660" s="666">
        <f t="shared" si="3"/>
        <v>0</v>
      </c>
      <c r="L660" s="90"/>
    </row>
    <row r="661" spans="2:12">
      <c r="B661" s="663"/>
      <c r="C661" s="984"/>
      <c r="D661" s="985"/>
      <c r="E661" s="986"/>
      <c r="F661" s="91"/>
      <c r="G661" s="91"/>
      <c r="H661" s="91"/>
      <c r="I661" s="91"/>
      <c r="J661" s="91"/>
      <c r="K661" s="666">
        <f t="shared" si="3"/>
        <v>0</v>
      </c>
      <c r="L661" s="90"/>
    </row>
    <row r="662" spans="2:12">
      <c r="B662" s="663"/>
      <c r="C662" s="984"/>
      <c r="D662" s="985"/>
      <c r="E662" s="986"/>
      <c r="F662" s="91"/>
      <c r="G662" s="91"/>
      <c r="H662" s="91"/>
      <c r="I662" s="91"/>
      <c r="J662" s="91"/>
      <c r="K662" s="666">
        <f t="shared" si="3"/>
        <v>0</v>
      </c>
      <c r="L662" s="90"/>
    </row>
    <row r="663" spans="2:12">
      <c r="B663" s="663"/>
      <c r="C663" s="984"/>
      <c r="D663" s="985"/>
      <c r="E663" s="986"/>
      <c r="F663" s="91"/>
      <c r="G663" s="91"/>
      <c r="H663" s="91"/>
      <c r="I663" s="91"/>
      <c r="J663" s="91"/>
      <c r="K663" s="666">
        <f t="shared" si="3"/>
        <v>0</v>
      </c>
      <c r="L663" s="90"/>
    </row>
    <row r="664" spans="2:12">
      <c r="B664" s="663"/>
      <c r="C664" s="984"/>
      <c r="D664" s="985"/>
      <c r="E664" s="986"/>
      <c r="F664" s="91"/>
      <c r="G664" s="91"/>
      <c r="H664" s="91"/>
      <c r="I664" s="91"/>
      <c r="J664" s="91"/>
      <c r="K664" s="666">
        <f t="shared" si="3"/>
        <v>0</v>
      </c>
      <c r="L664" s="90"/>
    </row>
    <row r="665" spans="2:12">
      <c r="B665" s="663"/>
      <c r="C665" s="984"/>
      <c r="D665" s="985"/>
      <c r="E665" s="986"/>
      <c r="F665" s="91"/>
      <c r="G665" s="91"/>
      <c r="H665" s="91"/>
      <c r="I665" s="91"/>
      <c r="J665" s="91"/>
      <c r="K665" s="666">
        <f t="shared" si="3"/>
        <v>0</v>
      </c>
      <c r="L665" s="90"/>
    </row>
    <row r="666" spans="2:12">
      <c r="B666" s="663"/>
      <c r="C666" s="984"/>
      <c r="D666" s="985"/>
      <c r="E666" s="986"/>
      <c r="F666" s="91"/>
      <c r="G666" s="91"/>
      <c r="H666" s="91"/>
      <c r="I666" s="91"/>
      <c r="J666" s="91"/>
      <c r="K666" s="666">
        <f t="shared" si="3"/>
        <v>0</v>
      </c>
      <c r="L666" s="90"/>
    </row>
    <row r="667" spans="2:12">
      <c r="B667" s="663"/>
      <c r="C667" s="984"/>
      <c r="D667" s="985"/>
      <c r="E667" s="986"/>
      <c r="F667" s="91"/>
      <c r="G667" s="91"/>
      <c r="H667" s="91"/>
      <c r="I667" s="91"/>
      <c r="J667" s="91"/>
      <c r="K667" s="666">
        <f t="shared" si="3"/>
        <v>0</v>
      </c>
      <c r="L667" s="90"/>
    </row>
    <row r="668" spans="2:12">
      <c r="B668" s="663"/>
      <c r="C668" s="984"/>
      <c r="D668" s="985"/>
      <c r="E668" s="986"/>
      <c r="F668" s="91"/>
      <c r="G668" s="91"/>
      <c r="H668" s="91"/>
      <c r="I668" s="91"/>
      <c r="J668" s="91"/>
      <c r="K668" s="666">
        <f t="shared" si="3"/>
        <v>0</v>
      </c>
      <c r="L668" s="90"/>
    </row>
    <row r="669" spans="2:12">
      <c r="B669" s="663"/>
      <c r="C669" s="984"/>
      <c r="D669" s="985"/>
      <c r="E669" s="986"/>
      <c r="F669" s="91"/>
      <c r="G669" s="91"/>
      <c r="H669" s="91"/>
      <c r="I669" s="91"/>
      <c r="J669" s="91"/>
      <c r="K669" s="666">
        <f t="shared" si="3"/>
        <v>0</v>
      </c>
      <c r="L669" s="90"/>
    </row>
    <row r="670" spans="2:12">
      <c r="B670" s="663"/>
      <c r="C670" s="984"/>
      <c r="D670" s="985"/>
      <c r="E670" s="986"/>
      <c r="F670" s="91"/>
      <c r="G670" s="91"/>
      <c r="H670" s="91"/>
      <c r="I670" s="91"/>
      <c r="J670" s="91"/>
      <c r="K670" s="666">
        <f t="shared" si="3"/>
        <v>0</v>
      </c>
      <c r="L670" s="90"/>
    </row>
    <row r="671" spans="2:12">
      <c r="B671" s="663"/>
      <c r="C671" s="984"/>
      <c r="D671" s="985"/>
      <c r="E671" s="986"/>
      <c r="F671" s="91"/>
      <c r="G671" s="91"/>
      <c r="H671" s="91"/>
      <c r="I671" s="91"/>
      <c r="J671" s="91"/>
      <c r="K671" s="666">
        <f t="shared" si="3"/>
        <v>0</v>
      </c>
      <c r="L671" s="90"/>
    </row>
    <row r="672" spans="2:12">
      <c r="B672" s="663"/>
      <c r="C672" s="984"/>
      <c r="D672" s="985"/>
      <c r="E672" s="986"/>
      <c r="F672" s="91"/>
      <c r="G672" s="91"/>
      <c r="H672" s="91"/>
      <c r="I672" s="91"/>
      <c r="J672" s="91"/>
      <c r="K672" s="666">
        <f t="shared" si="3"/>
        <v>0</v>
      </c>
      <c r="L672" s="90"/>
    </row>
    <row r="673" spans="2:12">
      <c r="B673" s="663"/>
      <c r="C673" s="984"/>
      <c r="D673" s="985"/>
      <c r="E673" s="986"/>
      <c r="F673" s="91"/>
      <c r="G673" s="91"/>
      <c r="H673" s="91"/>
      <c r="I673" s="91"/>
      <c r="J673" s="91"/>
      <c r="K673" s="666">
        <f t="shared" si="3"/>
        <v>0</v>
      </c>
      <c r="L673" s="90"/>
    </row>
    <row r="674" spans="2:12">
      <c r="B674" s="663"/>
      <c r="C674" s="987" t="s">
        <v>116</v>
      </c>
      <c r="D674" s="987"/>
      <c r="E674" s="987"/>
      <c r="F674" s="987"/>
      <c r="G674" s="987"/>
      <c r="H674" s="987"/>
      <c r="I674" s="987"/>
      <c r="J674" s="987"/>
      <c r="K674" s="89">
        <f>SUM(K646:K673)</f>
        <v>1426.4060000000002</v>
      </c>
      <c r="L674" s="90"/>
    </row>
    <row r="675" spans="2:12">
      <c r="B675" s="663"/>
      <c r="C675" s="211"/>
      <c r="D675" s="211"/>
      <c r="E675" s="211"/>
      <c r="F675" s="211"/>
      <c r="G675" s="211"/>
      <c r="H675" s="211"/>
      <c r="I675" s="211"/>
      <c r="J675" s="211"/>
      <c r="K675" s="212"/>
      <c r="L675" s="90"/>
    </row>
    <row r="676" spans="2:12" ht="30" customHeight="1">
      <c r="B676" s="663" t="s">
        <v>37</v>
      </c>
      <c r="C676" s="980" t="s">
        <v>666</v>
      </c>
      <c r="D676" s="981"/>
      <c r="E676" s="981"/>
      <c r="F676" s="981"/>
      <c r="G676" s="981"/>
      <c r="H676" s="981"/>
      <c r="I676" s="981"/>
      <c r="J676" s="982"/>
      <c r="K676" s="97" t="s">
        <v>7</v>
      </c>
      <c r="L676" s="97">
        <f>K708</f>
        <v>2451.7019999999998</v>
      </c>
    </row>
    <row r="677" spans="2:12">
      <c r="B677" s="663"/>
      <c r="C677" s="983" t="s">
        <v>20</v>
      </c>
      <c r="D677" s="983"/>
      <c r="E677" s="983"/>
      <c r="F677" s="87" t="s">
        <v>22</v>
      </c>
      <c r="G677" s="656" t="s">
        <v>111</v>
      </c>
      <c r="H677" s="87" t="s">
        <v>112</v>
      </c>
      <c r="I677" s="656" t="s">
        <v>113</v>
      </c>
      <c r="J677" s="656" t="s">
        <v>114</v>
      </c>
      <c r="K677" s="89" t="s">
        <v>25</v>
      </c>
      <c r="L677" s="90"/>
    </row>
    <row r="678" spans="2:12">
      <c r="B678" s="663"/>
      <c r="C678" s="984" t="s">
        <v>1107</v>
      </c>
      <c r="D678" s="985"/>
      <c r="E678" s="986"/>
      <c r="F678" s="91">
        <v>1</v>
      </c>
      <c r="G678" s="91">
        <v>1.8</v>
      </c>
      <c r="H678" s="91">
        <v>1</v>
      </c>
      <c r="I678" s="91">
        <f>SUM(55+30.47+55+7+7+24+24+9+13)</f>
        <v>224.47</v>
      </c>
      <c r="J678" s="91">
        <f>SUM(1.68*18)+(3.5)</f>
        <v>33.739999999999995</v>
      </c>
      <c r="K678" s="666">
        <f t="shared" ref="K678:K707" si="4">(F678*G678*H678*I678)-J678</f>
        <v>370.30599999999998</v>
      </c>
      <c r="L678" s="90"/>
    </row>
    <row r="679" spans="2:12">
      <c r="B679" s="663"/>
      <c r="C679" s="984" t="s">
        <v>1109</v>
      </c>
      <c r="D679" s="985"/>
      <c r="E679" s="986"/>
      <c r="F679" s="91">
        <v>1</v>
      </c>
      <c r="G679" s="91">
        <v>1.8</v>
      </c>
      <c r="H679" s="91">
        <v>1</v>
      </c>
      <c r="I679" s="91">
        <f>20*4</f>
        <v>80</v>
      </c>
      <c r="J679" s="91">
        <v>0</v>
      </c>
      <c r="K679" s="666">
        <f t="shared" si="4"/>
        <v>144</v>
      </c>
      <c r="L679" s="90"/>
    </row>
    <row r="680" spans="2:12">
      <c r="B680" s="663"/>
      <c r="C680" s="984" t="s">
        <v>338</v>
      </c>
      <c r="D680" s="985"/>
      <c r="E680" s="986"/>
      <c r="F680" s="91">
        <v>2</v>
      </c>
      <c r="G680" s="91">
        <v>1.5</v>
      </c>
      <c r="H680" s="91">
        <v>1</v>
      </c>
      <c r="I680" s="91">
        <v>28</v>
      </c>
      <c r="J680" s="91">
        <f>SUM(1.68+1.5)</f>
        <v>3.1799999999999997</v>
      </c>
      <c r="K680" s="666">
        <f t="shared" si="4"/>
        <v>80.819999999999993</v>
      </c>
      <c r="L680" s="90"/>
    </row>
    <row r="681" spans="2:12">
      <c r="B681" s="663"/>
      <c r="C681" s="984" t="s">
        <v>461</v>
      </c>
      <c r="D681" s="985"/>
      <c r="E681" s="986"/>
      <c r="F681" s="91">
        <v>2</v>
      </c>
      <c r="G681" s="91">
        <v>1.5</v>
      </c>
      <c r="H681" s="91">
        <v>1</v>
      </c>
      <c r="I681" s="91">
        <v>28</v>
      </c>
      <c r="J681" s="91">
        <v>3.18</v>
      </c>
      <c r="K681" s="666">
        <f t="shared" si="4"/>
        <v>80.819999999999993</v>
      </c>
      <c r="L681" s="90"/>
    </row>
    <row r="682" spans="2:12">
      <c r="B682" s="663"/>
      <c r="C682" s="984" t="s">
        <v>496</v>
      </c>
      <c r="D682" s="985"/>
      <c r="E682" s="986"/>
      <c r="F682" s="91">
        <v>2</v>
      </c>
      <c r="G682" s="91">
        <v>2</v>
      </c>
      <c r="H682" s="91">
        <v>1</v>
      </c>
      <c r="I682" s="91">
        <v>28</v>
      </c>
      <c r="J682" s="91">
        <v>3.18</v>
      </c>
      <c r="K682" s="666">
        <f t="shared" si="4"/>
        <v>108.82</v>
      </c>
      <c r="L682" s="90"/>
    </row>
    <row r="683" spans="2:12">
      <c r="B683" s="663"/>
      <c r="C683" s="984" t="s">
        <v>498</v>
      </c>
      <c r="D683" s="985"/>
      <c r="E683" s="986"/>
      <c r="F683" s="91">
        <v>2</v>
      </c>
      <c r="G683" s="91">
        <v>2</v>
      </c>
      <c r="H683" s="91">
        <v>1</v>
      </c>
      <c r="I683" s="91">
        <v>28</v>
      </c>
      <c r="J683" s="91">
        <v>3.18</v>
      </c>
      <c r="K683" s="666">
        <f t="shared" si="4"/>
        <v>108.82</v>
      </c>
      <c r="L683" s="90"/>
    </row>
    <row r="684" spans="2:12">
      <c r="B684" s="663"/>
      <c r="C684" s="984" t="s">
        <v>499</v>
      </c>
      <c r="D684" s="985"/>
      <c r="E684" s="986"/>
      <c r="F684" s="91">
        <v>2</v>
      </c>
      <c r="G684" s="91">
        <v>2</v>
      </c>
      <c r="H684" s="91">
        <v>1</v>
      </c>
      <c r="I684" s="91">
        <v>28</v>
      </c>
      <c r="J684" s="91">
        <v>3.18</v>
      </c>
      <c r="K684" s="666">
        <f t="shared" si="4"/>
        <v>108.82</v>
      </c>
      <c r="L684" s="90"/>
    </row>
    <row r="685" spans="2:12">
      <c r="B685" s="663"/>
      <c r="C685" s="984" t="s">
        <v>1110</v>
      </c>
      <c r="D685" s="985"/>
      <c r="E685" s="986"/>
      <c r="F685" s="91">
        <v>1</v>
      </c>
      <c r="G685" s="91">
        <v>2</v>
      </c>
      <c r="H685" s="91">
        <v>1</v>
      </c>
      <c r="I685" s="91">
        <v>28</v>
      </c>
      <c r="J685" s="91">
        <v>4</v>
      </c>
      <c r="K685" s="666">
        <f t="shared" si="4"/>
        <v>52</v>
      </c>
      <c r="L685" s="90"/>
    </row>
    <row r="686" spans="2:12">
      <c r="B686" s="663"/>
      <c r="C686" s="984" t="s">
        <v>243</v>
      </c>
      <c r="D686" s="985"/>
      <c r="E686" s="986"/>
      <c r="F686" s="91">
        <v>1</v>
      </c>
      <c r="G686" s="91">
        <v>2</v>
      </c>
      <c r="H686" s="91">
        <v>1</v>
      </c>
      <c r="I686" s="91">
        <v>24.62</v>
      </c>
      <c r="J686" s="91">
        <v>1.5</v>
      </c>
      <c r="K686" s="666">
        <f t="shared" si="4"/>
        <v>47.74</v>
      </c>
      <c r="L686" s="90"/>
    </row>
    <row r="687" spans="2:12">
      <c r="B687" s="663"/>
      <c r="C687" s="984" t="s">
        <v>465</v>
      </c>
      <c r="D687" s="985"/>
      <c r="E687" s="986"/>
      <c r="F687" s="91">
        <v>2</v>
      </c>
      <c r="G687" s="91">
        <v>2</v>
      </c>
      <c r="H687" s="91">
        <v>1</v>
      </c>
      <c r="I687" s="91">
        <v>11.8</v>
      </c>
      <c r="J687" s="91">
        <v>4.68</v>
      </c>
      <c r="K687" s="666">
        <f t="shared" si="4"/>
        <v>42.52</v>
      </c>
      <c r="L687" s="90"/>
    </row>
    <row r="688" spans="2:12">
      <c r="B688" s="663"/>
      <c r="C688" s="984" t="s">
        <v>500</v>
      </c>
      <c r="D688" s="985"/>
      <c r="E688" s="986"/>
      <c r="F688" s="91">
        <v>2</v>
      </c>
      <c r="G688" s="91">
        <v>2</v>
      </c>
      <c r="H688" s="91">
        <v>1</v>
      </c>
      <c r="I688" s="91">
        <v>28</v>
      </c>
      <c r="J688" s="91">
        <v>3.18</v>
      </c>
      <c r="K688" s="666">
        <f t="shared" si="4"/>
        <v>108.82</v>
      </c>
      <c r="L688" s="90"/>
    </row>
    <row r="689" spans="2:12">
      <c r="B689" s="663"/>
      <c r="C689" s="984" t="s">
        <v>501</v>
      </c>
      <c r="D689" s="985"/>
      <c r="E689" s="986"/>
      <c r="F689" s="91">
        <v>2</v>
      </c>
      <c r="G689" s="91">
        <v>2</v>
      </c>
      <c r="H689" s="91">
        <v>1</v>
      </c>
      <c r="I689" s="91">
        <v>28</v>
      </c>
      <c r="J689" s="91">
        <v>3.18</v>
      </c>
      <c r="K689" s="666">
        <f t="shared" si="4"/>
        <v>108.82</v>
      </c>
      <c r="L689" s="90"/>
    </row>
    <row r="690" spans="2:12">
      <c r="B690" s="663"/>
      <c r="C690" s="984" t="s">
        <v>502</v>
      </c>
      <c r="D690" s="985"/>
      <c r="E690" s="986"/>
      <c r="F690" s="91">
        <v>2</v>
      </c>
      <c r="G690" s="91">
        <v>2</v>
      </c>
      <c r="H690" s="91">
        <v>1</v>
      </c>
      <c r="I690" s="91">
        <v>28</v>
      </c>
      <c r="J690" s="91">
        <v>3.18</v>
      </c>
      <c r="K690" s="666">
        <f t="shared" si="4"/>
        <v>108.82</v>
      </c>
      <c r="L690" s="90"/>
    </row>
    <row r="691" spans="2:12">
      <c r="B691" s="663"/>
      <c r="C691" s="984" t="s">
        <v>503</v>
      </c>
      <c r="D691" s="985"/>
      <c r="E691" s="986"/>
      <c r="F691" s="91">
        <v>2</v>
      </c>
      <c r="G691" s="91">
        <v>2</v>
      </c>
      <c r="H691" s="91">
        <v>1</v>
      </c>
      <c r="I691" s="91">
        <v>27.76</v>
      </c>
      <c r="J691" s="91">
        <v>6</v>
      </c>
      <c r="K691" s="666">
        <f t="shared" si="4"/>
        <v>105.04</v>
      </c>
      <c r="L691" s="90"/>
    </row>
    <row r="692" spans="2:12">
      <c r="B692" s="663"/>
      <c r="C692" s="984" t="s">
        <v>504</v>
      </c>
      <c r="D692" s="985"/>
      <c r="E692" s="986"/>
      <c r="F692" s="91">
        <v>2</v>
      </c>
      <c r="G692" s="91">
        <v>2</v>
      </c>
      <c r="H692" s="91">
        <v>1</v>
      </c>
      <c r="I692" s="91">
        <v>28</v>
      </c>
      <c r="J692" s="91">
        <v>3.18</v>
      </c>
      <c r="K692" s="666">
        <f t="shared" si="4"/>
        <v>108.82</v>
      </c>
      <c r="L692" s="90"/>
    </row>
    <row r="693" spans="2:12">
      <c r="B693" s="663"/>
      <c r="C693" s="984" t="s">
        <v>1113</v>
      </c>
      <c r="D693" s="985"/>
      <c r="E693" s="986"/>
      <c r="F693" s="91">
        <v>3</v>
      </c>
      <c r="G693" s="91">
        <v>2</v>
      </c>
      <c r="H693" s="91">
        <v>1</v>
      </c>
      <c r="I693" s="91">
        <v>28</v>
      </c>
      <c r="J693" s="91">
        <v>3.18</v>
      </c>
      <c r="K693" s="666">
        <f t="shared" si="4"/>
        <v>164.82</v>
      </c>
      <c r="L693" s="90"/>
    </row>
    <row r="694" spans="2:12">
      <c r="B694" s="663"/>
      <c r="C694" s="984" t="s">
        <v>237</v>
      </c>
      <c r="D694" s="985"/>
      <c r="E694" s="986"/>
      <c r="F694" s="91">
        <v>2</v>
      </c>
      <c r="G694" s="91">
        <v>1</v>
      </c>
      <c r="H694" s="91">
        <v>1</v>
      </c>
      <c r="I694" s="91">
        <v>11.5</v>
      </c>
      <c r="J694" s="91">
        <v>1.68</v>
      </c>
      <c r="K694" s="666">
        <f t="shared" si="4"/>
        <v>21.32</v>
      </c>
      <c r="L694" s="90"/>
    </row>
    <row r="695" spans="2:12">
      <c r="B695" s="663"/>
      <c r="C695" s="984" t="s">
        <v>97</v>
      </c>
      <c r="D695" s="985"/>
      <c r="E695" s="986"/>
      <c r="F695" s="91">
        <v>1</v>
      </c>
      <c r="G695" s="91">
        <v>1</v>
      </c>
      <c r="H695" s="91">
        <v>1</v>
      </c>
      <c r="I695" s="91">
        <v>18.64</v>
      </c>
      <c r="J695" s="91">
        <v>1.68</v>
      </c>
      <c r="K695" s="666">
        <f t="shared" si="4"/>
        <v>16.96</v>
      </c>
      <c r="L695" s="90"/>
    </row>
    <row r="696" spans="2:12">
      <c r="B696" s="663"/>
      <c r="C696" s="984" t="s">
        <v>244</v>
      </c>
      <c r="D696" s="985"/>
      <c r="E696" s="986"/>
      <c r="F696" s="91">
        <v>1</v>
      </c>
      <c r="G696" s="91">
        <v>1</v>
      </c>
      <c r="H696" s="91">
        <v>1</v>
      </c>
      <c r="I696" s="91">
        <v>16.3</v>
      </c>
      <c r="J696" s="91">
        <v>1.68</v>
      </c>
      <c r="K696" s="666">
        <f t="shared" si="4"/>
        <v>14.620000000000001</v>
      </c>
      <c r="L696" s="90"/>
    </row>
    <row r="697" spans="2:12">
      <c r="B697" s="663"/>
      <c r="C697" s="984" t="s">
        <v>1114</v>
      </c>
      <c r="D697" s="985"/>
      <c r="E697" s="986"/>
      <c r="F697" s="91">
        <v>1</v>
      </c>
      <c r="G697" s="91">
        <v>2.8</v>
      </c>
      <c r="H697" s="91">
        <v>1</v>
      </c>
      <c r="I697" s="91">
        <v>21.64</v>
      </c>
      <c r="J697" s="91">
        <v>6</v>
      </c>
      <c r="K697" s="666">
        <f t="shared" si="4"/>
        <v>54.591999999999999</v>
      </c>
      <c r="L697" s="90"/>
    </row>
    <row r="698" spans="2:12">
      <c r="B698" s="663"/>
      <c r="C698" s="984" t="s">
        <v>244</v>
      </c>
      <c r="D698" s="985"/>
      <c r="E698" s="986"/>
      <c r="F698" s="91">
        <v>1</v>
      </c>
      <c r="G698" s="91">
        <v>2.8</v>
      </c>
      <c r="H698" s="91">
        <v>1</v>
      </c>
      <c r="I698" s="91">
        <v>18.5</v>
      </c>
      <c r="J698" s="91">
        <v>1.5</v>
      </c>
      <c r="K698" s="666">
        <f t="shared" si="4"/>
        <v>50.3</v>
      </c>
      <c r="L698" s="90"/>
    </row>
    <row r="699" spans="2:12">
      <c r="B699" s="663"/>
      <c r="C699" s="984" t="s">
        <v>244</v>
      </c>
      <c r="D699" s="985"/>
      <c r="E699" s="986"/>
      <c r="F699" s="91">
        <v>1</v>
      </c>
      <c r="G699" s="91">
        <v>2.8</v>
      </c>
      <c r="H699" s="91">
        <v>1</v>
      </c>
      <c r="I699" s="91">
        <v>22.5</v>
      </c>
      <c r="J699" s="91">
        <v>1.68</v>
      </c>
      <c r="K699" s="666">
        <f t="shared" si="4"/>
        <v>61.319999999999993</v>
      </c>
      <c r="L699" s="90"/>
    </row>
    <row r="700" spans="2:12">
      <c r="B700" s="663"/>
      <c r="C700" s="984" t="s">
        <v>244</v>
      </c>
      <c r="D700" s="985"/>
      <c r="E700" s="986"/>
      <c r="F700" s="91">
        <v>1</v>
      </c>
      <c r="G700" s="91">
        <v>2.8</v>
      </c>
      <c r="H700" s="91">
        <v>1</v>
      </c>
      <c r="I700" s="91">
        <v>32</v>
      </c>
      <c r="J700" s="91">
        <v>1.68</v>
      </c>
      <c r="K700" s="666">
        <f t="shared" si="4"/>
        <v>87.919999999999987</v>
      </c>
      <c r="L700" s="90"/>
    </row>
    <row r="701" spans="2:12">
      <c r="B701" s="663"/>
      <c r="C701" s="984" t="s">
        <v>244</v>
      </c>
      <c r="D701" s="985"/>
      <c r="E701" s="986"/>
      <c r="F701" s="91">
        <v>1</v>
      </c>
      <c r="G701" s="91">
        <v>2.8</v>
      </c>
      <c r="H701" s="91">
        <v>1</v>
      </c>
      <c r="I701" s="91">
        <v>17.18</v>
      </c>
      <c r="J701" s="91">
        <v>1.68</v>
      </c>
      <c r="K701" s="666">
        <f t="shared" si="4"/>
        <v>46.423999999999999</v>
      </c>
      <c r="L701" s="90"/>
    </row>
    <row r="702" spans="2:12">
      <c r="B702" s="663"/>
      <c r="C702" s="984" t="s">
        <v>244</v>
      </c>
      <c r="D702" s="985"/>
      <c r="E702" s="986"/>
      <c r="F702" s="91">
        <v>1</v>
      </c>
      <c r="G702" s="91">
        <v>2.8</v>
      </c>
      <c r="H702" s="91">
        <v>1</v>
      </c>
      <c r="I702" s="91">
        <v>7.5</v>
      </c>
      <c r="J702" s="91">
        <v>1.68</v>
      </c>
      <c r="K702" s="666">
        <f t="shared" si="4"/>
        <v>19.32</v>
      </c>
      <c r="L702" s="90"/>
    </row>
    <row r="703" spans="2:12">
      <c r="B703" s="670"/>
      <c r="C703" s="984" t="s">
        <v>1115</v>
      </c>
      <c r="D703" s="985"/>
      <c r="E703" s="986"/>
      <c r="F703" s="91">
        <v>1</v>
      </c>
      <c r="G703" s="91">
        <v>2</v>
      </c>
      <c r="H703" s="91">
        <v>1</v>
      </c>
      <c r="I703" s="91">
        <v>24.5</v>
      </c>
      <c r="J703" s="91">
        <v>3.18</v>
      </c>
      <c r="K703" s="671">
        <f t="shared" si="4"/>
        <v>45.82</v>
      </c>
      <c r="L703" s="90"/>
    </row>
    <row r="704" spans="2:12">
      <c r="B704" s="670"/>
      <c r="C704" s="984" t="s">
        <v>1116</v>
      </c>
      <c r="D704" s="985"/>
      <c r="E704" s="986"/>
      <c r="F704" s="91">
        <v>1</v>
      </c>
      <c r="G704" s="91">
        <v>2</v>
      </c>
      <c r="H704" s="91">
        <v>1</v>
      </c>
      <c r="I704" s="91">
        <v>19.7</v>
      </c>
      <c r="J704" s="91">
        <v>3.46</v>
      </c>
      <c r="K704" s="671">
        <f t="shared" si="4"/>
        <v>35.94</v>
      </c>
      <c r="L704" s="90"/>
    </row>
    <row r="705" spans="2:12">
      <c r="B705" s="670"/>
      <c r="C705" s="984" t="s">
        <v>1117</v>
      </c>
      <c r="D705" s="985"/>
      <c r="E705" s="986"/>
      <c r="F705" s="91">
        <v>1</v>
      </c>
      <c r="G705" s="91">
        <v>2</v>
      </c>
      <c r="H705" s="91">
        <v>1</v>
      </c>
      <c r="I705" s="91">
        <v>24.9</v>
      </c>
      <c r="J705" s="91">
        <v>3.68</v>
      </c>
      <c r="K705" s="671">
        <f t="shared" si="4"/>
        <v>46.12</v>
      </c>
      <c r="L705" s="90"/>
    </row>
    <row r="706" spans="2:12">
      <c r="B706" s="670"/>
      <c r="C706" s="984" t="s">
        <v>1118</v>
      </c>
      <c r="D706" s="985"/>
      <c r="E706" s="986"/>
      <c r="F706" s="91">
        <v>1</v>
      </c>
      <c r="G706" s="91">
        <v>2</v>
      </c>
      <c r="H706" s="91">
        <v>1</v>
      </c>
      <c r="I706" s="91">
        <v>20.3</v>
      </c>
      <c r="J706" s="91">
        <v>1.68</v>
      </c>
      <c r="K706" s="671">
        <f t="shared" si="4"/>
        <v>38.92</v>
      </c>
      <c r="L706" s="90"/>
    </row>
    <row r="707" spans="2:12">
      <c r="B707" s="670"/>
      <c r="C707" s="984" t="s">
        <v>1119</v>
      </c>
      <c r="D707" s="985"/>
      <c r="E707" s="986"/>
      <c r="F707" s="91">
        <v>1</v>
      </c>
      <c r="G707" s="91">
        <v>2</v>
      </c>
      <c r="H707" s="91">
        <v>1</v>
      </c>
      <c r="I707" s="91">
        <v>32</v>
      </c>
      <c r="J707" s="91">
        <v>1.68</v>
      </c>
      <c r="K707" s="671">
        <f t="shared" si="4"/>
        <v>62.32</v>
      </c>
      <c r="L707" s="90"/>
    </row>
    <row r="708" spans="2:12">
      <c r="B708" s="663"/>
      <c r="C708" s="987" t="s">
        <v>116</v>
      </c>
      <c r="D708" s="987"/>
      <c r="E708" s="987"/>
      <c r="F708" s="987"/>
      <c r="G708" s="987"/>
      <c r="H708" s="987"/>
      <c r="I708" s="987"/>
      <c r="J708" s="987"/>
      <c r="K708" s="89">
        <f>SUM(K678:K707)</f>
        <v>2451.7019999999998</v>
      </c>
      <c r="L708" s="90"/>
    </row>
    <row r="709" spans="2:12">
      <c r="B709" s="663"/>
      <c r="C709" s="211"/>
      <c r="D709" s="211"/>
      <c r="E709" s="211"/>
      <c r="F709" s="211"/>
      <c r="G709" s="211"/>
      <c r="H709" s="211"/>
      <c r="I709" s="211"/>
      <c r="J709" s="211"/>
      <c r="K709" s="212"/>
      <c r="L709" s="90"/>
    </row>
    <row r="710" spans="2:12">
      <c r="B710" s="663"/>
      <c r="C710" s="211"/>
      <c r="D710" s="211"/>
      <c r="E710" s="211"/>
      <c r="F710" s="211"/>
      <c r="G710" s="211"/>
      <c r="H710" s="211"/>
      <c r="I710" s="211"/>
      <c r="J710" s="211"/>
      <c r="K710" s="212"/>
      <c r="L710" s="90"/>
    </row>
    <row r="711" spans="2:12">
      <c r="B711" s="90"/>
      <c r="C711" s="90"/>
      <c r="D711" s="90"/>
      <c r="E711" s="90"/>
      <c r="F711" s="90"/>
      <c r="G711" s="90"/>
      <c r="H711" s="90"/>
      <c r="I711" s="90"/>
      <c r="J711" s="90"/>
      <c r="K711" s="90"/>
      <c r="L711" s="90"/>
    </row>
    <row r="712" spans="2:12" ht="15" customHeight="1">
      <c r="B712" s="663" t="s">
        <v>39</v>
      </c>
      <c r="C712" s="980" t="s">
        <v>40</v>
      </c>
      <c r="D712" s="981"/>
      <c r="E712" s="981"/>
      <c r="F712" s="981"/>
      <c r="G712" s="981"/>
      <c r="H712" s="981"/>
      <c r="I712" s="981"/>
      <c r="J712" s="982"/>
      <c r="K712" s="97" t="s">
        <v>7</v>
      </c>
      <c r="L712" s="97">
        <f>K735</f>
        <v>725.7120000000001</v>
      </c>
    </row>
    <row r="713" spans="2:12">
      <c r="B713" s="663"/>
      <c r="C713" s="983" t="s">
        <v>20</v>
      </c>
      <c r="D713" s="983"/>
      <c r="E713" s="983"/>
      <c r="F713" s="87" t="s">
        <v>22</v>
      </c>
      <c r="G713" s="656" t="s">
        <v>111</v>
      </c>
      <c r="H713" s="87" t="s">
        <v>112</v>
      </c>
      <c r="I713" s="656" t="s">
        <v>113</v>
      </c>
      <c r="J713" s="656" t="s">
        <v>114</v>
      </c>
      <c r="K713" s="89" t="s">
        <v>25</v>
      </c>
      <c r="L713" s="90"/>
    </row>
    <row r="714" spans="2:12">
      <c r="B714" s="670"/>
      <c r="C714" s="984" t="s">
        <v>338</v>
      </c>
      <c r="D714" s="985"/>
      <c r="E714" s="986"/>
      <c r="F714" s="91">
        <v>1</v>
      </c>
      <c r="G714" s="91">
        <v>2</v>
      </c>
      <c r="H714" s="91">
        <v>1</v>
      </c>
      <c r="I714" s="91">
        <v>28</v>
      </c>
      <c r="J714" s="91">
        <f>SUM(1.68+1.5)</f>
        <v>3.1799999999999997</v>
      </c>
      <c r="K714" s="671">
        <f t="shared" ref="K714:K734" si="5">(F714*G714*H714*I714)-J714</f>
        <v>52.82</v>
      </c>
      <c r="L714" s="90"/>
    </row>
    <row r="715" spans="2:12">
      <c r="B715" s="670"/>
      <c r="C715" s="984" t="s">
        <v>244</v>
      </c>
      <c r="D715" s="985"/>
      <c r="E715" s="986"/>
      <c r="F715" s="91">
        <v>1</v>
      </c>
      <c r="G715" s="91">
        <v>4</v>
      </c>
      <c r="H715" s="91">
        <v>1</v>
      </c>
      <c r="I715" s="91">
        <v>22.3</v>
      </c>
      <c r="J715" s="91">
        <v>0</v>
      </c>
      <c r="K715" s="671">
        <f t="shared" si="5"/>
        <v>89.2</v>
      </c>
      <c r="L715" s="90"/>
    </row>
    <row r="716" spans="2:12">
      <c r="B716" s="670"/>
      <c r="C716" s="984" t="s">
        <v>461</v>
      </c>
      <c r="D716" s="985"/>
      <c r="E716" s="986"/>
      <c r="F716" s="91">
        <v>1</v>
      </c>
      <c r="G716" s="91">
        <v>2</v>
      </c>
      <c r="H716" s="91">
        <v>1</v>
      </c>
      <c r="I716" s="91">
        <v>28</v>
      </c>
      <c r="J716" s="91">
        <v>3.18</v>
      </c>
      <c r="K716" s="671">
        <f t="shared" si="5"/>
        <v>52.82</v>
      </c>
      <c r="L716" s="90"/>
    </row>
    <row r="717" spans="2:12">
      <c r="B717" s="670"/>
      <c r="C717" s="984" t="s">
        <v>496</v>
      </c>
      <c r="D717" s="985"/>
      <c r="E717" s="986"/>
      <c r="F717" s="91">
        <v>1</v>
      </c>
      <c r="G717" s="91">
        <v>2</v>
      </c>
      <c r="H717" s="91">
        <v>1</v>
      </c>
      <c r="I717" s="91">
        <v>28</v>
      </c>
      <c r="J717" s="91">
        <v>3.18</v>
      </c>
      <c r="K717" s="671">
        <f t="shared" si="5"/>
        <v>52.82</v>
      </c>
      <c r="L717" s="90"/>
    </row>
    <row r="718" spans="2:12">
      <c r="B718" s="670"/>
      <c r="C718" s="984" t="s">
        <v>498</v>
      </c>
      <c r="D718" s="985"/>
      <c r="E718" s="986"/>
      <c r="F718" s="91">
        <v>1</v>
      </c>
      <c r="G718" s="91">
        <v>2</v>
      </c>
      <c r="H718" s="91">
        <v>1</v>
      </c>
      <c r="I718" s="91">
        <v>28</v>
      </c>
      <c r="J718" s="91">
        <v>3.18</v>
      </c>
      <c r="K718" s="671">
        <f t="shared" si="5"/>
        <v>52.82</v>
      </c>
      <c r="L718" s="90"/>
    </row>
    <row r="719" spans="2:12">
      <c r="B719" s="670"/>
      <c r="C719" s="984" t="s">
        <v>499</v>
      </c>
      <c r="D719" s="985"/>
      <c r="E719" s="986"/>
      <c r="F719" s="91">
        <v>1</v>
      </c>
      <c r="G719" s="91">
        <v>2</v>
      </c>
      <c r="H719" s="91">
        <v>1</v>
      </c>
      <c r="I719" s="91">
        <v>28</v>
      </c>
      <c r="J719" s="91">
        <v>3.18</v>
      </c>
      <c r="K719" s="671">
        <f t="shared" si="5"/>
        <v>52.82</v>
      </c>
      <c r="L719" s="90"/>
    </row>
    <row r="720" spans="2:12">
      <c r="B720" s="663"/>
      <c r="C720" s="984" t="s">
        <v>1110</v>
      </c>
      <c r="D720" s="985"/>
      <c r="E720" s="986"/>
      <c r="F720" s="91">
        <v>1</v>
      </c>
      <c r="G720" s="91">
        <v>2</v>
      </c>
      <c r="H720" s="91">
        <v>1</v>
      </c>
      <c r="I720" s="91">
        <v>28</v>
      </c>
      <c r="J720" s="91">
        <v>4</v>
      </c>
      <c r="K720" s="671">
        <f t="shared" si="5"/>
        <v>52</v>
      </c>
      <c r="L720" s="90"/>
    </row>
    <row r="721" spans="2:12">
      <c r="B721" s="670"/>
      <c r="C721" s="984" t="s">
        <v>243</v>
      </c>
      <c r="D721" s="985"/>
      <c r="E721" s="986"/>
      <c r="F721" s="91">
        <v>1</v>
      </c>
      <c r="G721" s="91">
        <v>2</v>
      </c>
      <c r="H721" s="91">
        <v>1</v>
      </c>
      <c r="I721" s="91">
        <v>24.62</v>
      </c>
      <c r="J721" s="91">
        <v>1.5</v>
      </c>
      <c r="K721" s="671">
        <f t="shared" si="5"/>
        <v>47.74</v>
      </c>
      <c r="L721" s="90"/>
    </row>
    <row r="722" spans="2:12">
      <c r="B722" s="670"/>
      <c r="C722" s="984" t="s">
        <v>493</v>
      </c>
      <c r="D722" s="985"/>
      <c r="E722" s="986"/>
      <c r="F722" s="91">
        <v>1</v>
      </c>
      <c r="G722" s="91">
        <v>3.5</v>
      </c>
      <c r="H722" s="91">
        <v>1</v>
      </c>
      <c r="I722" s="91">
        <v>19.7</v>
      </c>
      <c r="J722" s="91">
        <v>1.5</v>
      </c>
      <c r="K722" s="671">
        <f t="shared" si="5"/>
        <v>67.45</v>
      </c>
      <c r="L722" s="90"/>
    </row>
    <row r="723" spans="2:12">
      <c r="B723" s="670"/>
      <c r="C723" s="984" t="s">
        <v>1111</v>
      </c>
      <c r="D723" s="985"/>
      <c r="E723" s="986"/>
      <c r="F723" s="91">
        <v>1</v>
      </c>
      <c r="G723" s="91">
        <v>3.5</v>
      </c>
      <c r="H723" s="91">
        <v>1</v>
      </c>
      <c r="I723" s="91">
        <v>15.1</v>
      </c>
      <c r="J723" s="91">
        <v>0</v>
      </c>
      <c r="K723" s="671">
        <f t="shared" si="5"/>
        <v>52.85</v>
      </c>
      <c r="L723" s="90"/>
    </row>
    <row r="724" spans="2:12">
      <c r="B724" s="670"/>
      <c r="C724" s="984" t="s">
        <v>242</v>
      </c>
      <c r="D724" s="985"/>
      <c r="E724" s="986"/>
      <c r="F724" s="91">
        <v>1</v>
      </c>
      <c r="G724" s="91">
        <v>2.4</v>
      </c>
      <c r="H724" s="91">
        <v>1</v>
      </c>
      <c r="I724" s="91">
        <v>15.08</v>
      </c>
      <c r="J724" s="91">
        <v>3</v>
      </c>
      <c r="K724" s="671">
        <f t="shared" si="5"/>
        <v>33.192</v>
      </c>
      <c r="L724" s="90"/>
    </row>
    <row r="725" spans="2:12">
      <c r="B725" s="670"/>
      <c r="C725" s="984" t="s">
        <v>240</v>
      </c>
      <c r="D725" s="985"/>
      <c r="E725" s="986"/>
      <c r="F725" s="91">
        <v>1</v>
      </c>
      <c r="G725" s="91">
        <v>3</v>
      </c>
      <c r="H725" s="91">
        <v>1</v>
      </c>
      <c r="I725" s="91">
        <v>23.16</v>
      </c>
      <c r="J725" s="91">
        <v>3</v>
      </c>
      <c r="K725" s="671">
        <f t="shared" si="5"/>
        <v>66.48</v>
      </c>
      <c r="L725" s="90"/>
    </row>
    <row r="726" spans="2:12">
      <c r="B726" s="670"/>
      <c r="C726" s="984" t="s">
        <v>236</v>
      </c>
      <c r="D726" s="985"/>
      <c r="E726" s="986"/>
      <c r="F726" s="91">
        <v>1</v>
      </c>
      <c r="G726" s="91">
        <v>3</v>
      </c>
      <c r="H726" s="91">
        <v>1</v>
      </c>
      <c r="I726" s="91">
        <v>18.100000000000001</v>
      </c>
      <c r="J726" s="91">
        <v>6.36</v>
      </c>
      <c r="K726" s="671">
        <f t="shared" si="5"/>
        <v>47.940000000000005</v>
      </c>
      <c r="L726" s="90"/>
    </row>
    <row r="727" spans="2:12">
      <c r="B727" s="663"/>
      <c r="C727" s="984" t="s">
        <v>465</v>
      </c>
      <c r="D727" s="985"/>
      <c r="E727" s="986"/>
      <c r="F727" s="91">
        <v>1</v>
      </c>
      <c r="G727" s="91">
        <v>2</v>
      </c>
      <c r="H727" s="91">
        <v>1</v>
      </c>
      <c r="I727" s="91">
        <v>11.8</v>
      </c>
      <c r="J727" s="91">
        <v>4.68</v>
      </c>
      <c r="K727" s="671">
        <f t="shared" si="5"/>
        <v>18.920000000000002</v>
      </c>
      <c r="L727" s="90"/>
    </row>
    <row r="728" spans="2:12">
      <c r="B728" s="670"/>
      <c r="C728" s="984" t="s">
        <v>500</v>
      </c>
      <c r="D728" s="985"/>
      <c r="E728" s="986"/>
      <c r="F728" s="91">
        <v>1</v>
      </c>
      <c r="G728" s="91">
        <v>2</v>
      </c>
      <c r="H728" s="91">
        <v>1</v>
      </c>
      <c r="I728" s="91">
        <v>28</v>
      </c>
      <c r="J728" s="91">
        <v>3.18</v>
      </c>
      <c r="K728" s="671">
        <f t="shared" si="5"/>
        <v>52.82</v>
      </c>
      <c r="L728" s="90"/>
    </row>
    <row r="729" spans="2:12">
      <c r="B729" s="670"/>
      <c r="C729" s="984" t="s">
        <v>501</v>
      </c>
      <c r="D729" s="985"/>
      <c r="E729" s="986"/>
      <c r="F729" s="91">
        <v>1</v>
      </c>
      <c r="G729" s="91">
        <v>2</v>
      </c>
      <c r="H729" s="91">
        <v>1</v>
      </c>
      <c r="I729" s="91">
        <v>28</v>
      </c>
      <c r="J729" s="91">
        <v>3.18</v>
      </c>
      <c r="K729" s="671">
        <f t="shared" si="5"/>
        <v>52.82</v>
      </c>
      <c r="L729" s="90"/>
    </row>
    <row r="730" spans="2:12">
      <c r="B730" s="670"/>
      <c r="C730" s="984" t="s">
        <v>502</v>
      </c>
      <c r="D730" s="985"/>
      <c r="E730" s="986"/>
      <c r="F730" s="91">
        <v>1</v>
      </c>
      <c r="G730" s="91">
        <v>2</v>
      </c>
      <c r="H730" s="91">
        <v>1</v>
      </c>
      <c r="I730" s="91">
        <v>28</v>
      </c>
      <c r="J730" s="91">
        <v>3.18</v>
      </c>
      <c r="K730" s="671">
        <f t="shared" si="5"/>
        <v>52.82</v>
      </c>
      <c r="L730" s="90"/>
    </row>
    <row r="731" spans="2:12">
      <c r="B731" s="670"/>
      <c r="C731" s="984" t="s">
        <v>1112</v>
      </c>
      <c r="D731" s="985"/>
      <c r="E731" s="986"/>
      <c r="F731" s="91">
        <v>1</v>
      </c>
      <c r="G731" s="91">
        <v>2</v>
      </c>
      <c r="H731" s="91">
        <v>1</v>
      </c>
      <c r="I731" s="91">
        <v>12.76</v>
      </c>
      <c r="J731" s="91">
        <v>0</v>
      </c>
      <c r="K731" s="671">
        <f t="shared" si="5"/>
        <v>25.52</v>
      </c>
      <c r="L731" s="90"/>
    </row>
    <row r="732" spans="2:12">
      <c r="B732" s="670"/>
      <c r="C732" s="984" t="s">
        <v>503</v>
      </c>
      <c r="D732" s="985"/>
      <c r="E732" s="986"/>
      <c r="F732" s="91">
        <v>1</v>
      </c>
      <c r="G732" s="91">
        <v>2</v>
      </c>
      <c r="H732" s="91">
        <v>1</v>
      </c>
      <c r="I732" s="91">
        <v>27.76</v>
      </c>
      <c r="J732" s="91">
        <v>6</v>
      </c>
      <c r="K732" s="671">
        <f t="shared" si="5"/>
        <v>49.52</v>
      </c>
      <c r="L732" s="90"/>
    </row>
    <row r="733" spans="2:12">
      <c r="B733" s="670"/>
      <c r="C733" s="984" t="s">
        <v>504</v>
      </c>
      <c r="D733" s="985"/>
      <c r="E733" s="986"/>
      <c r="F733" s="91">
        <v>1</v>
      </c>
      <c r="G733" s="91">
        <v>2</v>
      </c>
      <c r="H733" s="91">
        <v>1</v>
      </c>
      <c r="I733" s="91">
        <v>28</v>
      </c>
      <c r="J733" s="91">
        <v>3.18</v>
      </c>
      <c r="K733" s="671">
        <f t="shared" si="5"/>
        <v>52.82</v>
      </c>
      <c r="L733" s="90"/>
    </row>
    <row r="734" spans="2:12">
      <c r="B734" s="663"/>
      <c r="C734" s="984" t="s">
        <v>1113</v>
      </c>
      <c r="D734" s="985"/>
      <c r="E734" s="986"/>
      <c r="F734" s="91">
        <v>1</v>
      </c>
      <c r="G734" s="91">
        <v>2</v>
      </c>
      <c r="H734" s="91">
        <v>1</v>
      </c>
      <c r="I734" s="91">
        <v>28</v>
      </c>
      <c r="J734" s="91">
        <v>3.18</v>
      </c>
      <c r="K734" s="671">
        <f t="shared" si="5"/>
        <v>52.82</v>
      </c>
      <c r="L734" s="90"/>
    </row>
    <row r="735" spans="2:12">
      <c r="B735" s="663"/>
      <c r="C735" s="987" t="s">
        <v>116</v>
      </c>
      <c r="D735" s="987"/>
      <c r="E735" s="987"/>
      <c r="F735" s="987"/>
      <c r="G735" s="987"/>
      <c r="H735" s="987"/>
      <c r="I735" s="987"/>
      <c r="J735" s="987"/>
      <c r="K735" s="89">
        <f>SUM(K720:K734)</f>
        <v>725.7120000000001</v>
      </c>
      <c r="L735" s="90"/>
    </row>
    <row r="736" spans="2:12">
      <c r="B736" s="663"/>
      <c r="C736" s="211"/>
      <c r="D736" s="211"/>
      <c r="E736" s="211"/>
      <c r="F736" s="211"/>
      <c r="G736" s="211"/>
      <c r="H736" s="211"/>
      <c r="I736" s="211"/>
      <c r="J736" s="211"/>
      <c r="K736" s="212"/>
      <c r="L736" s="90"/>
    </row>
    <row r="737" spans="2:12">
      <c r="B737" s="219"/>
      <c r="C737" s="219"/>
      <c r="D737" s="219"/>
      <c r="E737" s="219"/>
      <c r="F737" s="219"/>
      <c r="G737" s="219"/>
      <c r="H737" s="219"/>
      <c r="I737" s="219"/>
      <c r="J737" s="219"/>
      <c r="K737" s="219"/>
      <c r="L737" s="219"/>
    </row>
    <row r="738" spans="2:12">
      <c r="B738" s="663" t="s">
        <v>627</v>
      </c>
      <c r="C738" s="980" t="s">
        <v>343</v>
      </c>
      <c r="D738" s="981"/>
      <c r="E738" s="981"/>
      <c r="F738" s="981"/>
      <c r="G738" s="981"/>
      <c r="H738" s="981"/>
      <c r="I738" s="981"/>
      <c r="J738" s="982"/>
      <c r="K738" s="97" t="s">
        <v>7</v>
      </c>
      <c r="L738" s="97">
        <f>K741</f>
        <v>5952.0520000000006</v>
      </c>
    </row>
    <row r="739" spans="2:12">
      <c r="B739" s="663"/>
      <c r="C739" s="983" t="s">
        <v>20</v>
      </c>
      <c r="D739" s="983"/>
      <c r="E739" s="983"/>
      <c r="F739" s="87" t="s">
        <v>22</v>
      </c>
      <c r="G739" s="656" t="s">
        <v>111</v>
      </c>
      <c r="H739" s="87" t="s">
        <v>112</v>
      </c>
      <c r="I739" s="656" t="s">
        <v>113</v>
      </c>
      <c r="J739" s="656" t="s">
        <v>114</v>
      </c>
      <c r="K739" s="89" t="s">
        <v>25</v>
      </c>
      <c r="L739" s="90"/>
    </row>
    <row r="740" spans="2:12">
      <c r="B740" s="663"/>
      <c r="C740" s="984" t="s">
        <v>25</v>
      </c>
      <c r="D740" s="985"/>
      <c r="E740" s="986"/>
      <c r="F740" s="91"/>
      <c r="G740" s="91"/>
      <c r="H740" s="91"/>
      <c r="I740" s="91"/>
      <c r="J740" s="91"/>
      <c r="K740" s="664">
        <f>SUM(L613:L712)</f>
        <v>5952.0520000000006</v>
      </c>
      <c r="L740" s="90"/>
    </row>
    <row r="741" spans="2:12">
      <c r="B741" s="663"/>
      <c r="C741" s="987" t="s">
        <v>116</v>
      </c>
      <c r="D741" s="987"/>
      <c r="E741" s="987"/>
      <c r="F741" s="987"/>
      <c r="G741" s="987"/>
      <c r="H741" s="987"/>
      <c r="I741" s="987"/>
      <c r="J741" s="987"/>
      <c r="K741" s="89">
        <f>K740</f>
        <v>5952.0520000000006</v>
      </c>
      <c r="L741" s="90"/>
    </row>
    <row r="742" spans="2:12">
      <c r="B742" s="663"/>
      <c r="C742" s="211"/>
      <c r="D742" s="211"/>
      <c r="E742" s="211"/>
      <c r="F742" s="211"/>
      <c r="G742" s="211"/>
      <c r="H742" s="211"/>
      <c r="I742" s="211"/>
      <c r="J742" s="211"/>
      <c r="K742" s="212"/>
      <c r="L742" s="90"/>
    </row>
    <row r="743" spans="2:12" ht="26.25" customHeight="1">
      <c r="B743" s="663" t="s">
        <v>639</v>
      </c>
      <c r="C743" s="980" t="s">
        <v>619</v>
      </c>
      <c r="D743" s="981"/>
      <c r="E743" s="981"/>
      <c r="F743" s="981"/>
      <c r="G743" s="981"/>
      <c r="H743" s="981"/>
      <c r="I743" s="981"/>
      <c r="J743" s="982"/>
      <c r="K743" s="97" t="s">
        <v>7</v>
      </c>
      <c r="L743" s="97">
        <f>K746</f>
        <v>100</v>
      </c>
    </row>
    <row r="744" spans="2:12">
      <c r="B744" s="663"/>
      <c r="C744" s="983" t="s">
        <v>20</v>
      </c>
      <c r="D744" s="983"/>
      <c r="E744" s="983"/>
      <c r="F744" s="87" t="s">
        <v>22</v>
      </c>
      <c r="G744" s="656" t="s">
        <v>111</v>
      </c>
      <c r="H744" s="87" t="s">
        <v>112</v>
      </c>
      <c r="I744" s="656" t="s">
        <v>113</v>
      </c>
      <c r="J744" s="656" t="s">
        <v>114</v>
      </c>
      <c r="K744" s="89" t="s">
        <v>25</v>
      </c>
      <c r="L744" s="90"/>
    </row>
    <row r="745" spans="2:12">
      <c r="B745" s="663"/>
      <c r="C745" s="984" t="s">
        <v>210</v>
      </c>
      <c r="D745" s="985"/>
      <c r="E745" s="986"/>
      <c r="F745" s="91">
        <v>2</v>
      </c>
      <c r="G745" s="91">
        <v>2.1</v>
      </c>
      <c r="H745" s="91">
        <f>50/2.1</f>
        <v>23.80952380952381</v>
      </c>
      <c r="I745" s="91"/>
      <c r="J745" s="91"/>
      <c r="K745" s="664">
        <f>F745*G745*H745</f>
        <v>100</v>
      </c>
      <c r="L745" s="90"/>
    </row>
    <row r="746" spans="2:12">
      <c r="B746" s="663"/>
      <c r="C746" s="987" t="s">
        <v>116</v>
      </c>
      <c r="D746" s="987"/>
      <c r="E746" s="987"/>
      <c r="F746" s="987"/>
      <c r="G746" s="987"/>
      <c r="H746" s="987"/>
      <c r="I746" s="987"/>
      <c r="J746" s="987"/>
      <c r="K746" s="89">
        <f>K745</f>
        <v>100</v>
      </c>
      <c r="L746" s="90"/>
    </row>
    <row r="747" spans="2:12">
      <c r="B747" s="663"/>
      <c r="C747" s="211"/>
      <c r="D747" s="211"/>
      <c r="E747" s="211"/>
      <c r="F747" s="211"/>
      <c r="G747" s="211"/>
      <c r="H747" s="211"/>
      <c r="I747" s="211"/>
      <c r="J747" s="211"/>
      <c r="K747" s="212"/>
      <c r="L747" s="90"/>
    </row>
    <row r="748" spans="2:12">
      <c r="B748" s="292" t="s">
        <v>197</v>
      </c>
      <c r="C748" s="1093" t="s">
        <v>43</v>
      </c>
      <c r="D748" s="1093"/>
      <c r="E748" s="1093"/>
      <c r="F748" s="1093"/>
      <c r="G748" s="1093"/>
      <c r="H748" s="1093"/>
      <c r="I748" s="1093"/>
      <c r="J748" s="1093"/>
      <c r="K748" s="293"/>
      <c r="L748" s="293"/>
    </row>
    <row r="749" spans="2:12">
      <c r="B749" s="663"/>
      <c r="C749" s="211"/>
      <c r="D749" s="211"/>
      <c r="E749" s="211"/>
      <c r="F749" s="211"/>
      <c r="G749" s="211"/>
      <c r="H749" s="211"/>
      <c r="I749" s="211"/>
      <c r="J749" s="211"/>
      <c r="K749" s="212"/>
      <c r="L749" s="90"/>
    </row>
    <row r="750" spans="2:12" ht="26.25" customHeight="1">
      <c r="B750" s="663" t="s">
        <v>45</v>
      </c>
      <c r="C750" s="980" t="s">
        <v>46</v>
      </c>
      <c r="D750" s="981"/>
      <c r="E750" s="981"/>
      <c r="F750" s="981"/>
      <c r="G750" s="981"/>
      <c r="H750" s="981"/>
      <c r="I750" s="981"/>
      <c r="J750" s="982"/>
      <c r="K750" s="97" t="s">
        <v>7</v>
      </c>
      <c r="L750" s="97">
        <f>K753</f>
        <v>56</v>
      </c>
    </row>
    <row r="751" spans="2:12">
      <c r="B751" s="663"/>
      <c r="C751" s="983" t="s">
        <v>20</v>
      </c>
      <c r="D751" s="983"/>
      <c r="E751" s="983"/>
      <c r="F751" s="87" t="s">
        <v>22</v>
      </c>
      <c r="G751" s="656" t="s">
        <v>111</v>
      </c>
      <c r="H751" s="87" t="s">
        <v>112</v>
      </c>
      <c r="I751" s="656" t="s">
        <v>113</v>
      </c>
      <c r="J751" s="656" t="s">
        <v>114</v>
      </c>
      <c r="K751" s="89" t="s">
        <v>25</v>
      </c>
      <c r="L751" s="90"/>
    </row>
    <row r="752" spans="2:12" ht="15" customHeight="1">
      <c r="B752" s="663"/>
      <c r="C752" s="984" t="s">
        <v>597</v>
      </c>
      <c r="D752" s="985"/>
      <c r="E752" s="986"/>
      <c r="F752" s="91">
        <v>1</v>
      </c>
      <c r="G752" s="91">
        <v>2.8</v>
      </c>
      <c r="H752" s="91">
        <v>1</v>
      </c>
      <c r="I752" s="91">
        <v>20</v>
      </c>
      <c r="J752" s="91">
        <v>0</v>
      </c>
      <c r="K752" s="89">
        <f>(G752*H752*I752*F752)-J752</f>
        <v>56</v>
      </c>
      <c r="L752" s="90"/>
    </row>
    <row r="753" spans="1:12">
      <c r="B753" s="663"/>
      <c r="C753" s="987" t="s">
        <v>116</v>
      </c>
      <c r="D753" s="987"/>
      <c r="E753" s="987"/>
      <c r="F753" s="987"/>
      <c r="G753" s="987"/>
      <c r="H753" s="987"/>
      <c r="I753" s="987"/>
      <c r="J753" s="987"/>
      <c r="K753" s="89">
        <f>SUM(K752:K752)</f>
        <v>56</v>
      </c>
      <c r="L753" s="90"/>
    </row>
    <row r="754" spans="1:12">
      <c r="B754" s="90"/>
      <c r="C754" s="90"/>
      <c r="D754" s="90"/>
      <c r="E754" s="90"/>
      <c r="F754" s="90"/>
      <c r="G754" s="90"/>
      <c r="H754" s="90"/>
      <c r="I754" s="90"/>
      <c r="J754" s="90"/>
      <c r="K754" s="90"/>
      <c r="L754" s="90"/>
    </row>
    <row r="755" spans="1:12" ht="37.5" customHeight="1">
      <c r="B755" s="663" t="s">
        <v>198</v>
      </c>
      <c r="C755" s="980" t="s">
        <v>48</v>
      </c>
      <c r="D755" s="981"/>
      <c r="E755" s="981"/>
      <c r="F755" s="981"/>
      <c r="G755" s="981"/>
      <c r="H755" s="981"/>
      <c r="I755" s="981"/>
      <c r="J755" s="982"/>
      <c r="K755" s="97" t="s">
        <v>7</v>
      </c>
      <c r="L755" s="97">
        <f>K758</f>
        <v>56</v>
      </c>
    </row>
    <row r="756" spans="1:12">
      <c r="B756" s="663"/>
      <c r="C756" s="983" t="s">
        <v>20</v>
      </c>
      <c r="D756" s="983"/>
      <c r="E756" s="983"/>
      <c r="F756" s="87" t="s">
        <v>22</v>
      </c>
      <c r="G756" s="656" t="s">
        <v>111</v>
      </c>
      <c r="H756" s="87" t="s">
        <v>112</v>
      </c>
      <c r="I756" s="656" t="s">
        <v>113</v>
      </c>
      <c r="J756" s="656" t="s">
        <v>114</v>
      </c>
      <c r="K756" s="89" t="s">
        <v>25</v>
      </c>
      <c r="L756" s="90"/>
    </row>
    <row r="757" spans="1:12">
      <c r="B757" s="663"/>
      <c r="C757" s="984" t="s">
        <v>597</v>
      </c>
      <c r="D757" s="985"/>
      <c r="E757" s="986"/>
      <c r="F757" s="91">
        <v>1</v>
      </c>
      <c r="G757" s="91">
        <v>2.8</v>
      </c>
      <c r="H757" s="91">
        <v>1</v>
      </c>
      <c r="I757" s="91">
        <v>20</v>
      </c>
      <c r="J757" s="91">
        <v>0</v>
      </c>
      <c r="K757" s="89">
        <f>(G757*H757*I757*F757)-J757</f>
        <v>56</v>
      </c>
      <c r="L757" s="90"/>
    </row>
    <row r="758" spans="1:12">
      <c r="B758" s="663"/>
      <c r="C758" s="987">
        <v>8</v>
      </c>
      <c r="D758" s="987"/>
      <c r="E758" s="987"/>
      <c r="F758" s="987"/>
      <c r="G758" s="987"/>
      <c r="H758" s="987"/>
      <c r="I758" s="987"/>
      <c r="J758" s="987"/>
      <c r="K758" s="89">
        <f>SUM(K757:K757)</f>
        <v>56</v>
      </c>
      <c r="L758" s="90"/>
    </row>
    <row r="759" spans="1:12">
      <c r="A759" s="82"/>
      <c r="B759" s="90"/>
      <c r="C759" s="90"/>
      <c r="D759" s="90"/>
      <c r="E759" s="90"/>
      <c r="F759" s="90"/>
      <c r="G759" s="90"/>
      <c r="H759" s="90"/>
      <c r="I759" s="90"/>
      <c r="J759" s="90"/>
      <c r="K759" s="90"/>
      <c r="L759" s="90"/>
    </row>
    <row r="760" spans="1:12" ht="39.75" customHeight="1">
      <c r="B760" s="663" t="s">
        <v>50</v>
      </c>
      <c r="C760" s="980" t="s">
        <v>51</v>
      </c>
      <c r="D760" s="981"/>
      <c r="E760" s="981"/>
      <c r="F760" s="981"/>
      <c r="G760" s="981"/>
      <c r="H760" s="981"/>
      <c r="I760" s="981"/>
      <c r="J760" s="982"/>
      <c r="K760" s="97" t="s">
        <v>7</v>
      </c>
      <c r="L760" s="97">
        <f>K763</f>
        <v>42</v>
      </c>
    </row>
    <row r="761" spans="1:12">
      <c r="B761" s="663"/>
      <c r="C761" s="983" t="s">
        <v>20</v>
      </c>
      <c r="D761" s="983"/>
      <c r="E761" s="983"/>
      <c r="F761" s="87" t="s">
        <v>22</v>
      </c>
      <c r="G761" s="656" t="s">
        <v>111</v>
      </c>
      <c r="H761" s="87" t="s">
        <v>112</v>
      </c>
      <c r="I761" s="656" t="s">
        <v>113</v>
      </c>
      <c r="J761" s="656" t="s">
        <v>114</v>
      </c>
      <c r="K761" s="89" t="s">
        <v>25</v>
      </c>
      <c r="L761" s="90"/>
    </row>
    <row r="762" spans="1:12">
      <c r="B762" s="663"/>
      <c r="C762" s="984" t="s">
        <v>615</v>
      </c>
      <c r="D762" s="985"/>
      <c r="E762" s="986"/>
      <c r="F762" s="91">
        <v>1</v>
      </c>
      <c r="G762" s="91">
        <v>2.8</v>
      </c>
      <c r="H762" s="91">
        <v>1</v>
      </c>
      <c r="I762" s="91">
        <v>15</v>
      </c>
      <c r="J762" s="91">
        <v>0</v>
      </c>
      <c r="K762" s="89">
        <f>(G762*H762*I762*F762)-J762</f>
        <v>42</v>
      </c>
      <c r="L762" s="90"/>
    </row>
    <row r="763" spans="1:12">
      <c r="B763" s="663"/>
      <c r="C763" s="987" t="s">
        <v>116</v>
      </c>
      <c r="D763" s="987"/>
      <c r="E763" s="987"/>
      <c r="F763" s="987"/>
      <c r="G763" s="987"/>
      <c r="H763" s="987"/>
      <c r="I763" s="987"/>
      <c r="J763" s="987"/>
      <c r="K763" s="89">
        <f>SUM(K762:K762)</f>
        <v>42</v>
      </c>
      <c r="L763" s="90"/>
    </row>
    <row r="764" spans="1:12">
      <c r="B764" s="663"/>
      <c r="C764" s="211"/>
      <c r="D764" s="211"/>
      <c r="E764" s="211"/>
      <c r="F764" s="211"/>
      <c r="G764" s="211"/>
      <c r="H764" s="211"/>
      <c r="I764" s="211"/>
      <c r="J764" s="211"/>
      <c r="K764" s="212"/>
      <c r="L764" s="90"/>
    </row>
    <row r="765" spans="1:12">
      <c r="B765" s="219"/>
      <c r="C765" s="219"/>
      <c r="D765" s="219"/>
      <c r="E765" s="219"/>
      <c r="F765" s="219"/>
      <c r="G765" s="219"/>
      <c r="H765" s="219"/>
      <c r="I765" s="219"/>
      <c r="J765" s="219"/>
      <c r="K765" s="219"/>
      <c r="L765" s="219"/>
    </row>
    <row r="766" spans="1:12">
      <c r="B766" s="292" t="s">
        <v>199</v>
      </c>
      <c r="C766" s="1093" t="s">
        <v>53</v>
      </c>
      <c r="D766" s="1093"/>
      <c r="E766" s="1093"/>
      <c r="F766" s="1093"/>
      <c r="G766" s="1093"/>
      <c r="H766" s="1093"/>
      <c r="I766" s="1093"/>
      <c r="J766" s="1093"/>
      <c r="K766" s="293"/>
      <c r="L766" s="293"/>
    </row>
    <row r="767" spans="1:12">
      <c r="B767" s="90"/>
      <c r="C767" s="90"/>
      <c r="D767" s="90"/>
      <c r="E767" s="90"/>
      <c r="F767" s="90"/>
      <c r="G767" s="90"/>
      <c r="H767" s="90"/>
      <c r="I767" s="90"/>
      <c r="J767" s="90"/>
      <c r="K767" s="90"/>
      <c r="L767" s="90"/>
    </row>
    <row r="768" spans="1:12" ht="33" customHeight="1">
      <c r="B768" s="864" t="s">
        <v>54</v>
      </c>
      <c r="C768" s="980" t="s">
        <v>86</v>
      </c>
      <c r="D768" s="981"/>
      <c r="E768" s="981"/>
      <c r="F768" s="981"/>
      <c r="G768" s="981"/>
      <c r="H768" s="981"/>
      <c r="I768" s="981"/>
      <c r="J768" s="982"/>
      <c r="K768" s="97" t="s">
        <v>21</v>
      </c>
      <c r="L768" s="97">
        <f>K771</f>
        <v>30</v>
      </c>
    </row>
    <row r="769" spans="2:12">
      <c r="B769" s="864"/>
      <c r="C769" s="983" t="s">
        <v>20</v>
      </c>
      <c r="D769" s="983"/>
      <c r="E769" s="983"/>
      <c r="F769" s="87" t="s">
        <v>22</v>
      </c>
      <c r="G769" s="656" t="s">
        <v>111</v>
      </c>
      <c r="H769" s="87" t="s">
        <v>112</v>
      </c>
      <c r="I769" s="656" t="s">
        <v>113</v>
      </c>
      <c r="J769" s="656" t="s">
        <v>114</v>
      </c>
      <c r="K769" s="89" t="s">
        <v>25</v>
      </c>
      <c r="L769" s="90"/>
    </row>
    <row r="770" spans="2:12">
      <c r="B770" s="864"/>
      <c r="C770" s="984" t="s">
        <v>458</v>
      </c>
      <c r="D770" s="985"/>
      <c r="E770" s="986"/>
      <c r="F770" s="91">
        <v>30</v>
      </c>
      <c r="G770" s="91">
        <v>0</v>
      </c>
      <c r="H770" s="91">
        <v>0</v>
      </c>
      <c r="I770" s="91">
        <v>0</v>
      </c>
      <c r="J770" s="91">
        <v>0</v>
      </c>
      <c r="K770" s="89">
        <f>F770</f>
        <v>30</v>
      </c>
      <c r="L770" s="90"/>
    </row>
    <row r="771" spans="2:12">
      <c r="B771" s="864"/>
      <c r="C771" s="987" t="s">
        <v>116</v>
      </c>
      <c r="D771" s="987"/>
      <c r="E771" s="987"/>
      <c r="F771" s="987"/>
      <c r="G771" s="987"/>
      <c r="H771" s="987"/>
      <c r="I771" s="987"/>
      <c r="J771" s="987"/>
      <c r="K771" s="89">
        <f>K770</f>
        <v>30</v>
      </c>
      <c r="L771" s="90"/>
    </row>
    <row r="772" spans="2:12">
      <c r="B772" s="864"/>
      <c r="C772" s="211"/>
      <c r="D772" s="211"/>
      <c r="E772" s="211"/>
      <c r="F772" s="211"/>
      <c r="G772" s="211"/>
      <c r="H772" s="211"/>
      <c r="I772" s="211"/>
      <c r="J772" s="211"/>
      <c r="K772" s="212"/>
      <c r="L772" s="90"/>
    </row>
    <row r="773" spans="2:12" ht="36" customHeight="1">
      <c r="B773" s="864" t="s">
        <v>55</v>
      </c>
      <c r="C773" s="980" t="str">
        <f>'ESC. NIVALDO XAVIER '!C40</f>
        <v>JANELA DE ALUMÍNIO DE CORRER COM 2 FOLHAS PARA VIDROS, COM VIDROS, BATENTE, ACABAMENTO COM ACETATO OU BRILHANTE E FERRAGENS. EXCLUSIVE ALIZAR E CONTRAMARCO. FORNECIMENTO E INSTALAÇÃO. AF_12/2019</v>
      </c>
      <c r="D773" s="981"/>
      <c r="E773" s="981"/>
      <c r="F773" s="981"/>
      <c r="G773" s="981"/>
      <c r="H773" s="981"/>
      <c r="I773" s="981"/>
      <c r="J773" s="982"/>
      <c r="K773" s="97" t="s">
        <v>7</v>
      </c>
      <c r="L773" s="97">
        <f>K776</f>
        <v>4.5</v>
      </c>
    </row>
    <row r="774" spans="2:12">
      <c r="B774" s="864"/>
      <c r="C774" s="983" t="s">
        <v>20</v>
      </c>
      <c r="D774" s="983"/>
      <c r="E774" s="983"/>
      <c r="F774" s="87" t="s">
        <v>22</v>
      </c>
      <c r="G774" s="656" t="s">
        <v>111</v>
      </c>
      <c r="H774" s="87" t="s">
        <v>112</v>
      </c>
      <c r="I774" s="656" t="s">
        <v>113</v>
      </c>
      <c r="J774" s="656" t="s">
        <v>114</v>
      </c>
      <c r="K774" s="89" t="s">
        <v>25</v>
      </c>
      <c r="L774" s="90"/>
    </row>
    <row r="775" spans="2:12">
      <c r="B775" s="864"/>
      <c r="C775" s="984" t="s">
        <v>699</v>
      </c>
      <c r="D775" s="985"/>
      <c r="E775" s="986"/>
      <c r="F775" s="91">
        <v>1</v>
      </c>
      <c r="G775" s="91">
        <v>1.5</v>
      </c>
      <c r="H775" s="91">
        <v>3</v>
      </c>
      <c r="I775" s="91">
        <v>1</v>
      </c>
      <c r="J775" s="91">
        <v>0</v>
      </c>
      <c r="K775" s="89">
        <f>F775*G775*H775*I775</f>
        <v>4.5</v>
      </c>
      <c r="L775" s="90"/>
    </row>
    <row r="776" spans="2:12">
      <c r="B776" s="864"/>
      <c r="C776" s="987" t="s">
        <v>116</v>
      </c>
      <c r="D776" s="987"/>
      <c r="E776" s="987"/>
      <c r="F776" s="987"/>
      <c r="G776" s="987"/>
      <c r="H776" s="987"/>
      <c r="I776" s="987"/>
      <c r="J776" s="987"/>
      <c r="K776" s="89">
        <f>K775</f>
        <v>4.5</v>
      </c>
      <c r="L776" s="90"/>
    </row>
    <row r="777" spans="2:12">
      <c r="B777" s="864"/>
      <c r="C777" s="211"/>
      <c r="D777" s="211"/>
      <c r="E777" s="211"/>
      <c r="F777" s="211"/>
      <c r="G777" s="211"/>
      <c r="H777" s="211"/>
      <c r="I777" s="211"/>
      <c r="J777" s="211"/>
      <c r="K777" s="212"/>
      <c r="L777" s="90"/>
    </row>
    <row r="778" spans="2:12" ht="26.25" customHeight="1">
      <c r="B778" s="864" t="s">
        <v>85</v>
      </c>
      <c r="C778" s="980" t="str">
        <f>'ESC. NIVALDO XAVIER '!C41</f>
        <v>PORTA EM MADEIRA SEMI-OCA(LEVE OU MEDIA) 100X210CM</v>
      </c>
      <c r="D778" s="981"/>
      <c r="E778" s="981"/>
      <c r="F778" s="981"/>
      <c r="G778" s="981"/>
      <c r="H778" s="981"/>
      <c r="I778" s="981"/>
      <c r="J778" s="982"/>
      <c r="K778" s="97" t="s">
        <v>21</v>
      </c>
      <c r="L778" s="97">
        <f>K781</f>
        <v>10</v>
      </c>
    </row>
    <row r="779" spans="2:12" ht="15" customHeight="1">
      <c r="B779" s="864"/>
      <c r="C779" s="983" t="s">
        <v>20</v>
      </c>
      <c r="D779" s="983"/>
      <c r="E779" s="983"/>
      <c r="F779" s="87" t="s">
        <v>22</v>
      </c>
      <c r="G779" s="656" t="s">
        <v>111</v>
      </c>
      <c r="H779" s="87" t="s">
        <v>112</v>
      </c>
      <c r="I779" s="656" t="s">
        <v>113</v>
      </c>
      <c r="J779" s="656" t="s">
        <v>114</v>
      </c>
      <c r="K779" s="89" t="s">
        <v>25</v>
      </c>
      <c r="L779" s="90"/>
    </row>
    <row r="780" spans="2:12" ht="15" customHeight="1">
      <c r="B780" s="864"/>
      <c r="C780" s="984" t="s">
        <v>534</v>
      </c>
      <c r="D780" s="985"/>
      <c r="E780" s="986"/>
      <c r="F780" s="91">
        <v>10</v>
      </c>
      <c r="G780" s="91">
        <v>0</v>
      </c>
      <c r="H780" s="91">
        <v>0</v>
      </c>
      <c r="I780" s="91">
        <v>0</v>
      </c>
      <c r="J780" s="91">
        <v>0</v>
      </c>
      <c r="K780" s="89">
        <f>F780</f>
        <v>10</v>
      </c>
      <c r="L780" s="90"/>
    </row>
    <row r="781" spans="2:12" ht="15" customHeight="1">
      <c r="B781" s="864"/>
      <c r="C781" s="987" t="s">
        <v>116</v>
      </c>
      <c r="D781" s="987"/>
      <c r="E781" s="987"/>
      <c r="F781" s="987"/>
      <c r="G781" s="987"/>
      <c r="H781" s="987"/>
      <c r="I781" s="987"/>
      <c r="J781" s="987"/>
      <c r="K781" s="89">
        <f>SUM(K780:K780)</f>
        <v>10</v>
      </c>
      <c r="L781" s="90"/>
    </row>
    <row r="782" spans="2:12" ht="15" customHeight="1">
      <c r="B782" s="864"/>
      <c r="C782" s="90"/>
      <c r="D782" s="90"/>
      <c r="E782" s="90"/>
      <c r="F782" s="90"/>
      <c r="G782" s="90"/>
      <c r="H782" s="90"/>
      <c r="I782" s="90"/>
      <c r="J782" s="90"/>
      <c r="K782" s="90"/>
      <c r="L782" s="90"/>
    </row>
    <row r="783" spans="2:12" ht="24" customHeight="1">
      <c r="B783" s="864" t="s">
        <v>200</v>
      </c>
      <c r="C783" s="980" t="s">
        <v>580</v>
      </c>
      <c r="D783" s="981"/>
      <c r="E783" s="981"/>
      <c r="F783" s="981"/>
      <c r="G783" s="981"/>
      <c r="H783" s="981"/>
      <c r="I783" s="981"/>
      <c r="J783" s="982"/>
      <c r="K783" s="97" t="s">
        <v>21</v>
      </c>
      <c r="L783" s="97">
        <f>K786</f>
        <v>2</v>
      </c>
    </row>
    <row r="784" spans="2:12" ht="15" customHeight="1">
      <c r="B784" s="864"/>
      <c r="C784" s="983" t="s">
        <v>20</v>
      </c>
      <c r="D784" s="983"/>
      <c r="E784" s="983"/>
      <c r="F784" s="87" t="s">
        <v>22</v>
      </c>
      <c r="G784" s="656" t="s">
        <v>111</v>
      </c>
      <c r="H784" s="87" t="s">
        <v>112</v>
      </c>
      <c r="I784" s="656" t="s">
        <v>113</v>
      </c>
      <c r="J784" s="656" t="s">
        <v>114</v>
      </c>
      <c r="K784" s="89" t="s">
        <v>25</v>
      </c>
      <c r="L784" s="90"/>
    </row>
    <row r="785" spans="2:12" ht="15" customHeight="1">
      <c r="B785" s="864"/>
      <c r="C785" s="984" t="s">
        <v>534</v>
      </c>
      <c r="D785" s="985"/>
      <c r="E785" s="986"/>
      <c r="F785" s="91">
        <v>2</v>
      </c>
      <c r="G785" s="91">
        <v>0</v>
      </c>
      <c r="H785" s="91">
        <v>0</v>
      </c>
      <c r="I785" s="91">
        <v>0</v>
      </c>
      <c r="J785" s="91">
        <v>0</v>
      </c>
      <c r="K785" s="89">
        <f>F785</f>
        <v>2</v>
      </c>
      <c r="L785" s="90"/>
    </row>
    <row r="786" spans="2:12" ht="15" customHeight="1">
      <c r="B786" s="864"/>
      <c r="C786" s="987" t="s">
        <v>116</v>
      </c>
      <c r="D786" s="987"/>
      <c r="E786" s="987"/>
      <c r="F786" s="987"/>
      <c r="G786" s="987"/>
      <c r="H786" s="987"/>
      <c r="I786" s="987"/>
      <c r="J786" s="987"/>
      <c r="K786" s="89">
        <f>SUM(K785:K785)</f>
        <v>2</v>
      </c>
      <c r="L786" s="90"/>
    </row>
    <row r="787" spans="2:12" ht="15" customHeight="1">
      <c r="B787" s="864"/>
      <c r="C787" s="90"/>
      <c r="D787" s="90"/>
      <c r="E787" s="90"/>
      <c r="F787" s="90"/>
      <c r="G787" s="90"/>
      <c r="H787" s="90"/>
      <c r="I787" s="90"/>
      <c r="J787" s="90"/>
      <c r="K787" s="90"/>
      <c r="L787" s="90"/>
    </row>
    <row r="788" spans="2:12" ht="15" customHeight="1">
      <c r="B788" s="864"/>
      <c r="C788" s="90"/>
      <c r="D788" s="90"/>
      <c r="E788" s="90"/>
      <c r="F788" s="90"/>
      <c r="G788" s="90"/>
      <c r="H788" s="90"/>
      <c r="I788" s="90"/>
      <c r="J788" s="90"/>
      <c r="K788" s="90"/>
      <c r="L788" s="90"/>
    </row>
    <row r="789" spans="2:12">
      <c r="B789" s="864"/>
      <c r="C789" s="90"/>
      <c r="D789" s="90"/>
      <c r="E789" s="90"/>
      <c r="F789" s="90"/>
      <c r="G789" s="90"/>
      <c r="H789" s="90"/>
      <c r="I789" s="90"/>
      <c r="J789" s="90"/>
      <c r="K789" s="90"/>
      <c r="L789" s="90"/>
    </row>
    <row r="790" spans="2:12" ht="30" customHeight="1">
      <c r="B790" s="864" t="s">
        <v>536</v>
      </c>
      <c r="C790" s="980" t="str">
        <f>'ESC. NIVALDO XAVIER '!C43</f>
        <v>PORTA DE MADEIRA PARA PINTURA, SEMI-OCA (LEVE OU MÉDIA), 80X210CM, ESPESSURA DE 3,5CM, INCLUSO DOBRADIÇAS - FORNECIMENTO E INSTALAÇÃO. AF_12/2019</v>
      </c>
      <c r="D790" s="981"/>
      <c r="E790" s="981"/>
      <c r="F790" s="981"/>
      <c r="G790" s="981"/>
      <c r="H790" s="981"/>
      <c r="I790" s="981"/>
      <c r="J790" s="982"/>
      <c r="K790" s="97" t="s">
        <v>21</v>
      </c>
      <c r="L790" s="97">
        <f>K793</f>
        <v>20</v>
      </c>
    </row>
    <row r="791" spans="2:12">
      <c r="B791" s="864"/>
      <c r="C791" s="983" t="s">
        <v>20</v>
      </c>
      <c r="D791" s="983"/>
      <c r="E791" s="983"/>
      <c r="F791" s="87" t="s">
        <v>22</v>
      </c>
      <c r="G791" s="656" t="s">
        <v>111</v>
      </c>
      <c r="H791" s="87" t="s">
        <v>112</v>
      </c>
      <c r="I791" s="656" t="s">
        <v>113</v>
      </c>
      <c r="J791" s="656" t="s">
        <v>114</v>
      </c>
      <c r="K791" s="89" t="s">
        <v>25</v>
      </c>
      <c r="L791" s="90"/>
    </row>
    <row r="792" spans="2:12">
      <c r="B792" s="864"/>
      <c r="C792" s="984" t="s">
        <v>237</v>
      </c>
      <c r="D792" s="985"/>
      <c r="E792" s="986"/>
      <c r="F792" s="91">
        <v>20</v>
      </c>
      <c r="G792" s="91">
        <v>0</v>
      </c>
      <c r="H792" s="91">
        <v>0</v>
      </c>
      <c r="I792" s="91">
        <v>0</v>
      </c>
      <c r="J792" s="91">
        <v>0</v>
      </c>
      <c r="K792" s="89">
        <f>F792</f>
        <v>20</v>
      </c>
      <c r="L792" s="90"/>
    </row>
    <row r="793" spans="2:12">
      <c r="B793" s="864"/>
      <c r="C793" s="987" t="s">
        <v>116</v>
      </c>
      <c r="D793" s="987"/>
      <c r="E793" s="987"/>
      <c r="F793" s="987"/>
      <c r="G793" s="987"/>
      <c r="H793" s="987"/>
      <c r="I793" s="987"/>
      <c r="J793" s="987"/>
      <c r="K793" s="89">
        <f>SUM(K792:K792)</f>
        <v>20</v>
      </c>
      <c r="L793" s="90"/>
    </row>
    <row r="794" spans="2:12">
      <c r="B794" s="864"/>
      <c r="C794" s="211"/>
      <c r="D794" s="211"/>
      <c r="E794" s="211"/>
      <c r="F794" s="211"/>
      <c r="G794" s="211"/>
      <c r="H794" s="211"/>
      <c r="I794" s="211"/>
      <c r="J794" s="211"/>
      <c r="K794" s="212"/>
      <c r="L794" s="90"/>
    </row>
    <row r="795" spans="2:12" ht="15" customHeight="1">
      <c r="B795" s="864"/>
      <c r="C795" s="211"/>
      <c r="D795" s="211"/>
      <c r="E795" s="211"/>
      <c r="F795" s="211"/>
      <c r="G795" s="211"/>
      <c r="H795" s="211"/>
      <c r="I795" s="211"/>
      <c r="J795" s="211"/>
      <c r="K795" s="212"/>
      <c r="L795" s="90"/>
    </row>
    <row r="796" spans="2:12" ht="28.5" customHeight="1">
      <c r="B796" s="864" t="s">
        <v>432</v>
      </c>
      <c r="C796" s="980" t="str">
        <f>'ESC. NIVALDO XAVIER '!C44</f>
        <v>PORTA DE MADEIRA FRISADA, SEMI-OCA (LEVE OU MÉDIA), 60X210CM, ESPESSURA DE 3CM, INCLUSO DOBRADIÇAS - FORNECIMENTO E INSTALAÇÃO. AF_12/2019</v>
      </c>
      <c r="D796" s="981"/>
      <c r="E796" s="981"/>
      <c r="F796" s="981"/>
      <c r="G796" s="981"/>
      <c r="H796" s="981"/>
      <c r="I796" s="981"/>
      <c r="J796" s="982"/>
      <c r="K796" s="97" t="s">
        <v>21</v>
      </c>
      <c r="L796" s="97">
        <f>K799</f>
        <v>5</v>
      </c>
    </row>
    <row r="797" spans="2:12">
      <c r="B797" s="864"/>
      <c r="C797" s="983" t="s">
        <v>20</v>
      </c>
      <c r="D797" s="983"/>
      <c r="E797" s="983"/>
      <c r="F797" s="87" t="s">
        <v>22</v>
      </c>
      <c r="G797" s="656" t="s">
        <v>111</v>
      </c>
      <c r="H797" s="87" t="s">
        <v>112</v>
      </c>
      <c r="I797" s="656" t="s">
        <v>113</v>
      </c>
      <c r="J797" s="656" t="s">
        <v>114</v>
      </c>
      <c r="K797" s="89" t="s">
        <v>25</v>
      </c>
      <c r="L797" s="90"/>
    </row>
    <row r="798" spans="2:12">
      <c r="B798" s="864"/>
      <c r="C798" s="984" t="s">
        <v>237</v>
      </c>
      <c r="D798" s="985"/>
      <c r="E798" s="986"/>
      <c r="F798" s="91">
        <v>5</v>
      </c>
      <c r="G798" s="91">
        <v>0</v>
      </c>
      <c r="H798" s="91">
        <v>0</v>
      </c>
      <c r="I798" s="91">
        <v>0</v>
      </c>
      <c r="J798" s="91">
        <v>0</v>
      </c>
      <c r="K798" s="89">
        <f>F798</f>
        <v>5</v>
      </c>
      <c r="L798" s="90"/>
    </row>
    <row r="799" spans="2:12">
      <c r="B799" s="864"/>
      <c r="C799" s="987" t="s">
        <v>116</v>
      </c>
      <c r="D799" s="987"/>
      <c r="E799" s="987"/>
      <c r="F799" s="987"/>
      <c r="G799" s="987"/>
      <c r="H799" s="987"/>
      <c r="I799" s="987"/>
      <c r="J799" s="987"/>
      <c r="K799" s="89">
        <f>SUM(K798:K798)</f>
        <v>5</v>
      </c>
      <c r="L799" s="90"/>
    </row>
    <row r="800" spans="2:12">
      <c r="B800" s="864"/>
      <c r="C800" s="211"/>
      <c r="D800" s="211"/>
      <c r="E800" s="211"/>
      <c r="F800" s="211"/>
      <c r="G800" s="211"/>
      <c r="H800" s="211"/>
      <c r="I800" s="211"/>
      <c r="J800" s="211"/>
      <c r="K800" s="212"/>
      <c r="L800" s="90"/>
    </row>
    <row r="801" spans="2:12">
      <c r="B801" s="864"/>
      <c r="C801" s="219"/>
      <c r="D801" s="219"/>
      <c r="E801" s="219"/>
      <c r="F801" s="219"/>
      <c r="G801" s="219"/>
      <c r="H801" s="219"/>
      <c r="I801" s="219"/>
      <c r="J801" s="219"/>
      <c r="K801" s="219"/>
      <c r="L801" s="219"/>
    </row>
    <row r="802" spans="2:12" ht="14.25" customHeight="1">
      <c r="B802" s="864" t="s">
        <v>741</v>
      </c>
      <c r="C802" s="980" t="s">
        <v>99</v>
      </c>
      <c r="D802" s="981"/>
      <c r="E802" s="981"/>
      <c r="F802" s="981"/>
      <c r="G802" s="981"/>
      <c r="H802" s="981"/>
      <c r="I802" s="981"/>
      <c r="J802" s="982"/>
      <c r="K802" s="97" t="s">
        <v>7</v>
      </c>
      <c r="L802" s="97">
        <f>K805</f>
        <v>42</v>
      </c>
    </row>
    <row r="803" spans="2:12">
      <c r="B803" s="864"/>
      <c r="C803" s="983" t="s">
        <v>20</v>
      </c>
      <c r="D803" s="983"/>
      <c r="E803" s="983"/>
      <c r="F803" s="87" t="s">
        <v>22</v>
      </c>
      <c r="G803" s="656" t="s">
        <v>111</v>
      </c>
      <c r="H803" s="87" t="s">
        <v>112</v>
      </c>
      <c r="I803" s="656" t="s">
        <v>113</v>
      </c>
      <c r="J803" s="656" t="s">
        <v>114</v>
      </c>
      <c r="K803" s="89" t="s">
        <v>25</v>
      </c>
      <c r="L803" s="90"/>
    </row>
    <row r="804" spans="2:12">
      <c r="B804" s="864"/>
      <c r="C804" s="984" t="s">
        <v>458</v>
      </c>
      <c r="D804" s="985"/>
      <c r="E804" s="986"/>
      <c r="F804" s="91">
        <v>20</v>
      </c>
      <c r="G804" s="91">
        <v>2.1</v>
      </c>
      <c r="H804" s="91">
        <v>1</v>
      </c>
      <c r="I804" s="91">
        <v>1</v>
      </c>
      <c r="J804" s="91">
        <v>0</v>
      </c>
      <c r="K804" s="89">
        <f>(G804*H804*I804*F804)-J804</f>
        <v>42</v>
      </c>
      <c r="L804" s="90"/>
    </row>
    <row r="805" spans="2:12">
      <c r="B805" s="864"/>
      <c r="C805" s="987" t="s">
        <v>116</v>
      </c>
      <c r="D805" s="987"/>
      <c r="E805" s="987"/>
      <c r="F805" s="987"/>
      <c r="G805" s="987"/>
      <c r="H805" s="987"/>
      <c r="I805" s="987"/>
      <c r="J805" s="987"/>
      <c r="K805" s="89">
        <f>SUM(K804:K804)</f>
        <v>42</v>
      </c>
      <c r="L805" s="90"/>
    </row>
    <row r="806" spans="2:12">
      <c r="B806" s="864"/>
      <c r="C806" s="211"/>
      <c r="D806" s="211"/>
      <c r="E806" s="211"/>
      <c r="F806" s="211"/>
      <c r="G806" s="211"/>
      <c r="H806" s="211"/>
      <c r="I806" s="211"/>
      <c r="J806" s="211"/>
      <c r="K806" s="212"/>
      <c r="L806" s="90"/>
    </row>
    <row r="807" spans="2:12" ht="27" customHeight="1">
      <c r="B807" s="864" t="s">
        <v>1083</v>
      </c>
      <c r="C807" s="980" t="s">
        <v>434</v>
      </c>
      <c r="D807" s="981"/>
      <c r="E807" s="981"/>
      <c r="F807" s="981"/>
      <c r="G807" s="981"/>
      <c r="H807" s="981"/>
      <c r="I807" s="981"/>
      <c r="J807" s="982"/>
      <c r="K807" s="97" t="s">
        <v>21</v>
      </c>
      <c r="L807" s="97">
        <f>K810</f>
        <v>20</v>
      </c>
    </row>
    <row r="808" spans="2:12">
      <c r="B808" s="864"/>
      <c r="C808" s="983" t="s">
        <v>20</v>
      </c>
      <c r="D808" s="983"/>
      <c r="E808" s="983"/>
      <c r="F808" s="87" t="s">
        <v>22</v>
      </c>
      <c r="G808" s="656" t="s">
        <v>111</v>
      </c>
      <c r="H808" s="87" t="s">
        <v>112</v>
      </c>
      <c r="I808" s="656" t="s">
        <v>113</v>
      </c>
      <c r="J808" s="656" t="s">
        <v>114</v>
      </c>
      <c r="K808" s="89" t="s">
        <v>25</v>
      </c>
      <c r="L808" s="90"/>
    </row>
    <row r="809" spans="2:12">
      <c r="B809" s="864"/>
      <c r="C809" s="984" t="s">
        <v>458</v>
      </c>
      <c r="D809" s="985"/>
      <c r="E809" s="986"/>
      <c r="F809" s="91">
        <v>20</v>
      </c>
      <c r="G809" s="91">
        <v>0</v>
      </c>
      <c r="H809" s="91">
        <v>0</v>
      </c>
      <c r="I809" s="91">
        <v>0</v>
      </c>
      <c r="J809" s="91">
        <v>0</v>
      </c>
      <c r="K809" s="89">
        <f>F809</f>
        <v>20</v>
      </c>
      <c r="L809" s="90"/>
    </row>
    <row r="810" spans="2:12">
      <c r="B810" s="864"/>
      <c r="C810" s="987" t="s">
        <v>116</v>
      </c>
      <c r="D810" s="987"/>
      <c r="E810" s="987"/>
      <c r="F810" s="987"/>
      <c r="G810" s="987"/>
      <c r="H810" s="987"/>
      <c r="I810" s="987"/>
      <c r="J810" s="987"/>
      <c r="K810" s="89">
        <f>SUM(K809:K809)</f>
        <v>20</v>
      </c>
      <c r="L810" s="90"/>
    </row>
    <row r="811" spans="2:12">
      <c r="B811" s="663"/>
      <c r="C811" s="211"/>
      <c r="D811" s="211"/>
      <c r="E811" s="211"/>
      <c r="F811" s="211"/>
      <c r="G811" s="211"/>
      <c r="H811" s="211"/>
      <c r="I811" s="211"/>
      <c r="J811" s="211"/>
      <c r="K811" s="212"/>
      <c r="L811" s="90"/>
    </row>
    <row r="812" spans="2:12">
      <c r="B812" s="292" t="s">
        <v>158</v>
      </c>
      <c r="C812" s="1093" t="s">
        <v>57</v>
      </c>
      <c r="D812" s="1093"/>
      <c r="E812" s="1093"/>
      <c r="F812" s="1093"/>
      <c r="G812" s="1093"/>
      <c r="H812" s="1093"/>
      <c r="I812" s="1093"/>
      <c r="J812" s="1093"/>
      <c r="K812" s="293"/>
      <c r="L812" s="293"/>
    </row>
    <row r="813" spans="2:12">
      <c r="B813" s="1094"/>
      <c r="C813" s="1094"/>
      <c r="D813" s="1094"/>
      <c r="E813" s="1094"/>
      <c r="F813" s="1094"/>
      <c r="G813" s="1094"/>
      <c r="H813" s="1094"/>
      <c r="I813" s="1094"/>
      <c r="J813" s="1094"/>
      <c r="K813" s="1094"/>
      <c r="L813" s="1094"/>
    </row>
    <row r="814" spans="2:12" ht="29.25" customHeight="1">
      <c r="B814" s="663" t="s">
        <v>59</v>
      </c>
      <c r="C814" s="980" t="s">
        <v>483</v>
      </c>
      <c r="D814" s="981"/>
      <c r="E814" s="981"/>
      <c r="F814" s="981"/>
      <c r="G814" s="981"/>
      <c r="H814" s="981"/>
      <c r="I814" s="981"/>
      <c r="J814" s="982"/>
      <c r="K814" s="97" t="s">
        <v>7</v>
      </c>
      <c r="L814" s="97">
        <f>K817</f>
        <v>64</v>
      </c>
    </row>
    <row r="815" spans="2:12">
      <c r="B815" s="663"/>
      <c r="C815" s="983" t="s">
        <v>20</v>
      </c>
      <c r="D815" s="983"/>
      <c r="E815" s="983"/>
      <c r="F815" s="87" t="s">
        <v>22</v>
      </c>
      <c r="G815" s="656" t="s">
        <v>111</v>
      </c>
      <c r="H815" s="87" t="s">
        <v>112</v>
      </c>
      <c r="I815" s="656" t="s">
        <v>113</v>
      </c>
      <c r="J815" s="656" t="s">
        <v>114</v>
      </c>
      <c r="K815" s="89" t="s">
        <v>25</v>
      </c>
      <c r="L815" s="90"/>
    </row>
    <row r="816" spans="2:12">
      <c r="B816" s="663"/>
      <c r="C816" s="984" t="s">
        <v>1099</v>
      </c>
      <c r="D816" s="985"/>
      <c r="E816" s="986"/>
      <c r="F816" s="91">
        <v>1</v>
      </c>
      <c r="G816" s="91">
        <v>1</v>
      </c>
      <c r="H816" s="91">
        <v>8</v>
      </c>
      <c r="I816" s="91">
        <v>8</v>
      </c>
      <c r="J816" s="91">
        <v>0</v>
      </c>
      <c r="K816" s="89">
        <f>(G816*H816*I816*F816)-J816</f>
        <v>64</v>
      </c>
      <c r="L816" s="90"/>
    </row>
    <row r="817" spans="2:12">
      <c r="B817" s="663"/>
      <c r="C817" s="987" t="s">
        <v>116</v>
      </c>
      <c r="D817" s="987"/>
      <c r="E817" s="987"/>
      <c r="F817" s="987"/>
      <c r="G817" s="987"/>
      <c r="H817" s="987"/>
      <c r="I817" s="987"/>
      <c r="J817" s="987"/>
      <c r="K817" s="89">
        <f>SUM(K816:K816)</f>
        <v>64</v>
      </c>
      <c r="L817" s="90"/>
    </row>
    <row r="818" spans="2:12">
      <c r="B818" s="663"/>
      <c r="C818" s="211"/>
      <c r="D818" s="211"/>
      <c r="E818" s="211"/>
      <c r="F818" s="211"/>
      <c r="G818" s="211"/>
      <c r="H818" s="211"/>
      <c r="I818" s="211"/>
      <c r="J818" s="211"/>
      <c r="K818" s="212"/>
      <c r="L818" s="90"/>
    </row>
    <row r="819" spans="2:12">
      <c r="B819" s="663" t="s">
        <v>61</v>
      </c>
      <c r="C819" s="980" t="str">
        <f>'ESC. NIVALDO XAVIER '!C50</f>
        <v>MANTA PARA SUBCOBERTURA</v>
      </c>
      <c r="D819" s="981"/>
      <c r="E819" s="981"/>
      <c r="F819" s="981"/>
      <c r="G819" s="981"/>
      <c r="H819" s="981"/>
      <c r="I819" s="981"/>
      <c r="J819" s="982"/>
      <c r="K819" s="97" t="s">
        <v>7</v>
      </c>
      <c r="L819" s="97">
        <f>K822</f>
        <v>30</v>
      </c>
    </row>
    <row r="820" spans="2:12">
      <c r="B820" s="663"/>
      <c r="C820" s="983" t="s">
        <v>20</v>
      </c>
      <c r="D820" s="983"/>
      <c r="E820" s="983"/>
      <c r="F820" s="87" t="s">
        <v>22</v>
      </c>
      <c r="G820" s="656" t="s">
        <v>111</v>
      </c>
      <c r="H820" s="87" t="s">
        <v>112</v>
      </c>
      <c r="I820" s="656" t="s">
        <v>113</v>
      </c>
      <c r="J820" s="656" t="s">
        <v>114</v>
      </c>
      <c r="K820" s="89" t="s">
        <v>25</v>
      </c>
      <c r="L820" s="90"/>
    </row>
    <row r="821" spans="2:12">
      <c r="B821" s="663"/>
      <c r="C821" s="984" t="s">
        <v>534</v>
      </c>
      <c r="D821" s="985"/>
      <c r="E821" s="986"/>
      <c r="F821" s="91">
        <v>1</v>
      </c>
      <c r="G821" s="91">
        <v>1</v>
      </c>
      <c r="H821" s="91">
        <v>10</v>
      </c>
      <c r="I821" s="91">
        <v>3</v>
      </c>
      <c r="J821" s="91">
        <v>0</v>
      </c>
      <c r="K821" s="89">
        <f>(G821*H821*I821*F821)-J821</f>
        <v>30</v>
      </c>
      <c r="L821" s="90"/>
    </row>
    <row r="822" spans="2:12">
      <c r="B822" s="663"/>
      <c r="C822" s="987" t="s">
        <v>116</v>
      </c>
      <c r="D822" s="987"/>
      <c r="E822" s="987"/>
      <c r="F822" s="987"/>
      <c r="G822" s="987"/>
      <c r="H822" s="987"/>
      <c r="I822" s="987"/>
      <c r="J822" s="987"/>
      <c r="K822" s="89">
        <f>SUM(K821:K821)</f>
        <v>30</v>
      </c>
      <c r="L822" s="90"/>
    </row>
    <row r="823" spans="2:12">
      <c r="B823" s="663"/>
      <c r="C823" s="659"/>
      <c r="D823" s="660"/>
      <c r="E823" s="660"/>
      <c r="F823" s="660"/>
      <c r="G823" s="660"/>
      <c r="H823" s="660"/>
      <c r="I823" s="660"/>
      <c r="J823" s="661"/>
      <c r="K823" s="89"/>
      <c r="L823" s="90"/>
    </row>
    <row r="824" spans="2:12" ht="26.25" customHeight="1">
      <c r="B824" s="663" t="s">
        <v>469</v>
      </c>
      <c r="C824" s="980" t="s">
        <v>60</v>
      </c>
      <c r="D824" s="981"/>
      <c r="E824" s="981"/>
      <c r="F824" s="981"/>
      <c r="G824" s="981"/>
      <c r="H824" s="981"/>
      <c r="I824" s="981"/>
      <c r="J824" s="982"/>
      <c r="K824" s="97" t="s">
        <v>7</v>
      </c>
      <c r="L824" s="97">
        <f>K827</f>
        <v>1868</v>
      </c>
    </row>
    <row r="825" spans="2:12">
      <c r="B825" s="663"/>
      <c r="C825" s="983" t="s">
        <v>20</v>
      </c>
      <c r="D825" s="983"/>
      <c r="E825" s="983"/>
      <c r="F825" s="87" t="s">
        <v>22</v>
      </c>
      <c r="G825" s="656" t="s">
        <v>111</v>
      </c>
      <c r="H825" s="87" t="s">
        <v>112</v>
      </c>
      <c r="I825" s="656" t="s">
        <v>113</v>
      </c>
      <c r="J825" s="656" t="s">
        <v>114</v>
      </c>
      <c r="K825" s="89" t="s">
        <v>25</v>
      </c>
      <c r="L825" s="90"/>
    </row>
    <row r="826" spans="2:12">
      <c r="B826" s="663"/>
      <c r="C826" s="984" t="s">
        <v>594</v>
      </c>
      <c r="D826" s="985"/>
      <c r="E826" s="986"/>
      <c r="F826" s="91">
        <v>1868</v>
      </c>
      <c r="G826" s="91">
        <v>1</v>
      </c>
      <c r="H826" s="91">
        <v>1</v>
      </c>
      <c r="I826" s="91">
        <v>1</v>
      </c>
      <c r="J826" s="91">
        <v>0</v>
      </c>
      <c r="K826" s="89">
        <f>(G826*H826*I826*F826)-J826</f>
        <v>1868</v>
      </c>
      <c r="L826" s="90"/>
    </row>
    <row r="827" spans="2:12">
      <c r="B827" s="663"/>
      <c r="C827" s="987" t="s">
        <v>116</v>
      </c>
      <c r="D827" s="987"/>
      <c r="E827" s="987"/>
      <c r="F827" s="987"/>
      <c r="G827" s="987"/>
      <c r="H827" s="987"/>
      <c r="I827" s="987"/>
      <c r="J827" s="987"/>
      <c r="K827" s="89">
        <f>K826</f>
        <v>1868</v>
      </c>
      <c r="L827" s="90"/>
    </row>
    <row r="828" spans="2:12">
      <c r="B828" s="219"/>
      <c r="C828" s="219"/>
      <c r="D828" s="219"/>
      <c r="E828" s="219"/>
      <c r="F828" s="219"/>
      <c r="G828" s="219"/>
      <c r="H828" s="219"/>
      <c r="I828" s="219"/>
      <c r="J828" s="219"/>
      <c r="K828" s="219"/>
      <c r="L828" s="219"/>
    </row>
    <row r="829" spans="2:12">
      <c r="B829" s="663"/>
      <c r="C829" s="211"/>
      <c r="D829" s="211"/>
      <c r="E829" s="211"/>
      <c r="F829" s="211"/>
      <c r="G829" s="211"/>
      <c r="H829" s="211"/>
      <c r="I829" s="211"/>
      <c r="J829" s="211"/>
      <c r="K829" s="212"/>
      <c r="L829" s="90"/>
    </row>
    <row r="830" spans="2:12">
      <c r="B830" s="292" t="s">
        <v>201</v>
      </c>
      <c r="C830" s="1093" t="s">
        <v>63</v>
      </c>
      <c r="D830" s="1093"/>
      <c r="E830" s="1093"/>
      <c r="F830" s="1093"/>
      <c r="G830" s="1093"/>
      <c r="H830" s="1093"/>
      <c r="I830" s="1093"/>
      <c r="J830" s="1093"/>
      <c r="K830" s="293"/>
      <c r="L830" s="293"/>
    </row>
    <row r="831" spans="2:12">
      <c r="B831" s="219"/>
      <c r="C831" s="219"/>
      <c r="D831" s="219"/>
      <c r="E831" s="219"/>
      <c r="F831" s="219"/>
      <c r="G831" s="219"/>
      <c r="H831" s="219"/>
      <c r="I831" s="219"/>
      <c r="J831" s="219"/>
      <c r="K831" s="219"/>
      <c r="L831" s="219"/>
    </row>
    <row r="832" spans="2:12" ht="34.5" customHeight="1">
      <c r="B832" s="663" t="s">
        <v>64</v>
      </c>
      <c r="C832" s="980" t="str">
        <f>'ESC. NIVALDO XAVIER '!C54</f>
        <v>CALHA DE BEIRAL, SEMICIRCULAR DE PVC, DIAMETRO 125 MM, INCLUINDO CABECEIRAS, EMENDAS, BOCAIS, SUPORTES E VEDAÇÕES, EXCLUINDO CONDUTORES, INCLUSO TRANSPORTE VERTICAL. AF_07/2019</v>
      </c>
      <c r="D832" s="981"/>
      <c r="E832" s="981"/>
      <c r="F832" s="981"/>
      <c r="G832" s="981"/>
      <c r="H832" s="981"/>
      <c r="I832" s="981"/>
      <c r="J832" s="982"/>
      <c r="K832" s="97" t="s">
        <v>77</v>
      </c>
      <c r="L832" s="97">
        <f>K835</f>
        <v>15</v>
      </c>
    </row>
    <row r="833" spans="2:12">
      <c r="B833" s="663"/>
      <c r="C833" s="1018" t="s">
        <v>20</v>
      </c>
      <c r="D833" s="1019"/>
      <c r="E833" s="1020"/>
      <c r="F833" s="87" t="s">
        <v>22</v>
      </c>
      <c r="G833" s="656" t="s">
        <v>111</v>
      </c>
      <c r="H833" s="87" t="s">
        <v>112</v>
      </c>
      <c r="I833" s="656" t="s">
        <v>113</v>
      </c>
      <c r="J833" s="656" t="s">
        <v>114</v>
      </c>
      <c r="K833" s="89" t="s">
        <v>25</v>
      </c>
      <c r="L833" s="90"/>
    </row>
    <row r="834" spans="2:12">
      <c r="B834" s="663"/>
      <c r="C834" s="984" t="s">
        <v>57</v>
      </c>
      <c r="D834" s="985"/>
      <c r="E834" s="986"/>
      <c r="F834" s="91">
        <v>15</v>
      </c>
      <c r="G834" s="91">
        <v>0</v>
      </c>
      <c r="H834" s="91">
        <v>0</v>
      </c>
      <c r="I834" s="91">
        <v>0</v>
      </c>
      <c r="J834" s="91">
        <v>0</v>
      </c>
      <c r="K834" s="89">
        <f>F834</f>
        <v>15</v>
      </c>
      <c r="L834" s="90"/>
    </row>
    <row r="835" spans="2:12">
      <c r="B835" s="663"/>
      <c r="C835" s="1014" t="s">
        <v>116</v>
      </c>
      <c r="D835" s="1015"/>
      <c r="E835" s="1015"/>
      <c r="F835" s="1015"/>
      <c r="G835" s="1015"/>
      <c r="H835" s="1015"/>
      <c r="I835" s="1015"/>
      <c r="J835" s="1016"/>
      <c r="K835" s="89">
        <f>K834</f>
        <v>15</v>
      </c>
      <c r="L835" s="90"/>
    </row>
    <row r="836" spans="2:12">
      <c r="B836" s="219"/>
      <c r="C836" s="219"/>
      <c r="D836" s="219"/>
      <c r="E836" s="219"/>
      <c r="F836" s="219"/>
      <c r="G836" s="219"/>
      <c r="H836" s="219"/>
      <c r="I836" s="219"/>
      <c r="J836" s="219"/>
      <c r="K836" s="219"/>
      <c r="L836" s="219"/>
    </row>
    <row r="837" spans="2:12">
      <c r="B837" s="663" t="s">
        <v>101</v>
      </c>
      <c r="C837" s="980" t="str">
        <f>'ESC. NIVALDO XAVIER '!C55</f>
        <v>TUBO DE PVC RIGIDO P/ SAIDA DE ÁGUA 50MM</v>
      </c>
      <c r="D837" s="981"/>
      <c r="E837" s="981"/>
      <c r="F837" s="981"/>
      <c r="G837" s="981"/>
      <c r="H837" s="981"/>
      <c r="I837" s="981"/>
      <c r="J837" s="982"/>
      <c r="K837" s="97" t="s">
        <v>77</v>
      </c>
      <c r="L837" s="97">
        <f>K840</f>
        <v>20</v>
      </c>
    </row>
    <row r="838" spans="2:12">
      <c r="B838" s="663"/>
      <c r="C838" s="1018" t="s">
        <v>20</v>
      </c>
      <c r="D838" s="1019"/>
      <c r="E838" s="1020"/>
      <c r="F838" s="87" t="s">
        <v>22</v>
      </c>
      <c r="G838" s="656" t="s">
        <v>111</v>
      </c>
      <c r="H838" s="87" t="s">
        <v>112</v>
      </c>
      <c r="I838" s="656" t="s">
        <v>113</v>
      </c>
      <c r="J838" s="656" t="s">
        <v>114</v>
      </c>
      <c r="K838" s="89" t="s">
        <v>25</v>
      </c>
      <c r="L838" s="90"/>
    </row>
    <row r="839" spans="2:12" ht="28.5" customHeight="1">
      <c r="B839" s="663"/>
      <c r="C839" s="984" t="s">
        <v>237</v>
      </c>
      <c r="D839" s="985"/>
      <c r="E839" s="986"/>
      <c r="F839" s="91">
        <v>20</v>
      </c>
      <c r="G839" s="91">
        <v>0</v>
      </c>
      <c r="H839" s="91">
        <v>0</v>
      </c>
      <c r="I839" s="91">
        <v>0</v>
      </c>
      <c r="J839" s="91">
        <v>0</v>
      </c>
      <c r="K839" s="89">
        <f>F839</f>
        <v>20</v>
      </c>
      <c r="L839" s="90"/>
    </row>
    <row r="840" spans="2:12">
      <c r="B840" s="663"/>
      <c r="C840" s="1014" t="s">
        <v>116</v>
      </c>
      <c r="D840" s="1015"/>
      <c r="E840" s="1015"/>
      <c r="F840" s="1015"/>
      <c r="G840" s="1015"/>
      <c r="H840" s="1015"/>
      <c r="I840" s="1015"/>
      <c r="J840" s="1016"/>
      <c r="K840" s="89">
        <f>K839</f>
        <v>20</v>
      </c>
      <c r="L840" s="90"/>
    </row>
    <row r="841" spans="2:12">
      <c r="B841" s="219"/>
      <c r="C841" s="219"/>
      <c r="D841" s="219"/>
      <c r="E841" s="219"/>
      <c r="F841" s="219"/>
      <c r="G841" s="219"/>
      <c r="H841" s="219"/>
      <c r="I841" s="219"/>
      <c r="J841" s="219"/>
      <c r="K841" s="219"/>
      <c r="L841" s="219"/>
    </row>
    <row r="842" spans="2:12">
      <c r="B842" s="663" t="s">
        <v>429</v>
      </c>
      <c r="C842" s="980" t="str">
        <f>'ESC. NIVALDO XAVIER '!C56</f>
        <v>SIFÃO DO TIPO FLEXÍVEL EM PVC 1 X 1.1/2 - FORNECIMENTO E INSTALAÇÃO. AF_01/2020</v>
      </c>
      <c r="D842" s="981"/>
      <c r="E842" s="981"/>
      <c r="F842" s="981"/>
      <c r="G842" s="981"/>
      <c r="H842" s="981"/>
      <c r="I842" s="981"/>
      <c r="J842" s="982"/>
      <c r="K842" s="97" t="s">
        <v>21</v>
      </c>
      <c r="L842" s="97">
        <f>K845</f>
        <v>30</v>
      </c>
    </row>
    <row r="843" spans="2:12">
      <c r="B843" s="663"/>
      <c r="C843" s="983" t="s">
        <v>20</v>
      </c>
      <c r="D843" s="983"/>
      <c r="E843" s="983"/>
      <c r="F843" s="87" t="s">
        <v>22</v>
      </c>
      <c r="G843" s="656" t="s">
        <v>111</v>
      </c>
      <c r="H843" s="87" t="s">
        <v>112</v>
      </c>
      <c r="I843" s="656" t="s">
        <v>113</v>
      </c>
      <c r="J843" s="656" t="s">
        <v>114</v>
      </c>
      <c r="K843" s="89" t="s">
        <v>25</v>
      </c>
      <c r="L843" s="90"/>
    </row>
    <row r="844" spans="2:12">
      <c r="B844" s="663"/>
      <c r="C844" s="984" t="s">
        <v>237</v>
      </c>
      <c r="D844" s="985"/>
      <c r="E844" s="986"/>
      <c r="F844" s="91">
        <v>30</v>
      </c>
      <c r="G844" s="91">
        <v>0</v>
      </c>
      <c r="H844" s="91">
        <v>0</v>
      </c>
      <c r="I844" s="91">
        <v>0</v>
      </c>
      <c r="J844" s="91">
        <v>0</v>
      </c>
      <c r="K844" s="89">
        <f>F844</f>
        <v>30</v>
      </c>
      <c r="L844" s="90"/>
    </row>
    <row r="845" spans="2:12">
      <c r="B845" s="663"/>
      <c r="C845" s="987" t="s">
        <v>116</v>
      </c>
      <c r="D845" s="987"/>
      <c r="E845" s="987"/>
      <c r="F845" s="987"/>
      <c r="G845" s="987"/>
      <c r="H845" s="987"/>
      <c r="I845" s="987"/>
      <c r="J845" s="987"/>
      <c r="K845" s="89">
        <f>K844</f>
        <v>30</v>
      </c>
      <c r="L845" s="90"/>
    </row>
    <row r="846" spans="2:12">
      <c r="B846" s="663"/>
      <c r="C846" s="211"/>
      <c r="D846" s="211"/>
      <c r="E846" s="211"/>
      <c r="F846" s="211"/>
      <c r="G846" s="211"/>
      <c r="H846" s="211"/>
      <c r="I846" s="211"/>
      <c r="J846" s="211"/>
      <c r="K846" s="212"/>
      <c r="L846" s="90"/>
    </row>
    <row r="847" spans="2:12">
      <c r="B847" s="663" t="s">
        <v>546</v>
      </c>
      <c r="C847" s="980" t="str">
        <f>'ESC. NIVALDO XAVIER '!C57</f>
        <v>REVISÃO DE PONTO DE ESGOTO</v>
      </c>
      <c r="D847" s="981"/>
      <c r="E847" s="981"/>
      <c r="F847" s="981"/>
      <c r="G847" s="981"/>
      <c r="H847" s="981"/>
      <c r="I847" s="981"/>
      <c r="J847" s="982"/>
      <c r="K847" s="97" t="s">
        <v>21</v>
      </c>
      <c r="L847" s="97">
        <f>K850</f>
        <v>20</v>
      </c>
    </row>
    <row r="848" spans="2:12">
      <c r="B848" s="663"/>
      <c r="C848" s="983" t="s">
        <v>20</v>
      </c>
      <c r="D848" s="983"/>
      <c r="E848" s="983"/>
      <c r="F848" s="87" t="s">
        <v>22</v>
      </c>
      <c r="G848" s="656" t="s">
        <v>111</v>
      </c>
      <c r="H848" s="87" t="s">
        <v>112</v>
      </c>
      <c r="I848" s="656" t="s">
        <v>113</v>
      </c>
      <c r="J848" s="656" t="s">
        <v>114</v>
      </c>
      <c r="K848" s="89" t="s">
        <v>25</v>
      </c>
      <c r="L848" s="90"/>
    </row>
    <row r="849" spans="2:12">
      <c r="B849" s="663"/>
      <c r="C849" s="984" t="s">
        <v>237</v>
      </c>
      <c r="D849" s="985"/>
      <c r="E849" s="986"/>
      <c r="F849" s="91">
        <v>20</v>
      </c>
      <c r="G849" s="91">
        <v>0</v>
      </c>
      <c r="H849" s="91">
        <v>0</v>
      </c>
      <c r="I849" s="91">
        <v>0</v>
      </c>
      <c r="J849" s="91">
        <v>0</v>
      </c>
      <c r="K849" s="89">
        <f>F849</f>
        <v>20</v>
      </c>
      <c r="L849" s="90"/>
    </row>
    <row r="850" spans="2:12">
      <c r="B850" s="663"/>
      <c r="C850" s="987" t="s">
        <v>116</v>
      </c>
      <c r="D850" s="987"/>
      <c r="E850" s="987"/>
      <c r="F850" s="987"/>
      <c r="G850" s="987"/>
      <c r="H850" s="987"/>
      <c r="I850" s="987"/>
      <c r="J850" s="987"/>
      <c r="K850" s="89">
        <f>K849</f>
        <v>20</v>
      </c>
      <c r="L850" s="90"/>
    </row>
    <row r="851" spans="2:12">
      <c r="B851" s="663"/>
      <c r="C851" s="211"/>
      <c r="D851" s="211"/>
      <c r="E851" s="211"/>
      <c r="F851" s="211"/>
      <c r="G851" s="211"/>
      <c r="H851" s="211"/>
      <c r="I851" s="211"/>
      <c r="J851" s="211"/>
      <c r="K851" s="212"/>
      <c r="L851" s="90"/>
    </row>
    <row r="852" spans="2:12" ht="30.75" customHeight="1">
      <c r="B852" s="663" t="s">
        <v>547</v>
      </c>
      <c r="C852" s="980" t="s">
        <v>431</v>
      </c>
      <c r="D852" s="981"/>
      <c r="E852" s="981"/>
      <c r="F852" s="981"/>
      <c r="G852" s="981"/>
      <c r="H852" s="981"/>
      <c r="I852" s="981"/>
      <c r="J852" s="982"/>
      <c r="K852" s="97" t="s">
        <v>21</v>
      </c>
      <c r="L852" s="97">
        <f>K855</f>
        <v>20</v>
      </c>
    </row>
    <row r="853" spans="2:12">
      <c r="B853" s="663"/>
      <c r="C853" s="983" t="s">
        <v>20</v>
      </c>
      <c r="D853" s="983"/>
      <c r="E853" s="983"/>
      <c r="F853" s="87" t="s">
        <v>22</v>
      </c>
      <c r="G853" s="656" t="s">
        <v>111</v>
      </c>
      <c r="H853" s="87" t="s">
        <v>112</v>
      </c>
      <c r="I853" s="656" t="s">
        <v>113</v>
      </c>
      <c r="J853" s="656" t="s">
        <v>114</v>
      </c>
      <c r="K853" s="89" t="s">
        <v>25</v>
      </c>
      <c r="L853" s="90"/>
    </row>
    <row r="854" spans="2:12">
      <c r="B854" s="663"/>
      <c r="C854" s="984" t="s">
        <v>237</v>
      </c>
      <c r="D854" s="985"/>
      <c r="E854" s="986"/>
      <c r="F854" s="91">
        <v>20</v>
      </c>
      <c r="G854" s="91">
        <v>0</v>
      </c>
      <c r="H854" s="91">
        <v>0</v>
      </c>
      <c r="I854" s="91">
        <v>0</v>
      </c>
      <c r="J854" s="91">
        <v>0</v>
      </c>
      <c r="K854" s="89">
        <f>F854</f>
        <v>20</v>
      </c>
      <c r="L854" s="90"/>
    </row>
    <row r="855" spans="2:12">
      <c r="B855" s="663"/>
      <c r="C855" s="987" t="s">
        <v>116</v>
      </c>
      <c r="D855" s="987"/>
      <c r="E855" s="987"/>
      <c r="F855" s="987"/>
      <c r="G855" s="987"/>
      <c r="H855" s="987"/>
      <c r="I855" s="987"/>
      <c r="J855" s="987"/>
      <c r="K855" s="89">
        <f>K854</f>
        <v>20</v>
      </c>
      <c r="L855" s="90"/>
    </row>
    <row r="856" spans="2:12">
      <c r="B856" s="864"/>
      <c r="C856" s="211"/>
      <c r="D856" s="211"/>
      <c r="E856" s="211"/>
      <c r="F856" s="211"/>
      <c r="G856" s="211"/>
      <c r="H856" s="211"/>
      <c r="I856" s="211"/>
      <c r="J856" s="211"/>
      <c r="K856" s="212"/>
      <c r="L856" s="90"/>
    </row>
    <row r="857" spans="2:12">
      <c r="B857" s="292" t="s">
        <v>630</v>
      </c>
      <c r="C857" s="1093" t="s">
        <v>442</v>
      </c>
      <c r="D857" s="1093"/>
      <c r="E857" s="1093"/>
      <c r="F857" s="1093"/>
      <c r="G857" s="1093"/>
      <c r="H857" s="1093"/>
      <c r="I857" s="1093"/>
      <c r="J857" s="1093"/>
      <c r="K857" s="293"/>
      <c r="L857" s="293"/>
    </row>
    <row r="858" spans="2:12">
      <c r="B858" s="663"/>
      <c r="C858" s="211"/>
      <c r="D858" s="211"/>
      <c r="E858" s="211"/>
      <c r="F858" s="211"/>
      <c r="G858" s="211"/>
      <c r="H858" s="211"/>
      <c r="I858" s="211"/>
      <c r="J858" s="211"/>
      <c r="K858" s="212"/>
      <c r="L858" s="90"/>
    </row>
    <row r="859" spans="2:12" ht="38.25" customHeight="1">
      <c r="B859" s="663" t="s">
        <v>68</v>
      </c>
      <c r="C859" s="980" t="s">
        <v>428</v>
      </c>
      <c r="D859" s="981"/>
      <c r="E859" s="981"/>
      <c r="F859" s="981"/>
      <c r="G859" s="981"/>
      <c r="H859" s="981"/>
      <c r="I859" s="981"/>
      <c r="J859" s="982"/>
      <c r="K859" s="97" t="s">
        <v>21</v>
      </c>
      <c r="L859" s="97">
        <f>K862</f>
        <v>5</v>
      </c>
    </row>
    <row r="860" spans="2:12">
      <c r="B860" s="663"/>
      <c r="C860" s="983" t="s">
        <v>20</v>
      </c>
      <c r="D860" s="983"/>
      <c r="E860" s="983"/>
      <c r="F860" s="87" t="s">
        <v>22</v>
      </c>
      <c r="G860" s="656" t="s">
        <v>111</v>
      </c>
      <c r="H860" s="87" t="s">
        <v>112</v>
      </c>
      <c r="I860" s="656" t="s">
        <v>113</v>
      </c>
      <c r="J860" s="656" t="s">
        <v>114</v>
      </c>
      <c r="K860" s="89" t="s">
        <v>25</v>
      </c>
      <c r="L860" s="90"/>
    </row>
    <row r="861" spans="2:12">
      <c r="B861" s="663"/>
      <c r="C861" s="984" t="s">
        <v>458</v>
      </c>
      <c r="D861" s="985"/>
      <c r="E861" s="986"/>
      <c r="F861" s="91">
        <v>5</v>
      </c>
      <c r="G861" s="91">
        <v>0</v>
      </c>
      <c r="H861" s="91">
        <v>0</v>
      </c>
      <c r="I861" s="91">
        <v>0</v>
      </c>
      <c r="J861" s="91">
        <v>0</v>
      </c>
      <c r="K861" s="89">
        <f>F861</f>
        <v>5</v>
      </c>
      <c r="L861" s="90"/>
    </row>
    <row r="862" spans="2:12">
      <c r="B862" s="663"/>
      <c r="C862" s="987" t="s">
        <v>116</v>
      </c>
      <c r="D862" s="987"/>
      <c r="E862" s="987"/>
      <c r="F862" s="987"/>
      <c r="G862" s="987"/>
      <c r="H862" s="987"/>
      <c r="I862" s="987"/>
      <c r="J862" s="987"/>
      <c r="K862" s="89">
        <f>K861</f>
        <v>5</v>
      </c>
      <c r="L862" s="90"/>
    </row>
    <row r="863" spans="2:12">
      <c r="B863" s="663"/>
      <c r="C863" s="211"/>
      <c r="D863" s="211"/>
      <c r="E863" s="211"/>
      <c r="F863" s="211"/>
      <c r="G863" s="211"/>
      <c r="H863" s="211"/>
      <c r="I863" s="211"/>
      <c r="J863" s="211"/>
      <c r="K863" s="212"/>
      <c r="L863" s="90"/>
    </row>
    <row r="864" spans="2:12">
      <c r="B864" s="663" t="s">
        <v>202</v>
      </c>
      <c r="C864" s="980" t="s">
        <v>71</v>
      </c>
      <c r="D864" s="981"/>
      <c r="E864" s="981"/>
      <c r="F864" s="981"/>
      <c r="G864" s="981"/>
      <c r="H864" s="981"/>
      <c r="I864" s="981"/>
      <c r="J864" s="982"/>
      <c r="K864" s="97" t="s">
        <v>21</v>
      </c>
      <c r="L864" s="97">
        <f>K867</f>
        <v>150</v>
      </c>
    </row>
    <row r="865" spans="2:12" ht="15.75" customHeight="1">
      <c r="B865" s="663"/>
      <c r="C865" s="983" t="s">
        <v>20</v>
      </c>
      <c r="D865" s="983"/>
      <c r="E865" s="983"/>
      <c r="F865" s="87" t="s">
        <v>22</v>
      </c>
      <c r="G865" s="656" t="s">
        <v>111</v>
      </c>
      <c r="H865" s="87" t="s">
        <v>112</v>
      </c>
      <c r="I865" s="656" t="s">
        <v>113</v>
      </c>
      <c r="J865" s="656" t="s">
        <v>114</v>
      </c>
      <c r="K865" s="89" t="s">
        <v>25</v>
      </c>
      <c r="L865" s="90"/>
    </row>
    <row r="866" spans="2:12">
      <c r="B866" s="663"/>
      <c r="C866" s="984" t="s">
        <v>591</v>
      </c>
      <c r="D866" s="985"/>
      <c r="E866" s="986"/>
      <c r="F866" s="91">
        <v>150</v>
      </c>
      <c r="G866" s="91">
        <v>0</v>
      </c>
      <c r="H866" s="91">
        <v>0</v>
      </c>
      <c r="I866" s="91">
        <v>0</v>
      </c>
      <c r="J866" s="91">
        <v>0</v>
      </c>
      <c r="K866" s="89">
        <f>F866</f>
        <v>150</v>
      </c>
      <c r="L866" s="90"/>
    </row>
    <row r="867" spans="2:12">
      <c r="B867" s="663"/>
      <c r="C867" s="987" t="s">
        <v>116</v>
      </c>
      <c r="D867" s="987"/>
      <c r="E867" s="987"/>
      <c r="F867" s="987"/>
      <c r="G867" s="987"/>
      <c r="H867" s="987"/>
      <c r="I867" s="987"/>
      <c r="J867" s="987"/>
      <c r="K867" s="89">
        <f>K866</f>
        <v>150</v>
      </c>
      <c r="L867" s="90"/>
    </row>
    <row r="868" spans="2:12">
      <c r="B868" s="219"/>
      <c r="C868" s="219"/>
      <c r="D868" s="219"/>
      <c r="E868" s="219"/>
      <c r="F868" s="219"/>
      <c r="G868" s="219"/>
      <c r="H868" s="219"/>
      <c r="I868" s="219"/>
      <c r="J868" s="219"/>
      <c r="K868" s="219"/>
      <c r="L868" s="219"/>
    </row>
    <row r="869" spans="2:12">
      <c r="B869" s="663" t="s">
        <v>525</v>
      </c>
      <c r="C869" s="980" t="s">
        <v>424</v>
      </c>
      <c r="D869" s="981"/>
      <c r="E869" s="981"/>
      <c r="F869" s="981"/>
      <c r="G869" s="981"/>
      <c r="H869" s="981"/>
      <c r="I869" s="981"/>
      <c r="J869" s="982"/>
      <c r="K869" s="97" t="s">
        <v>21</v>
      </c>
      <c r="L869" s="97">
        <f>K872</f>
        <v>150</v>
      </c>
    </row>
    <row r="870" spans="2:12">
      <c r="B870" s="663"/>
      <c r="C870" s="983" t="s">
        <v>20</v>
      </c>
      <c r="D870" s="983"/>
      <c r="E870" s="983"/>
      <c r="F870" s="87" t="s">
        <v>22</v>
      </c>
      <c r="G870" s="656" t="s">
        <v>111</v>
      </c>
      <c r="H870" s="87" t="s">
        <v>112</v>
      </c>
      <c r="I870" s="656" t="s">
        <v>113</v>
      </c>
      <c r="J870" s="656" t="s">
        <v>114</v>
      </c>
      <c r="K870" s="89" t="s">
        <v>25</v>
      </c>
      <c r="L870" s="90"/>
    </row>
    <row r="871" spans="2:12" ht="30.75" customHeight="1">
      <c r="B871" s="663"/>
      <c r="C871" s="984" t="s">
        <v>590</v>
      </c>
      <c r="D871" s="985"/>
      <c r="E871" s="986"/>
      <c r="F871" s="91">
        <v>150</v>
      </c>
      <c r="G871" s="91">
        <v>0</v>
      </c>
      <c r="H871" s="91">
        <v>0</v>
      </c>
      <c r="I871" s="91">
        <v>0</v>
      </c>
      <c r="J871" s="91">
        <v>0</v>
      </c>
      <c r="K871" s="89">
        <f>F871</f>
        <v>150</v>
      </c>
      <c r="L871" s="90"/>
    </row>
    <row r="872" spans="2:12" ht="20.25" customHeight="1">
      <c r="B872" s="663"/>
      <c r="C872" s="987" t="s">
        <v>116</v>
      </c>
      <c r="D872" s="987"/>
      <c r="E872" s="987"/>
      <c r="F872" s="987"/>
      <c r="G872" s="987"/>
      <c r="H872" s="987"/>
      <c r="I872" s="987"/>
      <c r="J872" s="987"/>
      <c r="K872" s="89">
        <f>K871</f>
        <v>150</v>
      </c>
      <c r="L872" s="90"/>
    </row>
    <row r="873" spans="2:12" ht="20.25" customHeight="1">
      <c r="B873" s="663"/>
      <c r="C873" s="211"/>
      <c r="D873" s="211"/>
      <c r="E873" s="211"/>
      <c r="F873" s="211"/>
      <c r="G873" s="211"/>
      <c r="H873" s="211"/>
      <c r="I873" s="211"/>
      <c r="J873" s="211"/>
      <c r="K873" s="212"/>
      <c r="L873" s="90"/>
    </row>
    <row r="874" spans="2:12" ht="20.25" customHeight="1">
      <c r="B874" s="663"/>
      <c r="C874" s="211"/>
      <c r="D874" s="211"/>
      <c r="E874" s="211"/>
      <c r="F874" s="211"/>
      <c r="G874" s="211"/>
      <c r="H874" s="211"/>
      <c r="I874" s="211"/>
      <c r="J874" s="211"/>
      <c r="K874" s="212"/>
      <c r="L874" s="90"/>
    </row>
    <row r="875" spans="2:12" ht="20.25" customHeight="1">
      <c r="B875" s="292" t="s">
        <v>72</v>
      </c>
      <c r="C875" s="1093" t="s">
        <v>516</v>
      </c>
      <c r="D875" s="1093"/>
      <c r="E875" s="1093"/>
      <c r="F875" s="1093"/>
      <c r="G875" s="1093"/>
      <c r="H875" s="1093"/>
      <c r="I875" s="1093"/>
      <c r="J875" s="1093"/>
      <c r="K875" s="293"/>
      <c r="L875" s="293"/>
    </row>
    <row r="876" spans="2:12" ht="28.5" customHeight="1">
      <c r="B876" s="663" t="s">
        <v>75</v>
      </c>
      <c r="C876" s="980" t="s">
        <v>527</v>
      </c>
      <c r="D876" s="981"/>
      <c r="E876" s="981"/>
      <c r="F876" s="981"/>
      <c r="G876" s="981"/>
      <c r="H876" s="981"/>
      <c r="I876" s="981"/>
      <c r="J876" s="982"/>
      <c r="K876" s="97" t="s">
        <v>7</v>
      </c>
      <c r="L876" s="97">
        <f>K879</f>
        <v>62.5</v>
      </c>
    </row>
    <row r="877" spans="2:12" ht="20.25" customHeight="1">
      <c r="B877" s="663"/>
      <c r="C877" s="983" t="s">
        <v>20</v>
      </c>
      <c r="D877" s="983"/>
      <c r="E877" s="983"/>
      <c r="F877" s="87" t="s">
        <v>22</v>
      </c>
      <c r="G877" s="656" t="s">
        <v>111</v>
      </c>
      <c r="H877" s="87" t="s">
        <v>112</v>
      </c>
      <c r="I877" s="656" t="s">
        <v>113</v>
      </c>
      <c r="J877" s="656" t="s">
        <v>114</v>
      </c>
      <c r="K877" s="89" t="s">
        <v>25</v>
      </c>
      <c r="L877" s="90"/>
    </row>
    <row r="878" spans="2:12" ht="20.25" customHeight="1">
      <c r="B878" s="663"/>
      <c r="C878" s="984" t="s">
        <v>1067</v>
      </c>
      <c r="D878" s="985"/>
      <c r="E878" s="986"/>
      <c r="F878" s="91">
        <v>2.5</v>
      </c>
      <c r="G878" s="91">
        <v>5</v>
      </c>
      <c r="H878" s="91">
        <v>5</v>
      </c>
      <c r="I878" s="91">
        <v>1</v>
      </c>
      <c r="J878" s="91">
        <v>0</v>
      </c>
      <c r="K878" s="89">
        <f>(G878*H878*I878*F878)-J878</f>
        <v>62.5</v>
      </c>
      <c r="L878" s="90"/>
    </row>
    <row r="879" spans="2:12" ht="20.25" customHeight="1">
      <c r="B879" s="663"/>
      <c r="C879" s="987" t="s">
        <v>116</v>
      </c>
      <c r="D879" s="987"/>
      <c r="E879" s="987"/>
      <c r="F879" s="987"/>
      <c r="G879" s="987"/>
      <c r="H879" s="987"/>
      <c r="I879" s="987"/>
      <c r="J879" s="987"/>
      <c r="K879" s="89">
        <f>K878</f>
        <v>62.5</v>
      </c>
      <c r="L879" s="90"/>
    </row>
    <row r="880" spans="2:12" ht="20.25" customHeight="1">
      <c r="B880" s="663"/>
      <c r="C880" s="211"/>
      <c r="D880" s="211"/>
      <c r="E880" s="211"/>
      <c r="F880" s="211"/>
      <c r="G880" s="211"/>
      <c r="H880" s="211"/>
      <c r="I880" s="211"/>
      <c r="J880" s="211"/>
      <c r="K880" s="212"/>
      <c r="L880" s="90"/>
    </row>
    <row r="881" spans="2:12">
      <c r="B881" s="292" t="s">
        <v>632</v>
      </c>
      <c r="C881" s="1093" t="s">
        <v>73</v>
      </c>
      <c r="D881" s="1093"/>
      <c r="E881" s="1093"/>
      <c r="F881" s="1093"/>
      <c r="G881" s="1093"/>
      <c r="H881" s="1093"/>
      <c r="I881" s="1093"/>
      <c r="J881" s="1093"/>
      <c r="K881" s="293"/>
      <c r="L881" s="293"/>
    </row>
    <row r="882" spans="2:12">
      <c r="B882" s="663" t="s">
        <v>629</v>
      </c>
      <c r="C882" s="980" t="s">
        <v>609</v>
      </c>
      <c r="D882" s="981"/>
      <c r="E882" s="981"/>
      <c r="F882" s="981"/>
      <c r="G882" s="981"/>
      <c r="H882" s="981"/>
      <c r="I882" s="981"/>
      <c r="J882" s="982"/>
      <c r="K882" s="97" t="s">
        <v>7</v>
      </c>
      <c r="L882" s="97">
        <f>K885</f>
        <v>1000</v>
      </c>
    </row>
    <row r="883" spans="2:12">
      <c r="B883" s="663"/>
      <c r="C883" s="983" t="s">
        <v>20</v>
      </c>
      <c r="D883" s="983"/>
      <c r="E883" s="983"/>
      <c r="F883" s="87" t="s">
        <v>22</v>
      </c>
      <c r="G883" s="656" t="s">
        <v>111</v>
      </c>
      <c r="H883" s="87" t="s">
        <v>112</v>
      </c>
      <c r="I883" s="656" t="s">
        <v>113</v>
      </c>
      <c r="J883" s="656" t="s">
        <v>114</v>
      </c>
      <c r="K883" s="89" t="s">
        <v>25</v>
      </c>
      <c r="L883" s="90"/>
    </row>
    <row r="884" spans="2:12">
      <c r="B884" s="663"/>
      <c r="C884" s="984" t="s">
        <v>640</v>
      </c>
      <c r="D884" s="985"/>
      <c r="E884" s="986"/>
      <c r="F884" s="91">
        <v>1</v>
      </c>
      <c r="G884" s="91">
        <v>5</v>
      </c>
      <c r="H884" s="91">
        <v>200</v>
      </c>
      <c r="I884" s="91">
        <v>1</v>
      </c>
      <c r="J884" s="91">
        <v>0</v>
      </c>
      <c r="K884" s="89">
        <f>(G884*H884*I884*F884)-J884</f>
        <v>1000</v>
      </c>
      <c r="L884" s="90"/>
    </row>
    <row r="885" spans="2:12">
      <c r="B885" s="663"/>
      <c r="C885" s="987" t="s">
        <v>116</v>
      </c>
      <c r="D885" s="987"/>
      <c r="E885" s="987"/>
      <c r="F885" s="987"/>
      <c r="G885" s="987"/>
      <c r="H885" s="987"/>
      <c r="I885" s="987"/>
      <c r="J885" s="987"/>
      <c r="K885" s="89">
        <f>K884</f>
        <v>1000</v>
      </c>
      <c r="L885" s="90"/>
    </row>
    <row r="887" spans="2:12" ht="49.5" customHeight="1">
      <c r="B887" s="864" t="s">
        <v>701</v>
      </c>
      <c r="C887" s="980" t="str">
        <f>'ESC. NIVALDO XAVIER '!C70</f>
        <v xml:space="preserve">GUARDA-CORPO DE AÇO GALVANIZADO DE 1,10M, MONTANTES TUBULARES DE 1.1/4 M " ESPAÇADOS DE 1,20M, TRAVESSA SUPERIOR DE 1.1/2", GRADIL FORMADO POR TUBOS HORIZONTAIS DE 1" E VERTICAIS DE 3/4", FIXADO COM CHUMBADOR MECÂNICO. AF_04/2019_P </v>
      </c>
      <c r="D887" s="981"/>
      <c r="E887" s="981"/>
      <c r="F887" s="981"/>
      <c r="G887" s="981"/>
      <c r="H887" s="981"/>
      <c r="I887" s="981"/>
      <c r="J887" s="982"/>
      <c r="K887" s="97" t="s">
        <v>77</v>
      </c>
      <c r="L887" s="97">
        <f>K890</f>
        <v>6</v>
      </c>
    </row>
    <row r="888" spans="2:12">
      <c r="B888" s="670"/>
      <c r="C888" s="983" t="s">
        <v>20</v>
      </c>
      <c r="D888" s="983"/>
      <c r="E888" s="983"/>
      <c r="F888" s="87" t="s">
        <v>22</v>
      </c>
      <c r="G888" s="669" t="s">
        <v>111</v>
      </c>
      <c r="H888" s="87" t="s">
        <v>112</v>
      </c>
      <c r="I888" s="669" t="s">
        <v>113</v>
      </c>
      <c r="J888" s="669" t="s">
        <v>114</v>
      </c>
      <c r="K888" s="89" t="s">
        <v>25</v>
      </c>
      <c r="L888" s="90"/>
    </row>
    <row r="889" spans="2:12">
      <c r="B889" s="670"/>
      <c r="C889" s="984" t="s">
        <v>1120</v>
      </c>
      <c r="D889" s="985"/>
      <c r="E889" s="986"/>
      <c r="F889" s="91">
        <v>1</v>
      </c>
      <c r="G889" s="91">
        <v>1</v>
      </c>
      <c r="H889" s="91">
        <v>1</v>
      </c>
      <c r="I889" s="91">
        <v>6</v>
      </c>
      <c r="J889" s="91">
        <v>0</v>
      </c>
      <c r="K889" s="89">
        <f>(G889*H889*I889*F889)-J889</f>
        <v>6</v>
      </c>
      <c r="L889" s="90"/>
    </row>
    <row r="890" spans="2:12">
      <c r="B890" s="670"/>
      <c r="C890" s="987" t="s">
        <v>116</v>
      </c>
      <c r="D890" s="987"/>
      <c r="E890" s="987"/>
      <c r="F890" s="987"/>
      <c r="G890" s="987"/>
      <c r="H890" s="987"/>
      <c r="I890" s="987"/>
      <c r="J890" s="987"/>
      <c r="K890" s="89">
        <f>K889</f>
        <v>6</v>
      </c>
      <c r="L890" s="90"/>
    </row>
  </sheetData>
  <mergeCells count="737">
    <mergeCell ref="C887:J887"/>
    <mergeCell ref="C888:E888"/>
    <mergeCell ref="C889:E889"/>
    <mergeCell ref="C890:J890"/>
    <mergeCell ref="C703:E703"/>
    <mergeCell ref="C704:E704"/>
    <mergeCell ref="C705:E705"/>
    <mergeCell ref="C706:E706"/>
    <mergeCell ref="C707:E707"/>
    <mergeCell ref="C714:E714"/>
    <mergeCell ref="C715:E715"/>
    <mergeCell ref="C716:E716"/>
    <mergeCell ref="C783:J783"/>
    <mergeCell ref="C784:E784"/>
    <mergeCell ref="C881:J881"/>
    <mergeCell ref="C870:E870"/>
    <mergeCell ref="C871:E871"/>
    <mergeCell ref="C872:J872"/>
    <mergeCell ref="C862:J862"/>
    <mergeCell ref="C864:J864"/>
    <mergeCell ref="C865:E865"/>
    <mergeCell ref="C866:E866"/>
    <mergeCell ref="C883:E883"/>
    <mergeCell ref="C884:E884"/>
    <mergeCell ref="C885:J885"/>
    <mergeCell ref="C875:J875"/>
    <mergeCell ref="C876:J876"/>
    <mergeCell ref="C877:E877"/>
    <mergeCell ref="C878:E878"/>
    <mergeCell ref="C879:J879"/>
    <mergeCell ref="C847:J847"/>
    <mergeCell ref="C848:E848"/>
    <mergeCell ref="C849:E849"/>
    <mergeCell ref="C850:J850"/>
    <mergeCell ref="C852:J852"/>
    <mergeCell ref="C853:E853"/>
    <mergeCell ref="C867:J867"/>
    <mergeCell ref="C869:J869"/>
    <mergeCell ref="C854:E854"/>
    <mergeCell ref="C855:J855"/>
    <mergeCell ref="C857:J857"/>
    <mergeCell ref="C859:J859"/>
    <mergeCell ref="C860:E860"/>
    <mergeCell ref="C861:E861"/>
    <mergeCell ref="C882:J882"/>
    <mergeCell ref="C839:E839"/>
    <mergeCell ref="C840:J840"/>
    <mergeCell ref="C842:J842"/>
    <mergeCell ref="C843:E843"/>
    <mergeCell ref="C844:E844"/>
    <mergeCell ref="C845:J845"/>
    <mergeCell ref="C832:J832"/>
    <mergeCell ref="C833:E833"/>
    <mergeCell ref="C834:E834"/>
    <mergeCell ref="C835:J835"/>
    <mergeCell ref="C837:J837"/>
    <mergeCell ref="C838:E838"/>
    <mergeCell ref="C822:J822"/>
    <mergeCell ref="C824:J824"/>
    <mergeCell ref="C825:E825"/>
    <mergeCell ref="C826:E826"/>
    <mergeCell ref="C827:J827"/>
    <mergeCell ref="C830:J830"/>
    <mergeCell ref="C820:E820"/>
    <mergeCell ref="C821:E821"/>
    <mergeCell ref="B813:L813"/>
    <mergeCell ref="C814:J814"/>
    <mergeCell ref="C815:E815"/>
    <mergeCell ref="C816:E816"/>
    <mergeCell ref="C817:J817"/>
    <mergeCell ref="C819:J819"/>
    <mergeCell ref="C805:J805"/>
    <mergeCell ref="C807:J807"/>
    <mergeCell ref="C808:E808"/>
    <mergeCell ref="C809:E809"/>
    <mergeCell ref="C810:J810"/>
    <mergeCell ref="C812:J812"/>
    <mergeCell ref="C802:J802"/>
    <mergeCell ref="C803:E803"/>
    <mergeCell ref="C804:E804"/>
    <mergeCell ref="C793:J793"/>
    <mergeCell ref="C796:J796"/>
    <mergeCell ref="C797:E797"/>
    <mergeCell ref="C798:E798"/>
    <mergeCell ref="C799:J799"/>
    <mergeCell ref="C769:E769"/>
    <mergeCell ref="C770:E770"/>
    <mergeCell ref="C771:J771"/>
    <mergeCell ref="C790:J790"/>
    <mergeCell ref="C791:E791"/>
    <mergeCell ref="C792:E792"/>
    <mergeCell ref="C773:J773"/>
    <mergeCell ref="C774:E774"/>
    <mergeCell ref="C775:E775"/>
    <mergeCell ref="C776:J776"/>
    <mergeCell ref="C785:E785"/>
    <mergeCell ref="C786:J786"/>
    <mergeCell ref="C778:J778"/>
    <mergeCell ref="C779:E779"/>
    <mergeCell ref="C780:E780"/>
    <mergeCell ref="C781:J781"/>
    <mergeCell ref="C766:J766"/>
    <mergeCell ref="C768:J768"/>
    <mergeCell ref="C757:E757"/>
    <mergeCell ref="C758:J758"/>
    <mergeCell ref="C760:J760"/>
    <mergeCell ref="C761:E761"/>
    <mergeCell ref="C762:E762"/>
    <mergeCell ref="C763:J763"/>
    <mergeCell ref="C750:J750"/>
    <mergeCell ref="C751:E751"/>
    <mergeCell ref="C752:E752"/>
    <mergeCell ref="C753:J753"/>
    <mergeCell ref="C755:J755"/>
    <mergeCell ref="C756:E756"/>
    <mergeCell ref="C741:J741"/>
    <mergeCell ref="C743:J743"/>
    <mergeCell ref="C744:E744"/>
    <mergeCell ref="C745:E745"/>
    <mergeCell ref="C746:J746"/>
    <mergeCell ref="C748:J748"/>
    <mergeCell ref="C738:J738"/>
    <mergeCell ref="C739:E739"/>
    <mergeCell ref="C740:E740"/>
    <mergeCell ref="C727:E727"/>
    <mergeCell ref="C734:E734"/>
    <mergeCell ref="C735:J735"/>
    <mergeCell ref="C708:J708"/>
    <mergeCell ref="C712:J712"/>
    <mergeCell ref="C713:E713"/>
    <mergeCell ref="C720:E720"/>
    <mergeCell ref="C717:E717"/>
    <mergeCell ref="C718:E718"/>
    <mergeCell ref="C719:E719"/>
    <mergeCell ref="C721:E721"/>
    <mergeCell ref="C722:E722"/>
    <mergeCell ref="C723:E723"/>
    <mergeCell ref="C724:E724"/>
    <mergeCell ref="C725:E725"/>
    <mergeCell ref="C726:E726"/>
    <mergeCell ref="C728:E728"/>
    <mergeCell ref="C729:E729"/>
    <mergeCell ref="C730:E730"/>
    <mergeCell ref="C731:E731"/>
    <mergeCell ref="C732:E732"/>
    <mergeCell ref="C733:E733"/>
    <mergeCell ref="C698:E698"/>
    <mergeCell ref="C699:E699"/>
    <mergeCell ref="C700:E700"/>
    <mergeCell ref="C701:E701"/>
    <mergeCell ref="C702:E702"/>
    <mergeCell ref="C692:E692"/>
    <mergeCell ref="C693:E693"/>
    <mergeCell ref="C694:E694"/>
    <mergeCell ref="C695:E695"/>
    <mergeCell ref="C696:E696"/>
    <mergeCell ref="C697:E697"/>
    <mergeCell ref="C686:E686"/>
    <mergeCell ref="C687:E687"/>
    <mergeCell ref="C688:E688"/>
    <mergeCell ref="C689:E689"/>
    <mergeCell ref="C690:E690"/>
    <mergeCell ref="C691:E691"/>
    <mergeCell ref="C680:E680"/>
    <mergeCell ref="C681:E681"/>
    <mergeCell ref="C682:E682"/>
    <mergeCell ref="C683:E683"/>
    <mergeCell ref="C684:E684"/>
    <mergeCell ref="C685:E685"/>
    <mergeCell ref="C673:E673"/>
    <mergeCell ref="C674:J674"/>
    <mergeCell ref="C676:J676"/>
    <mergeCell ref="C677:E677"/>
    <mergeCell ref="C678:E678"/>
    <mergeCell ref="C679:E679"/>
    <mergeCell ref="C667:E667"/>
    <mergeCell ref="C668:E668"/>
    <mergeCell ref="C669:E669"/>
    <mergeCell ref="C670:E670"/>
    <mergeCell ref="C671:E671"/>
    <mergeCell ref="C672:E672"/>
    <mergeCell ref="C661:E661"/>
    <mergeCell ref="C662:E662"/>
    <mergeCell ref="C663:E663"/>
    <mergeCell ref="C664:E664"/>
    <mergeCell ref="C665:E665"/>
    <mergeCell ref="C666:E666"/>
    <mergeCell ref="C655:E655"/>
    <mergeCell ref="C656:E656"/>
    <mergeCell ref="C657:E657"/>
    <mergeCell ref="C658:E658"/>
    <mergeCell ref="C659:E659"/>
    <mergeCell ref="C660:E660"/>
    <mergeCell ref="C649:E649"/>
    <mergeCell ref="C650:E650"/>
    <mergeCell ref="C651:E651"/>
    <mergeCell ref="C652:E652"/>
    <mergeCell ref="C653:E653"/>
    <mergeCell ref="C654:E654"/>
    <mergeCell ref="C642:J642"/>
    <mergeCell ref="C644:J644"/>
    <mergeCell ref="C645:E645"/>
    <mergeCell ref="C646:E646"/>
    <mergeCell ref="C647:E647"/>
    <mergeCell ref="C648:E648"/>
    <mergeCell ref="C636:E636"/>
    <mergeCell ref="C637:E637"/>
    <mergeCell ref="C638:E638"/>
    <mergeCell ref="C639:E639"/>
    <mergeCell ref="C640:E640"/>
    <mergeCell ref="C641:E641"/>
    <mergeCell ref="C630:E630"/>
    <mergeCell ref="C631:E631"/>
    <mergeCell ref="C632:E632"/>
    <mergeCell ref="C633:E633"/>
    <mergeCell ref="C634:E634"/>
    <mergeCell ref="C635:E635"/>
    <mergeCell ref="C624:E624"/>
    <mergeCell ref="C625:E625"/>
    <mergeCell ref="C626:E626"/>
    <mergeCell ref="C627:E627"/>
    <mergeCell ref="C628:E628"/>
    <mergeCell ref="C629:E629"/>
    <mergeCell ref="C618:E618"/>
    <mergeCell ref="C619:E619"/>
    <mergeCell ref="C620:E620"/>
    <mergeCell ref="C621:E621"/>
    <mergeCell ref="C622:E622"/>
    <mergeCell ref="C623:E623"/>
    <mergeCell ref="C611:J611"/>
    <mergeCell ref="C613:J613"/>
    <mergeCell ref="C614:E614"/>
    <mergeCell ref="C615:E615"/>
    <mergeCell ref="C616:E616"/>
    <mergeCell ref="C617:E617"/>
    <mergeCell ref="C603:E603"/>
    <mergeCell ref="C604:J604"/>
    <mergeCell ref="C606:J606"/>
    <mergeCell ref="C607:E607"/>
    <mergeCell ref="C608:E608"/>
    <mergeCell ref="C609:J609"/>
    <mergeCell ref="C595:E595"/>
    <mergeCell ref="C596:E596"/>
    <mergeCell ref="C597:J597"/>
    <mergeCell ref="C600:J600"/>
    <mergeCell ref="C601:E601"/>
    <mergeCell ref="C602:E602"/>
    <mergeCell ref="C588:J588"/>
    <mergeCell ref="C589:E589"/>
    <mergeCell ref="C590:E590"/>
    <mergeCell ref="C591:J591"/>
    <mergeCell ref="C593:J593"/>
    <mergeCell ref="C594:J594"/>
    <mergeCell ref="C581:J581"/>
    <mergeCell ref="C582:E582"/>
    <mergeCell ref="C583:E583"/>
    <mergeCell ref="C584:E584"/>
    <mergeCell ref="C585:J585"/>
    <mergeCell ref="C587:J587"/>
    <mergeCell ref="C573:J573"/>
    <mergeCell ref="C575:J575"/>
    <mergeCell ref="C576:E576"/>
    <mergeCell ref="C577:E577"/>
    <mergeCell ref="C578:E578"/>
    <mergeCell ref="C579:J579"/>
    <mergeCell ref="C566:E566"/>
    <mergeCell ref="C567:E567"/>
    <mergeCell ref="C568:J568"/>
    <mergeCell ref="C570:J570"/>
    <mergeCell ref="C571:E571"/>
    <mergeCell ref="C572:E572"/>
    <mergeCell ref="C559:J559"/>
    <mergeCell ref="C560:J560"/>
    <mergeCell ref="C561:E561"/>
    <mergeCell ref="C562:E562"/>
    <mergeCell ref="C563:J563"/>
    <mergeCell ref="C565:J565"/>
    <mergeCell ref="C551:J551"/>
    <mergeCell ref="C553:J553"/>
    <mergeCell ref="C554:E554"/>
    <mergeCell ref="C555:E555"/>
    <mergeCell ref="C556:E556"/>
    <mergeCell ref="C557:J557"/>
    <mergeCell ref="C544:E544"/>
    <mergeCell ref="C545:J545"/>
    <mergeCell ref="C547:J547"/>
    <mergeCell ref="C548:E548"/>
    <mergeCell ref="C549:E549"/>
    <mergeCell ref="C550:E550"/>
    <mergeCell ref="C537:J537"/>
    <mergeCell ref="C538:E538"/>
    <mergeCell ref="C539:E539"/>
    <mergeCell ref="C540:J540"/>
    <mergeCell ref="C542:J542"/>
    <mergeCell ref="C543:E543"/>
    <mergeCell ref="C529:J529"/>
    <mergeCell ref="C531:J531"/>
    <mergeCell ref="C532:J532"/>
    <mergeCell ref="C533:E533"/>
    <mergeCell ref="C534:E534"/>
    <mergeCell ref="C535:J535"/>
    <mergeCell ref="C522:E522"/>
    <mergeCell ref="C523:J523"/>
    <mergeCell ref="C525:J525"/>
    <mergeCell ref="C526:E526"/>
    <mergeCell ref="C527:E527"/>
    <mergeCell ref="C528:E528"/>
    <mergeCell ref="C515:E515"/>
    <mergeCell ref="C516:E516"/>
    <mergeCell ref="C517:J517"/>
    <mergeCell ref="C519:J519"/>
    <mergeCell ref="C520:E520"/>
    <mergeCell ref="C521:E521"/>
    <mergeCell ref="C508:E508"/>
    <mergeCell ref="C509:E509"/>
    <mergeCell ref="C510:J510"/>
    <mergeCell ref="C512:J512"/>
    <mergeCell ref="C513:E513"/>
    <mergeCell ref="C514:E514"/>
    <mergeCell ref="C501:E501"/>
    <mergeCell ref="C502:E502"/>
    <mergeCell ref="C503:E503"/>
    <mergeCell ref="C504:E504"/>
    <mergeCell ref="C505:J505"/>
    <mergeCell ref="C507:J507"/>
    <mergeCell ref="C494:E494"/>
    <mergeCell ref="C495:E495"/>
    <mergeCell ref="C496:E496"/>
    <mergeCell ref="C497:J497"/>
    <mergeCell ref="C499:J499"/>
    <mergeCell ref="C500:J500"/>
    <mergeCell ref="C487:E487"/>
    <mergeCell ref="C488:E488"/>
    <mergeCell ref="C489:E489"/>
    <mergeCell ref="C490:J490"/>
    <mergeCell ref="C492:J492"/>
    <mergeCell ref="C493:E493"/>
    <mergeCell ref="C480:J480"/>
    <mergeCell ref="C481:E481"/>
    <mergeCell ref="C482:E482"/>
    <mergeCell ref="C483:J483"/>
    <mergeCell ref="C485:J485"/>
    <mergeCell ref="C486:E486"/>
    <mergeCell ref="C472:E472"/>
    <mergeCell ref="C473:J473"/>
    <mergeCell ref="C475:J475"/>
    <mergeCell ref="C476:E476"/>
    <mergeCell ref="C477:E477"/>
    <mergeCell ref="C478:J478"/>
    <mergeCell ref="C465:E465"/>
    <mergeCell ref="C466:E466"/>
    <mergeCell ref="C467:J467"/>
    <mergeCell ref="C469:J469"/>
    <mergeCell ref="C470:J470"/>
    <mergeCell ref="C471:E471"/>
    <mergeCell ref="C458:E458"/>
    <mergeCell ref="C459:E459"/>
    <mergeCell ref="C460:J460"/>
    <mergeCell ref="C462:J462"/>
    <mergeCell ref="C463:E463"/>
    <mergeCell ref="C464:E464"/>
    <mergeCell ref="C451:J451"/>
    <mergeCell ref="C452:E452"/>
    <mergeCell ref="C453:E453"/>
    <mergeCell ref="C454:J454"/>
    <mergeCell ref="C456:J456"/>
    <mergeCell ref="C457:E457"/>
    <mergeCell ref="C443:E443"/>
    <mergeCell ref="C444:J444"/>
    <mergeCell ref="C446:J446"/>
    <mergeCell ref="C447:E447"/>
    <mergeCell ref="C448:E448"/>
    <mergeCell ref="C449:J449"/>
    <mergeCell ref="C436:E436"/>
    <mergeCell ref="C437:J437"/>
    <mergeCell ref="C439:J439"/>
    <mergeCell ref="C440:J440"/>
    <mergeCell ref="C441:J441"/>
    <mergeCell ref="C442:E442"/>
    <mergeCell ref="C429:E429"/>
    <mergeCell ref="C430:E430"/>
    <mergeCell ref="C431:J431"/>
    <mergeCell ref="C433:J433"/>
    <mergeCell ref="C434:E434"/>
    <mergeCell ref="C435:E435"/>
    <mergeCell ref="C422:E422"/>
    <mergeCell ref="C423:E423"/>
    <mergeCell ref="C424:E424"/>
    <mergeCell ref="C425:J425"/>
    <mergeCell ref="C427:J427"/>
    <mergeCell ref="C428:E428"/>
    <mergeCell ref="C415:E415"/>
    <mergeCell ref="C416:E416"/>
    <mergeCell ref="C417:E417"/>
    <mergeCell ref="C418:E418"/>
    <mergeCell ref="C419:J419"/>
    <mergeCell ref="C421:J421"/>
    <mergeCell ref="C408:E408"/>
    <mergeCell ref="C409:E409"/>
    <mergeCell ref="C410:J410"/>
    <mergeCell ref="C412:J412"/>
    <mergeCell ref="C413:E413"/>
    <mergeCell ref="C414:E414"/>
    <mergeCell ref="C401:J401"/>
    <mergeCell ref="C403:J403"/>
    <mergeCell ref="C404:E404"/>
    <mergeCell ref="C405:E405"/>
    <mergeCell ref="C406:E406"/>
    <mergeCell ref="C407:E407"/>
    <mergeCell ref="C395:E395"/>
    <mergeCell ref="C396:E396"/>
    <mergeCell ref="C397:E397"/>
    <mergeCell ref="C398:E398"/>
    <mergeCell ref="C399:E399"/>
    <mergeCell ref="C400:E400"/>
    <mergeCell ref="C388:J388"/>
    <mergeCell ref="C389:E389"/>
    <mergeCell ref="C390:E390"/>
    <mergeCell ref="C391:J391"/>
    <mergeCell ref="C393:J393"/>
    <mergeCell ref="C394:J394"/>
    <mergeCell ref="C380:E380"/>
    <mergeCell ref="C381:J381"/>
    <mergeCell ref="C383:J383"/>
    <mergeCell ref="C384:E384"/>
    <mergeCell ref="C385:E385"/>
    <mergeCell ref="C386:J386"/>
    <mergeCell ref="C373:J373"/>
    <mergeCell ref="C374:E374"/>
    <mergeCell ref="C375:E375"/>
    <mergeCell ref="C376:J376"/>
    <mergeCell ref="C378:J378"/>
    <mergeCell ref="C379:E379"/>
    <mergeCell ref="C365:E365"/>
    <mergeCell ref="C366:J366"/>
    <mergeCell ref="C368:J368"/>
    <mergeCell ref="C369:E369"/>
    <mergeCell ref="C370:E370"/>
    <mergeCell ref="C371:J371"/>
    <mergeCell ref="C358:J358"/>
    <mergeCell ref="C359:E359"/>
    <mergeCell ref="C360:E360"/>
    <mergeCell ref="C361:J361"/>
    <mergeCell ref="C363:J363"/>
    <mergeCell ref="C364:E364"/>
    <mergeCell ref="C350:E350"/>
    <mergeCell ref="C351:J351"/>
    <mergeCell ref="C353:J353"/>
    <mergeCell ref="C354:E354"/>
    <mergeCell ref="C355:E355"/>
    <mergeCell ref="C356:J356"/>
    <mergeCell ref="C343:J343"/>
    <mergeCell ref="C344:E344"/>
    <mergeCell ref="C345:E345"/>
    <mergeCell ref="C346:J346"/>
    <mergeCell ref="C348:J348"/>
    <mergeCell ref="C349:E349"/>
    <mergeCell ref="C335:E335"/>
    <mergeCell ref="C336:J336"/>
    <mergeCell ref="C338:J338"/>
    <mergeCell ref="C339:E339"/>
    <mergeCell ref="C340:E340"/>
    <mergeCell ref="C341:J341"/>
    <mergeCell ref="C328:J328"/>
    <mergeCell ref="C329:E329"/>
    <mergeCell ref="C330:E330"/>
    <mergeCell ref="C331:J331"/>
    <mergeCell ref="C333:J333"/>
    <mergeCell ref="C334:E334"/>
    <mergeCell ref="C320:E320"/>
    <mergeCell ref="C321:J321"/>
    <mergeCell ref="C323:J323"/>
    <mergeCell ref="C324:E324"/>
    <mergeCell ref="C325:E325"/>
    <mergeCell ref="C326:J326"/>
    <mergeCell ref="C313:E313"/>
    <mergeCell ref="C314:E314"/>
    <mergeCell ref="C315:J315"/>
    <mergeCell ref="C317:J317"/>
    <mergeCell ref="C318:J318"/>
    <mergeCell ref="C319:E319"/>
    <mergeCell ref="C305:J305"/>
    <mergeCell ref="C307:J307"/>
    <mergeCell ref="C308:E308"/>
    <mergeCell ref="C309:E309"/>
    <mergeCell ref="C310:J310"/>
    <mergeCell ref="C312:J312"/>
    <mergeCell ref="C298:E298"/>
    <mergeCell ref="C299:E299"/>
    <mergeCell ref="C300:J300"/>
    <mergeCell ref="C302:J302"/>
    <mergeCell ref="C303:E303"/>
    <mergeCell ref="C304:E304"/>
    <mergeCell ref="C290:J290"/>
    <mergeCell ref="C292:J292"/>
    <mergeCell ref="C293:E293"/>
    <mergeCell ref="C294:E294"/>
    <mergeCell ref="C295:J295"/>
    <mergeCell ref="C297:J297"/>
    <mergeCell ref="C283:E283"/>
    <mergeCell ref="C284:E284"/>
    <mergeCell ref="C285:J285"/>
    <mergeCell ref="C287:J287"/>
    <mergeCell ref="C288:E288"/>
    <mergeCell ref="C289:E289"/>
    <mergeCell ref="C275:J275"/>
    <mergeCell ref="C277:J277"/>
    <mergeCell ref="C278:E278"/>
    <mergeCell ref="C279:E279"/>
    <mergeCell ref="C280:J280"/>
    <mergeCell ref="C282:J282"/>
    <mergeCell ref="C268:E268"/>
    <mergeCell ref="C269:E269"/>
    <mergeCell ref="C270:J270"/>
    <mergeCell ref="C272:J272"/>
    <mergeCell ref="C273:E273"/>
    <mergeCell ref="C274:E274"/>
    <mergeCell ref="C261:J261"/>
    <mergeCell ref="C262:E262"/>
    <mergeCell ref="C263:J263"/>
    <mergeCell ref="C264:E264"/>
    <mergeCell ref="C265:J265"/>
    <mergeCell ref="C267:J267"/>
    <mergeCell ref="C253:E253"/>
    <mergeCell ref="C254:J254"/>
    <mergeCell ref="C256:J256"/>
    <mergeCell ref="C257:E257"/>
    <mergeCell ref="C258:E258"/>
    <mergeCell ref="C259:J259"/>
    <mergeCell ref="C247:E247"/>
    <mergeCell ref="C248:J248"/>
    <mergeCell ref="C249:E249"/>
    <mergeCell ref="C250:E250"/>
    <mergeCell ref="C251:J251"/>
    <mergeCell ref="C252:E252"/>
    <mergeCell ref="C240:J240"/>
    <mergeCell ref="C242:E242"/>
    <mergeCell ref="C243:E243"/>
    <mergeCell ref="C244:E244"/>
    <mergeCell ref="C245:E245"/>
    <mergeCell ref="C246:E246"/>
    <mergeCell ref="C233:E233"/>
    <mergeCell ref="C234:E234"/>
    <mergeCell ref="C235:E235"/>
    <mergeCell ref="C236:E236"/>
    <mergeCell ref="C237:E237"/>
    <mergeCell ref="C238:J238"/>
    <mergeCell ref="C226:E226"/>
    <mergeCell ref="C227:E227"/>
    <mergeCell ref="C228:E228"/>
    <mergeCell ref="C229:E229"/>
    <mergeCell ref="C230:J230"/>
    <mergeCell ref="C232:J232"/>
    <mergeCell ref="C218:J218"/>
    <mergeCell ref="C220:J220"/>
    <mergeCell ref="C221:E221"/>
    <mergeCell ref="C222:E222"/>
    <mergeCell ref="C223:J223"/>
    <mergeCell ref="C225:E225"/>
    <mergeCell ref="C210:J210"/>
    <mergeCell ref="C213:J213"/>
    <mergeCell ref="C214:E214"/>
    <mergeCell ref="C215:E215"/>
    <mergeCell ref="C216:J216"/>
    <mergeCell ref="C207:J207"/>
    <mergeCell ref="C208:E208"/>
    <mergeCell ref="C209:E209"/>
    <mergeCell ref="C199:E199"/>
    <mergeCell ref="C200:J200"/>
    <mergeCell ref="C202:J202"/>
    <mergeCell ref="C203:E203"/>
    <mergeCell ref="C204:E204"/>
    <mergeCell ref="C205:J205"/>
    <mergeCell ref="C197:J197"/>
    <mergeCell ref="C198:E198"/>
    <mergeCell ref="C187:J187"/>
    <mergeCell ref="C189:J189"/>
    <mergeCell ref="C191:J191"/>
    <mergeCell ref="C192:E192"/>
    <mergeCell ref="C193:E193"/>
    <mergeCell ref="C194:J194"/>
    <mergeCell ref="C181:J181"/>
    <mergeCell ref="C182:J182"/>
    <mergeCell ref="C183:E183"/>
    <mergeCell ref="C184:E184"/>
    <mergeCell ref="C185:E185"/>
    <mergeCell ref="C186:E186"/>
    <mergeCell ref="C173:E173"/>
    <mergeCell ref="C174:J174"/>
    <mergeCell ref="C176:J176"/>
    <mergeCell ref="C177:E177"/>
    <mergeCell ref="C178:E178"/>
    <mergeCell ref="C179:J179"/>
    <mergeCell ref="C166:J166"/>
    <mergeCell ref="C167:E167"/>
    <mergeCell ref="C168:E168"/>
    <mergeCell ref="C169:J169"/>
    <mergeCell ref="C171:J171"/>
    <mergeCell ref="C172:E172"/>
    <mergeCell ref="C158:E158"/>
    <mergeCell ref="C159:J159"/>
    <mergeCell ref="C161:J161"/>
    <mergeCell ref="C162:E162"/>
    <mergeCell ref="C163:E163"/>
    <mergeCell ref="C164:J164"/>
    <mergeCell ref="C151:E151"/>
    <mergeCell ref="C152:E152"/>
    <mergeCell ref="C153:E153"/>
    <mergeCell ref="C154:J154"/>
    <mergeCell ref="C156:J156"/>
    <mergeCell ref="C157:E157"/>
    <mergeCell ref="C144:J144"/>
    <mergeCell ref="C145:E145"/>
    <mergeCell ref="C146:E146"/>
    <mergeCell ref="C147:E147"/>
    <mergeCell ref="C148:J148"/>
    <mergeCell ref="C150:J150"/>
    <mergeCell ref="C136:J136"/>
    <mergeCell ref="C138:J138"/>
    <mergeCell ref="C139:E139"/>
    <mergeCell ref="C140:E140"/>
    <mergeCell ref="C141:E141"/>
    <mergeCell ref="C142:J142"/>
    <mergeCell ref="C129:J129"/>
    <mergeCell ref="C131:J131"/>
    <mergeCell ref="C132:E132"/>
    <mergeCell ref="C133:E133"/>
    <mergeCell ref="C134:E134"/>
    <mergeCell ref="C135:E135"/>
    <mergeCell ref="C123:E123"/>
    <mergeCell ref="C124:E124"/>
    <mergeCell ref="C125:E125"/>
    <mergeCell ref="C126:E126"/>
    <mergeCell ref="C127:E127"/>
    <mergeCell ref="C128:E128"/>
    <mergeCell ref="C116:E116"/>
    <mergeCell ref="C117:E117"/>
    <mergeCell ref="C118:E118"/>
    <mergeCell ref="C119:E119"/>
    <mergeCell ref="C120:J120"/>
    <mergeCell ref="C122:J122"/>
    <mergeCell ref="C109:E109"/>
    <mergeCell ref="C110:E110"/>
    <mergeCell ref="C111:J111"/>
    <mergeCell ref="C113:J113"/>
    <mergeCell ref="C114:E114"/>
    <mergeCell ref="C115:E115"/>
    <mergeCell ref="C102:E102"/>
    <mergeCell ref="C103:E103"/>
    <mergeCell ref="C104:J104"/>
    <mergeCell ref="C106:J106"/>
    <mergeCell ref="C107:E107"/>
    <mergeCell ref="C108:E108"/>
    <mergeCell ref="C95:J95"/>
    <mergeCell ref="C96:E96"/>
    <mergeCell ref="C97:E97"/>
    <mergeCell ref="C98:J98"/>
    <mergeCell ref="C100:J100"/>
    <mergeCell ref="C101:J101"/>
    <mergeCell ref="C87:E87"/>
    <mergeCell ref="C88:J88"/>
    <mergeCell ref="C90:J90"/>
    <mergeCell ref="C91:E91"/>
    <mergeCell ref="C92:E92"/>
    <mergeCell ref="C93:J93"/>
    <mergeCell ref="C80:E80"/>
    <mergeCell ref="C81:E81"/>
    <mergeCell ref="C82:E82"/>
    <mergeCell ref="C83:J83"/>
    <mergeCell ref="C85:J85"/>
    <mergeCell ref="C86:E86"/>
    <mergeCell ref="C73:E73"/>
    <mergeCell ref="C74:J74"/>
    <mergeCell ref="C76:J76"/>
    <mergeCell ref="C77:E77"/>
    <mergeCell ref="C78:E78"/>
    <mergeCell ref="C79:E79"/>
    <mergeCell ref="C67:J67"/>
    <mergeCell ref="C68:E68"/>
    <mergeCell ref="C69:E69"/>
    <mergeCell ref="C70:E70"/>
    <mergeCell ref="C71:E71"/>
    <mergeCell ref="C72:E72"/>
    <mergeCell ref="C60:E60"/>
    <mergeCell ref="C61:E61"/>
    <mergeCell ref="C62:E62"/>
    <mergeCell ref="C63:E63"/>
    <mergeCell ref="C64:E64"/>
    <mergeCell ref="C65:J65"/>
    <mergeCell ref="C53:E53"/>
    <mergeCell ref="C54:J54"/>
    <mergeCell ref="C56:J56"/>
    <mergeCell ref="C57:J57"/>
    <mergeCell ref="C58:E58"/>
    <mergeCell ref="C59:E59"/>
    <mergeCell ref="C46:E46"/>
    <mergeCell ref="C47:E47"/>
    <mergeCell ref="C48:E48"/>
    <mergeCell ref="C49:J49"/>
    <mergeCell ref="C51:J51"/>
    <mergeCell ref="C52:E52"/>
    <mergeCell ref="C39:J39"/>
    <mergeCell ref="C41:J41"/>
    <mergeCell ref="C42:E42"/>
    <mergeCell ref="C43:E43"/>
    <mergeCell ref="C44:E44"/>
    <mergeCell ref="C45:E45"/>
    <mergeCell ref="C32:E32"/>
    <mergeCell ref="C33:J33"/>
    <mergeCell ref="C35:J35"/>
    <mergeCell ref="C36:J36"/>
    <mergeCell ref="C37:E37"/>
    <mergeCell ref="C38:E38"/>
    <mergeCell ref="C25:E25"/>
    <mergeCell ref="C26:E26"/>
    <mergeCell ref="C27:J27"/>
    <mergeCell ref="C29:J29"/>
    <mergeCell ref="C30:J30"/>
    <mergeCell ref="C31:E31"/>
    <mergeCell ref="C21:J21"/>
    <mergeCell ref="C23:J23"/>
    <mergeCell ref="C24:E24"/>
    <mergeCell ref="C8:D8"/>
    <mergeCell ref="C12:J12"/>
    <mergeCell ref="C13:J13"/>
    <mergeCell ref="C14:E14"/>
    <mergeCell ref="C15:E15"/>
    <mergeCell ref="C16:J16"/>
    <mergeCell ref="B2:C5"/>
    <mergeCell ref="D2:I2"/>
    <mergeCell ref="J2:L5"/>
    <mergeCell ref="D3:I3"/>
    <mergeCell ref="D4:I5"/>
    <mergeCell ref="B7:C7"/>
    <mergeCell ref="C18:J18"/>
    <mergeCell ref="C19:E19"/>
    <mergeCell ref="C20:E20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46" orientation="portrait" horizontalDpi="360" verticalDpi="360" r:id="rId1"/>
  <headerFooter>
    <oddFooter>Página &amp;P de &amp;N</oddFooter>
  </headerFooter>
  <rowBreaks count="3" manualBreakCount="3">
    <brk id="643" min="1" max="11" man="1"/>
    <brk id="753" min="1" max="11" man="1"/>
    <brk id="829" min="1" max="11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7"/>
  <sheetViews>
    <sheetView view="pageBreakPreview" topLeftCell="A73" zoomScale="85" zoomScaleNormal="100" zoomScaleSheetLayoutView="85" workbookViewId="0">
      <selection activeCell="B66" sqref="B66"/>
    </sheetView>
  </sheetViews>
  <sheetFormatPr defaultRowHeight="15"/>
  <cols>
    <col min="1" max="1" width="17.42578125" style="26" bestFit="1" customWidth="1"/>
    <col min="2" max="2" width="17.140625" style="27" customWidth="1"/>
    <col min="3" max="3" width="35.85546875" style="27" customWidth="1"/>
    <col min="4" max="4" width="6.85546875" style="27" customWidth="1"/>
    <col min="5" max="5" width="8.85546875" style="28" bestFit="1" customWidth="1"/>
    <col min="6" max="6" width="14" style="29" customWidth="1"/>
    <col min="7" max="7" width="13.5703125" style="29" bestFit="1" customWidth="1"/>
    <col min="8" max="8" width="27.140625" style="29" customWidth="1"/>
    <col min="257" max="257" width="17.42578125" bestFit="1" customWidth="1"/>
    <col min="258" max="258" width="8.7109375" customWidth="1"/>
    <col min="259" max="259" width="58.85546875" customWidth="1"/>
    <col min="260" max="260" width="6.85546875" customWidth="1"/>
    <col min="261" max="261" width="8.42578125" bestFit="1" customWidth="1"/>
    <col min="262" max="262" width="11.28515625" bestFit="1" customWidth="1"/>
    <col min="263" max="264" width="13.5703125" bestFit="1" customWidth="1"/>
    <col min="513" max="513" width="17.42578125" bestFit="1" customWidth="1"/>
    <col min="514" max="514" width="8.7109375" customWidth="1"/>
    <col min="515" max="515" width="58.85546875" customWidth="1"/>
    <col min="516" max="516" width="6.85546875" customWidth="1"/>
    <col min="517" max="517" width="8.42578125" bestFit="1" customWidth="1"/>
    <col min="518" max="518" width="11.28515625" bestFit="1" customWidth="1"/>
    <col min="519" max="520" width="13.5703125" bestFit="1" customWidth="1"/>
    <col min="769" max="769" width="17.42578125" bestFit="1" customWidth="1"/>
    <col min="770" max="770" width="8.7109375" customWidth="1"/>
    <col min="771" max="771" width="58.85546875" customWidth="1"/>
    <col min="772" max="772" width="6.85546875" customWidth="1"/>
    <col min="773" max="773" width="8.42578125" bestFit="1" customWidth="1"/>
    <col min="774" max="774" width="11.28515625" bestFit="1" customWidth="1"/>
    <col min="775" max="776" width="13.5703125" bestFit="1" customWidth="1"/>
    <col min="1025" max="1025" width="17.42578125" bestFit="1" customWidth="1"/>
    <col min="1026" max="1026" width="8.7109375" customWidth="1"/>
    <col min="1027" max="1027" width="58.85546875" customWidth="1"/>
    <col min="1028" max="1028" width="6.85546875" customWidth="1"/>
    <col min="1029" max="1029" width="8.42578125" bestFit="1" customWidth="1"/>
    <col min="1030" max="1030" width="11.28515625" bestFit="1" customWidth="1"/>
    <col min="1031" max="1032" width="13.5703125" bestFit="1" customWidth="1"/>
    <col min="1281" max="1281" width="17.42578125" bestFit="1" customWidth="1"/>
    <col min="1282" max="1282" width="8.7109375" customWidth="1"/>
    <col min="1283" max="1283" width="58.85546875" customWidth="1"/>
    <col min="1284" max="1284" width="6.85546875" customWidth="1"/>
    <col min="1285" max="1285" width="8.42578125" bestFit="1" customWidth="1"/>
    <col min="1286" max="1286" width="11.28515625" bestFit="1" customWidth="1"/>
    <col min="1287" max="1288" width="13.5703125" bestFit="1" customWidth="1"/>
    <col min="1537" max="1537" width="17.42578125" bestFit="1" customWidth="1"/>
    <col min="1538" max="1538" width="8.7109375" customWidth="1"/>
    <col min="1539" max="1539" width="58.85546875" customWidth="1"/>
    <col min="1540" max="1540" width="6.85546875" customWidth="1"/>
    <col min="1541" max="1541" width="8.42578125" bestFit="1" customWidth="1"/>
    <col min="1542" max="1542" width="11.28515625" bestFit="1" customWidth="1"/>
    <col min="1543" max="1544" width="13.5703125" bestFit="1" customWidth="1"/>
    <col min="1793" max="1793" width="17.42578125" bestFit="1" customWidth="1"/>
    <col min="1794" max="1794" width="8.7109375" customWidth="1"/>
    <col min="1795" max="1795" width="58.85546875" customWidth="1"/>
    <col min="1796" max="1796" width="6.85546875" customWidth="1"/>
    <col min="1797" max="1797" width="8.42578125" bestFit="1" customWidth="1"/>
    <col min="1798" max="1798" width="11.28515625" bestFit="1" customWidth="1"/>
    <col min="1799" max="1800" width="13.5703125" bestFit="1" customWidth="1"/>
    <col min="2049" max="2049" width="17.42578125" bestFit="1" customWidth="1"/>
    <col min="2050" max="2050" width="8.7109375" customWidth="1"/>
    <col min="2051" max="2051" width="58.85546875" customWidth="1"/>
    <col min="2052" max="2052" width="6.85546875" customWidth="1"/>
    <col min="2053" max="2053" width="8.42578125" bestFit="1" customWidth="1"/>
    <col min="2054" max="2054" width="11.28515625" bestFit="1" customWidth="1"/>
    <col min="2055" max="2056" width="13.5703125" bestFit="1" customWidth="1"/>
    <col min="2305" max="2305" width="17.42578125" bestFit="1" customWidth="1"/>
    <col min="2306" max="2306" width="8.7109375" customWidth="1"/>
    <col min="2307" max="2307" width="58.85546875" customWidth="1"/>
    <col min="2308" max="2308" width="6.85546875" customWidth="1"/>
    <col min="2309" max="2309" width="8.42578125" bestFit="1" customWidth="1"/>
    <col min="2310" max="2310" width="11.28515625" bestFit="1" customWidth="1"/>
    <col min="2311" max="2312" width="13.5703125" bestFit="1" customWidth="1"/>
    <col min="2561" max="2561" width="17.42578125" bestFit="1" customWidth="1"/>
    <col min="2562" max="2562" width="8.7109375" customWidth="1"/>
    <col min="2563" max="2563" width="58.85546875" customWidth="1"/>
    <col min="2564" max="2564" width="6.85546875" customWidth="1"/>
    <col min="2565" max="2565" width="8.42578125" bestFit="1" customWidth="1"/>
    <col min="2566" max="2566" width="11.28515625" bestFit="1" customWidth="1"/>
    <col min="2567" max="2568" width="13.5703125" bestFit="1" customWidth="1"/>
    <col min="2817" max="2817" width="17.42578125" bestFit="1" customWidth="1"/>
    <col min="2818" max="2818" width="8.7109375" customWidth="1"/>
    <col min="2819" max="2819" width="58.85546875" customWidth="1"/>
    <col min="2820" max="2820" width="6.85546875" customWidth="1"/>
    <col min="2821" max="2821" width="8.42578125" bestFit="1" customWidth="1"/>
    <col min="2822" max="2822" width="11.28515625" bestFit="1" customWidth="1"/>
    <col min="2823" max="2824" width="13.5703125" bestFit="1" customWidth="1"/>
    <col min="3073" max="3073" width="17.42578125" bestFit="1" customWidth="1"/>
    <col min="3074" max="3074" width="8.7109375" customWidth="1"/>
    <col min="3075" max="3075" width="58.85546875" customWidth="1"/>
    <col min="3076" max="3076" width="6.85546875" customWidth="1"/>
    <col min="3077" max="3077" width="8.42578125" bestFit="1" customWidth="1"/>
    <col min="3078" max="3078" width="11.28515625" bestFit="1" customWidth="1"/>
    <col min="3079" max="3080" width="13.5703125" bestFit="1" customWidth="1"/>
    <col min="3329" max="3329" width="17.42578125" bestFit="1" customWidth="1"/>
    <col min="3330" max="3330" width="8.7109375" customWidth="1"/>
    <col min="3331" max="3331" width="58.85546875" customWidth="1"/>
    <col min="3332" max="3332" width="6.85546875" customWidth="1"/>
    <col min="3333" max="3333" width="8.42578125" bestFit="1" customWidth="1"/>
    <col min="3334" max="3334" width="11.28515625" bestFit="1" customWidth="1"/>
    <col min="3335" max="3336" width="13.5703125" bestFit="1" customWidth="1"/>
    <col min="3585" max="3585" width="17.42578125" bestFit="1" customWidth="1"/>
    <col min="3586" max="3586" width="8.7109375" customWidth="1"/>
    <col min="3587" max="3587" width="58.85546875" customWidth="1"/>
    <col min="3588" max="3588" width="6.85546875" customWidth="1"/>
    <col min="3589" max="3589" width="8.42578125" bestFit="1" customWidth="1"/>
    <col min="3590" max="3590" width="11.28515625" bestFit="1" customWidth="1"/>
    <col min="3591" max="3592" width="13.5703125" bestFit="1" customWidth="1"/>
    <col min="3841" max="3841" width="17.42578125" bestFit="1" customWidth="1"/>
    <col min="3842" max="3842" width="8.7109375" customWidth="1"/>
    <col min="3843" max="3843" width="58.85546875" customWidth="1"/>
    <col min="3844" max="3844" width="6.85546875" customWidth="1"/>
    <col min="3845" max="3845" width="8.42578125" bestFit="1" customWidth="1"/>
    <col min="3846" max="3846" width="11.28515625" bestFit="1" customWidth="1"/>
    <col min="3847" max="3848" width="13.5703125" bestFit="1" customWidth="1"/>
    <col min="4097" max="4097" width="17.42578125" bestFit="1" customWidth="1"/>
    <col min="4098" max="4098" width="8.7109375" customWidth="1"/>
    <col min="4099" max="4099" width="58.85546875" customWidth="1"/>
    <col min="4100" max="4100" width="6.85546875" customWidth="1"/>
    <col min="4101" max="4101" width="8.42578125" bestFit="1" customWidth="1"/>
    <col min="4102" max="4102" width="11.28515625" bestFit="1" customWidth="1"/>
    <col min="4103" max="4104" width="13.5703125" bestFit="1" customWidth="1"/>
    <col min="4353" max="4353" width="17.42578125" bestFit="1" customWidth="1"/>
    <col min="4354" max="4354" width="8.7109375" customWidth="1"/>
    <col min="4355" max="4355" width="58.85546875" customWidth="1"/>
    <col min="4356" max="4356" width="6.85546875" customWidth="1"/>
    <col min="4357" max="4357" width="8.42578125" bestFit="1" customWidth="1"/>
    <col min="4358" max="4358" width="11.28515625" bestFit="1" customWidth="1"/>
    <col min="4359" max="4360" width="13.5703125" bestFit="1" customWidth="1"/>
    <col min="4609" max="4609" width="17.42578125" bestFit="1" customWidth="1"/>
    <col min="4610" max="4610" width="8.7109375" customWidth="1"/>
    <col min="4611" max="4611" width="58.85546875" customWidth="1"/>
    <col min="4612" max="4612" width="6.85546875" customWidth="1"/>
    <col min="4613" max="4613" width="8.42578125" bestFit="1" customWidth="1"/>
    <col min="4614" max="4614" width="11.28515625" bestFit="1" customWidth="1"/>
    <col min="4615" max="4616" width="13.5703125" bestFit="1" customWidth="1"/>
    <col min="4865" max="4865" width="17.42578125" bestFit="1" customWidth="1"/>
    <col min="4866" max="4866" width="8.7109375" customWidth="1"/>
    <col min="4867" max="4867" width="58.85546875" customWidth="1"/>
    <col min="4868" max="4868" width="6.85546875" customWidth="1"/>
    <col min="4869" max="4869" width="8.42578125" bestFit="1" customWidth="1"/>
    <col min="4870" max="4870" width="11.28515625" bestFit="1" customWidth="1"/>
    <col min="4871" max="4872" width="13.5703125" bestFit="1" customWidth="1"/>
    <col min="5121" max="5121" width="17.42578125" bestFit="1" customWidth="1"/>
    <col min="5122" max="5122" width="8.7109375" customWidth="1"/>
    <col min="5123" max="5123" width="58.85546875" customWidth="1"/>
    <col min="5124" max="5124" width="6.85546875" customWidth="1"/>
    <col min="5125" max="5125" width="8.42578125" bestFit="1" customWidth="1"/>
    <col min="5126" max="5126" width="11.28515625" bestFit="1" customWidth="1"/>
    <col min="5127" max="5128" width="13.5703125" bestFit="1" customWidth="1"/>
    <col min="5377" max="5377" width="17.42578125" bestFit="1" customWidth="1"/>
    <col min="5378" max="5378" width="8.7109375" customWidth="1"/>
    <col min="5379" max="5379" width="58.85546875" customWidth="1"/>
    <col min="5380" max="5380" width="6.85546875" customWidth="1"/>
    <col min="5381" max="5381" width="8.42578125" bestFit="1" customWidth="1"/>
    <col min="5382" max="5382" width="11.28515625" bestFit="1" customWidth="1"/>
    <col min="5383" max="5384" width="13.5703125" bestFit="1" customWidth="1"/>
    <col min="5633" max="5633" width="17.42578125" bestFit="1" customWidth="1"/>
    <col min="5634" max="5634" width="8.7109375" customWidth="1"/>
    <col min="5635" max="5635" width="58.85546875" customWidth="1"/>
    <col min="5636" max="5636" width="6.85546875" customWidth="1"/>
    <col min="5637" max="5637" width="8.42578125" bestFit="1" customWidth="1"/>
    <col min="5638" max="5638" width="11.28515625" bestFit="1" customWidth="1"/>
    <col min="5639" max="5640" width="13.5703125" bestFit="1" customWidth="1"/>
    <col min="5889" max="5889" width="17.42578125" bestFit="1" customWidth="1"/>
    <col min="5890" max="5890" width="8.7109375" customWidth="1"/>
    <col min="5891" max="5891" width="58.85546875" customWidth="1"/>
    <col min="5892" max="5892" width="6.85546875" customWidth="1"/>
    <col min="5893" max="5893" width="8.42578125" bestFit="1" customWidth="1"/>
    <col min="5894" max="5894" width="11.28515625" bestFit="1" customWidth="1"/>
    <col min="5895" max="5896" width="13.5703125" bestFit="1" customWidth="1"/>
    <col min="6145" max="6145" width="17.42578125" bestFit="1" customWidth="1"/>
    <col min="6146" max="6146" width="8.7109375" customWidth="1"/>
    <col min="6147" max="6147" width="58.85546875" customWidth="1"/>
    <col min="6148" max="6148" width="6.85546875" customWidth="1"/>
    <col min="6149" max="6149" width="8.42578125" bestFit="1" customWidth="1"/>
    <col min="6150" max="6150" width="11.28515625" bestFit="1" customWidth="1"/>
    <col min="6151" max="6152" width="13.5703125" bestFit="1" customWidth="1"/>
    <col min="6401" max="6401" width="17.42578125" bestFit="1" customWidth="1"/>
    <col min="6402" max="6402" width="8.7109375" customWidth="1"/>
    <col min="6403" max="6403" width="58.85546875" customWidth="1"/>
    <col min="6404" max="6404" width="6.85546875" customWidth="1"/>
    <col min="6405" max="6405" width="8.42578125" bestFit="1" customWidth="1"/>
    <col min="6406" max="6406" width="11.28515625" bestFit="1" customWidth="1"/>
    <col min="6407" max="6408" width="13.5703125" bestFit="1" customWidth="1"/>
    <col min="6657" max="6657" width="17.42578125" bestFit="1" customWidth="1"/>
    <col min="6658" max="6658" width="8.7109375" customWidth="1"/>
    <col min="6659" max="6659" width="58.85546875" customWidth="1"/>
    <col min="6660" max="6660" width="6.85546875" customWidth="1"/>
    <col min="6661" max="6661" width="8.42578125" bestFit="1" customWidth="1"/>
    <col min="6662" max="6662" width="11.28515625" bestFit="1" customWidth="1"/>
    <col min="6663" max="6664" width="13.5703125" bestFit="1" customWidth="1"/>
    <col min="6913" max="6913" width="17.42578125" bestFit="1" customWidth="1"/>
    <col min="6914" max="6914" width="8.7109375" customWidth="1"/>
    <col min="6915" max="6915" width="58.85546875" customWidth="1"/>
    <col min="6916" max="6916" width="6.85546875" customWidth="1"/>
    <col min="6917" max="6917" width="8.42578125" bestFit="1" customWidth="1"/>
    <col min="6918" max="6918" width="11.28515625" bestFit="1" customWidth="1"/>
    <col min="6919" max="6920" width="13.5703125" bestFit="1" customWidth="1"/>
    <col min="7169" max="7169" width="17.42578125" bestFit="1" customWidth="1"/>
    <col min="7170" max="7170" width="8.7109375" customWidth="1"/>
    <col min="7171" max="7171" width="58.85546875" customWidth="1"/>
    <col min="7172" max="7172" width="6.85546875" customWidth="1"/>
    <col min="7173" max="7173" width="8.42578125" bestFit="1" customWidth="1"/>
    <col min="7174" max="7174" width="11.28515625" bestFit="1" customWidth="1"/>
    <col min="7175" max="7176" width="13.5703125" bestFit="1" customWidth="1"/>
    <col min="7425" max="7425" width="17.42578125" bestFit="1" customWidth="1"/>
    <col min="7426" max="7426" width="8.7109375" customWidth="1"/>
    <col min="7427" max="7427" width="58.85546875" customWidth="1"/>
    <col min="7428" max="7428" width="6.85546875" customWidth="1"/>
    <col min="7429" max="7429" width="8.42578125" bestFit="1" customWidth="1"/>
    <col min="7430" max="7430" width="11.28515625" bestFit="1" customWidth="1"/>
    <col min="7431" max="7432" width="13.5703125" bestFit="1" customWidth="1"/>
    <col min="7681" max="7681" width="17.42578125" bestFit="1" customWidth="1"/>
    <col min="7682" max="7682" width="8.7109375" customWidth="1"/>
    <col min="7683" max="7683" width="58.85546875" customWidth="1"/>
    <col min="7684" max="7684" width="6.85546875" customWidth="1"/>
    <col min="7685" max="7685" width="8.42578125" bestFit="1" customWidth="1"/>
    <col min="7686" max="7686" width="11.28515625" bestFit="1" customWidth="1"/>
    <col min="7687" max="7688" width="13.5703125" bestFit="1" customWidth="1"/>
    <col min="7937" max="7937" width="17.42578125" bestFit="1" customWidth="1"/>
    <col min="7938" max="7938" width="8.7109375" customWidth="1"/>
    <col min="7939" max="7939" width="58.85546875" customWidth="1"/>
    <col min="7940" max="7940" width="6.85546875" customWidth="1"/>
    <col min="7941" max="7941" width="8.42578125" bestFit="1" customWidth="1"/>
    <col min="7942" max="7942" width="11.28515625" bestFit="1" customWidth="1"/>
    <col min="7943" max="7944" width="13.5703125" bestFit="1" customWidth="1"/>
    <col min="8193" max="8193" width="17.42578125" bestFit="1" customWidth="1"/>
    <col min="8194" max="8194" width="8.7109375" customWidth="1"/>
    <col min="8195" max="8195" width="58.85546875" customWidth="1"/>
    <col min="8196" max="8196" width="6.85546875" customWidth="1"/>
    <col min="8197" max="8197" width="8.42578125" bestFit="1" customWidth="1"/>
    <col min="8198" max="8198" width="11.28515625" bestFit="1" customWidth="1"/>
    <col min="8199" max="8200" width="13.5703125" bestFit="1" customWidth="1"/>
    <col min="8449" max="8449" width="17.42578125" bestFit="1" customWidth="1"/>
    <col min="8450" max="8450" width="8.7109375" customWidth="1"/>
    <col min="8451" max="8451" width="58.85546875" customWidth="1"/>
    <col min="8452" max="8452" width="6.85546875" customWidth="1"/>
    <col min="8453" max="8453" width="8.42578125" bestFit="1" customWidth="1"/>
    <col min="8454" max="8454" width="11.28515625" bestFit="1" customWidth="1"/>
    <col min="8455" max="8456" width="13.5703125" bestFit="1" customWidth="1"/>
    <col min="8705" max="8705" width="17.42578125" bestFit="1" customWidth="1"/>
    <col min="8706" max="8706" width="8.7109375" customWidth="1"/>
    <col min="8707" max="8707" width="58.85546875" customWidth="1"/>
    <col min="8708" max="8708" width="6.85546875" customWidth="1"/>
    <col min="8709" max="8709" width="8.42578125" bestFit="1" customWidth="1"/>
    <col min="8710" max="8710" width="11.28515625" bestFit="1" customWidth="1"/>
    <col min="8711" max="8712" width="13.5703125" bestFit="1" customWidth="1"/>
    <col min="8961" max="8961" width="17.42578125" bestFit="1" customWidth="1"/>
    <col min="8962" max="8962" width="8.7109375" customWidth="1"/>
    <col min="8963" max="8963" width="58.85546875" customWidth="1"/>
    <col min="8964" max="8964" width="6.85546875" customWidth="1"/>
    <col min="8965" max="8965" width="8.42578125" bestFit="1" customWidth="1"/>
    <col min="8966" max="8966" width="11.28515625" bestFit="1" customWidth="1"/>
    <col min="8967" max="8968" width="13.5703125" bestFit="1" customWidth="1"/>
    <col min="9217" max="9217" width="17.42578125" bestFit="1" customWidth="1"/>
    <col min="9218" max="9218" width="8.7109375" customWidth="1"/>
    <col min="9219" max="9219" width="58.85546875" customWidth="1"/>
    <col min="9220" max="9220" width="6.85546875" customWidth="1"/>
    <col min="9221" max="9221" width="8.42578125" bestFit="1" customWidth="1"/>
    <col min="9222" max="9222" width="11.28515625" bestFit="1" customWidth="1"/>
    <col min="9223" max="9224" width="13.5703125" bestFit="1" customWidth="1"/>
    <col min="9473" max="9473" width="17.42578125" bestFit="1" customWidth="1"/>
    <col min="9474" max="9474" width="8.7109375" customWidth="1"/>
    <col min="9475" max="9475" width="58.85546875" customWidth="1"/>
    <col min="9476" max="9476" width="6.85546875" customWidth="1"/>
    <col min="9477" max="9477" width="8.42578125" bestFit="1" customWidth="1"/>
    <col min="9478" max="9478" width="11.28515625" bestFit="1" customWidth="1"/>
    <col min="9479" max="9480" width="13.5703125" bestFit="1" customWidth="1"/>
    <col min="9729" max="9729" width="17.42578125" bestFit="1" customWidth="1"/>
    <col min="9730" max="9730" width="8.7109375" customWidth="1"/>
    <col min="9731" max="9731" width="58.85546875" customWidth="1"/>
    <col min="9732" max="9732" width="6.85546875" customWidth="1"/>
    <col min="9733" max="9733" width="8.42578125" bestFit="1" customWidth="1"/>
    <col min="9734" max="9734" width="11.28515625" bestFit="1" customWidth="1"/>
    <col min="9735" max="9736" width="13.5703125" bestFit="1" customWidth="1"/>
    <col min="9985" max="9985" width="17.42578125" bestFit="1" customWidth="1"/>
    <col min="9986" max="9986" width="8.7109375" customWidth="1"/>
    <col min="9987" max="9987" width="58.85546875" customWidth="1"/>
    <col min="9988" max="9988" width="6.85546875" customWidth="1"/>
    <col min="9989" max="9989" width="8.42578125" bestFit="1" customWidth="1"/>
    <col min="9990" max="9990" width="11.28515625" bestFit="1" customWidth="1"/>
    <col min="9991" max="9992" width="13.5703125" bestFit="1" customWidth="1"/>
    <col min="10241" max="10241" width="17.42578125" bestFit="1" customWidth="1"/>
    <col min="10242" max="10242" width="8.7109375" customWidth="1"/>
    <col min="10243" max="10243" width="58.85546875" customWidth="1"/>
    <col min="10244" max="10244" width="6.85546875" customWidth="1"/>
    <col min="10245" max="10245" width="8.42578125" bestFit="1" customWidth="1"/>
    <col min="10246" max="10246" width="11.28515625" bestFit="1" customWidth="1"/>
    <col min="10247" max="10248" width="13.5703125" bestFit="1" customWidth="1"/>
    <col min="10497" max="10497" width="17.42578125" bestFit="1" customWidth="1"/>
    <col min="10498" max="10498" width="8.7109375" customWidth="1"/>
    <col min="10499" max="10499" width="58.85546875" customWidth="1"/>
    <col min="10500" max="10500" width="6.85546875" customWidth="1"/>
    <col min="10501" max="10501" width="8.42578125" bestFit="1" customWidth="1"/>
    <col min="10502" max="10502" width="11.28515625" bestFit="1" customWidth="1"/>
    <col min="10503" max="10504" width="13.5703125" bestFit="1" customWidth="1"/>
    <col min="10753" max="10753" width="17.42578125" bestFit="1" customWidth="1"/>
    <col min="10754" max="10754" width="8.7109375" customWidth="1"/>
    <col min="10755" max="10755" width="58.85546875" customWidth="1"/>
    <col min="10756" max="10756" width="6.85546875" customWidth="1"/>
    <col min="10757" max="10757" width="8.42578125" bestFit="1" customWidth="1"/>
    <col min="10758" max="10758" width="11.28515625" bestFit="1" customWidth="1"/>
    <col min="10759" max="10760" width="13.5703125" bestFit="1" customWidth="1"/>
    <col min="11009" max="11009" width="17.42578125" bestFit="1" customWidth="1"/>
    <col min="11010" max="11010" width="8.7109375" customWidth="1"/>
    <col min="11011" max="11011" width="58.85546875" customWidth="1"/>
    <col min="11012" max="11012" width="6.85546875" customWidth="1"/>
    <col min="11013" max="11013" width="8.42578125" bestFit="1" customWidth="1"/>
    <col min="11014" max="11014" width="11.28515625" bestFit="1" customWidth="1"/>
    <col min="11015" max="11016" width="13.5703125" bestFit="1" customWidth="1"/>
    <col min="11265" max="11265" width="17.42578125" bestFit="1" customWidth="1"/>
    <col min="11266" max="11266" width="8.7109375" customWidth="1"/>
    <col min="11267" max="11267" width="58.85546875" customWidth="1"/>
    <col min="11268" max="11268" width="6.85546875" customWidth="1"/>
    <col min="11269" max="11269" width="8.42578125" bestFit="1" customWidth="1"/>
    <col min="11270" max="11270" width="11.28515625" bestFit="1" customWidth="1"/>
    <col min="11271" max="11272" width="13.5703125" bestFit="1" customWidth="1"/>
    <col min="11521" max="11521" width="17.42578125" bestFit="1" customWidth="1"/>
    <col min="11522" max="11522" width="8.7109375" customWidth="1"/>
    <col min="11523" max="11523" width="58.85546875" customWidth="1"/>
    <col min="11524" max="11524" width="6.85546875" customWidth="1"/>
    <col min="11525" max="11525" width="8.42578125" bestFit="1" customWidth="1"/>
    <col min="11526" max="11526" width="11.28515625" bestFit="1" customWidth="1"/>
    <col min="11527" max="11528" width="13.5703125" bestFit="1" customWidth="1"/>
    <col min="11777" max="11777" width="17.42578125" bestFit="1" customWidth="1"/>
    <col min="11778" max="11778" width="8.7109375" customWidth="1"/>
    <col min="11779" max="11779" width="58.85546875" customWidth="1"/>
    <col min="11780" max="11780" width="6.85546875" customWidth="1"/>
    <col min="11781" max="11781" width="8.42578125" bestFit="1" customWidth="1"/>
    <col min="11782" max="11782" width="11.28515625" bestFit="1" customWidth="1"/>
    <col min="11783" max="11784" width="13.5703125" bestFit="1" customWidth="1"/>
    <col min="12033" max="12033" width="17.42578125" bestFit="1" customWidth="1"/>
    <col min="12034" max="12034" width="8.7109375" customWidth="1"/>
    <col min="12035" max="12035" width="58.85546875" customWidth="1"/>
    <col min="12036" max="12036" width="6.85546875" customWidth="1"/>
    <col min="12037" max="12037" width="8.42578125" bestFit="1" customWidth="1"/>
    <col min="12038" max="12038" width="11.28515625" bestFit="1" customWidth="1"/>
    <col min="12039" max="12040" width="13.5703125" bestFit="1" customWidth="1"/>
    <col min="12289" max="12289" width="17.42578125" bestFit="1" customWidth="1"/>
    <col min="12290" max="12290" width="8.7109375" customWidth="1"/>
    <col min="12291" max="12291" width="58.85546875" customWidth="1"/>
    <col min="12292" max="12292" width="6.85546875" customWidth="1"/>
    <col min="12293" max="12293" width="8.42578125" bestFit="1" customWidth="1"/>
    <col min="12294" max="12294" width="11.28515625" bestFit="1" customWidth="1"/>
    <col min="12295" max="12296" width="13.5703125" bestFit="1" customWidth="1"/>
    <col min="12545" max="12545" width="17.42578125" bestFit="1" customWidth="1"/>
    <col min="12546" max="12546" width="8.7109375" customWidth="1"/>
    <col min="12547" max="12547" width="58.85546875" customWidth="1"/>
    <col min="12548" max="12548" width="6.85546875" customWidth="1"/>
    <col min="12549" max="12549" width="8.42578125" bestFit="1" customWidth="1"/>
    <col min="12550" max="12550" width="11.28515625" bestFit="1" customWidth="1"/>
    <col min="12551" max="12552" width="13.5703125" bestFit="1" customWidth="1"/>
    <col min="12801" max="12801" width="17.42578125" bestFit="1" customWidth="1"/>
    <col min="12802" max="12802" width="8.7109375" customWidth="1"/>
    <col min="12803" max="12803" width="58.85546875" customWidth="1"/>
    <col min="12804" max="12804" width="6.85546875" customWidth="1"/>
    <col min="12805" max="12805" width="8.42578125" bestFit="1" customWidth="1"/>
    <col min="12806" max="12806" width="11.28515625" bestFit="1" customWidth="1"/>
    <col min="12807" max="12808" width="13.5703125" bestFit="1" customWidth="1"/>
    <col min="13057" max="13057" width="17.42578125" bestFit="1" customWidth="1"/>
    <col min="13058" max="13058" width="8.7109375" customWidth="1"/>
    <col min="13059" max="13059" width="58.85546875" customWidth="1"/>
    <col min="13060" max="13060" width="6.85546875" customWidth="1"/>
    <col min="13061" max="13061" width="8.42578125" bestFit="1" customWidth="1"/>
    <col min="13062" max="13062" width="11.28515625" bestFit="1" customWidth="1"/>
    <col min="13063" max="13064" width="13.5703125" bestFit="1" customWidth="1"/>
    <col min="13313" max="13313" width="17.42578125" bestFit="1" customWidth="1"/>
    <col min="13314" max="13314" width="8.7109375" customWidth="1"/>
    <col min="13315" max="13315" width="58.85546875" customWidth="1"/>
    <col min="13316" max="13316" width="6.85546875" customWidth="1"/>
    <col min="13317" max="13317" width="8.42578125" bestFit="1" customWidth="1"/>
    <col min="13318" max="13318" width="11.28515625" bestFit="1" customWidth="1"/>
    <col min="13319" max="13320" width="13.5703125" bestFit="1" customWidth="1"/>
    <col min="13569" max="13569" width="17.42578125" bestFit="1" customWidth="1"/>
    <col min="13570" max="13570" width="8.7109375" customWidth="1"/>
    <col min="13571" max="13571" width="58.85546875" customWidth="1"/>
    <col min="13572" max="13572" width="6.85546875" customWidth="1"/>
    <col min="13573" max="13573" width="8.42578125" bestFit="1" customWidth="1"/>
    <col min="13574" max="13574" width="11.28515625" bestFit="1" customWidth="1"/>
    <col min="13575" max="13576" width="13.5703125" bestFit="1" customWidth="1"/>
    <col min="13825" max="13825" width="17.42578125" bestFit="1" customWidth="1"/>
    <col min="13826" max="13826" width="8.7109375" customWidth="1"/>
    <col min="13827" max="13827" width="58.85546875" customWidth="1"/>
    <col min="13828" max="13828" width="6.85546875" customWidth="1"/>
    <col min="13829" max="13829" width="8.42578125" bestFit="1" customWidth="1"/>
    <col min="13830" max="13830" width="11.28515625" bestFit="1" customWidth="1"/>
    <col min="13831" max="13832" width="13.5703125" bestFit="1" customWidth="1"/>
    <col min="14081" max="14081" width="17.42578125" bestFit="1" customWidth="1"/>
    <col min="14082" max="14082" width="8.7109375" customWidth="1"/>
    <col min="14083" max="14083" width="58.85546875" customWidth="1"/>
    <col min="14084" max="14084" width="6.85546875" customWidth="1"/>
    <col min="14085" max="14085" width="8.42578125" bestFit="1" customWidth="1"/>
    <col min="14086" max="14086" width="11.28515625" bestFit="1" customWidth="1"/>
    <col min="14087" max="14088" width="13.5703125" bestFit="1" customWidth="1"/>
    <col min="14337" max="14337" width="17.42578125" bestFit="1" customWidth="1"/>
    <col min="14338" max="14338" width="8.7109375" customWidth="1"/>
    <col min="14339" max="14339" width="58.85546875" customWidth="1"/>
    <col min="14340" max="14340" width="6.85546875" customWidth="1"/>
    <col min="14341" max="14341" width="8.42578125" bestFit="1" customWidth="1"/>
    <col min="14342" max="14342" width="11.28515625" bestFit="1" customWidth="1"/>
    <col min="14343" max="14344" width="13.5703125" bestFit="1" customWidth="1"/>
    <col min="14593" max="14593" width="17.42578125" bestFit="1" customWidth="1"/>
    <col min="14594" max="14594" width="8.7109375" customWidth="1"/>
    <col min="14595" max="14595" width="58.85546875" customWidth="1"/>
    <col min="14596" max="14596" width="6.85546875" customWidth="1"/>
    <col min="14597" max="14597" width="8.42578125" bestFit="1" customWidth="1"/>
    <col min="14598" max="14598" width="11.28515625" bestFit="1" customWidth="1"/>
    <col min="14599" max="14600" width="13.5703125" bestFit="1" customWidth="1"/>
    <col min="14849" max="14849" width="17.42578125" bestFit="1" customWidth="1"/>
    <col min="14850" max="14850" width="8.7109375" customWidth="1"/>
    <col min="14851" max="14851" width="58.85546875" customWidth="1"/>
    <col min="14852" max="14852" width="6.85546875" customWidth="1"/>
    <col min="14853" max="14853" width="8.42578125" bestFit="1" customWidth="1"/>
    <col min="14854" max="14854" width="11.28515625" bestFit="1" customWidth="1"/>
    <col min="14855" max="14856" width="13.5703125" bestFit="1" customWidth="1"/>
    <col min="15105" max="15105" width="17.42578125" bestFit="1" customWidth="1"/>
    <col min="15106" max="15106" width="8.7109375" customWidth="1"/>
    <col min="15107" max="15107" width="58.85546875" customWidth="1"/>
    <col min="15108" max="15108" width="6.85546875" customWidth="1"/>
    <col min="15109" max="15109" width="8.42578125" bestFit="1" customWidth="1"/>
    <col min="15110" max="15110" width="11.28515625" bestFit="1" customWidth="1"/>
    <col min="15111" max="15112" width="13.5703125" bestFit="1" customWidth="1"/>
    <col min="15361" max="15361" width="17.42578125" bestFit="1" customWidth="1"/>
    <col min="15362" max="15362" width="8.7109375" customWidth="1"/>
    <col min="15363" max="15363" width="58.85546875" customWidth="1"/>
    <col min="15364" max="15364" width="6.85546875" customWidth="1"/>
    <col min="15365" max="15365" width="8.42578125" bestFit="1" customWidth="1"/>
    <col min="15366" max="15366" width="11.28515625" bestFit="1" customWidth="1"/>
    <col min="15367" max="15368" width="13.5703125" bestFit="1" customWidth="1"/>
    <col min="15617" max="15617" width="17.42578125" bestFit="1" customWidth="1"/>
    <col min="15618" max="15618" width="8.7109375" customWidth="1"/>
    <col min="15619" max="15619" width="58.85546875" customWidth="1"/>
    <col min="15620" max="15620" width="6.85546875" customWidth="1"/>
    <col min="15621" max="15621" width="8.42578125" bestFit="1" customWidth="1"/>
    <col min="15622" max="15622" width="11.28515625" bestFit="1" customWidth="1"/>
    <col min="15623" max="15624" width="13.5703125" bestFit="1" customWidth="1"/>
    <col min="15873" max="15873" width="17.42578125" bestFit="1" customWidth="1"/>
    <col min="15874" max="15874" width="8.7109375" customWidth="1"/>
    <col min="15875" max="15875" width="58.85546875" customWidth="1"/>
    <col min="15876" max="15876" width="6.85546875" customWidth="1"/>
    <col min="15877" max="15877" width="8.42578125" bestFit="1" customWidth="1"/>
    <col min="15878" max="15878" width="11.28515625" bestFit="1" customWidth="1"/>
    <col min="15879" max="15880" width="13.5703125" bestFit="1" customWidth="1"/>
    <col min="16129" max="16129" width="17.42578125" bestFit="1" customWidth="1"/>
    <col min="16130" max="16130" width="8.7109375" customWidth="1"/>
    <col min="16131" max="16131" width="58.85546875" customWidth="1"/>
    <col min="16132" max="16132" width="6.85546875" customWidth="1"/>
    <col min="16133" max="16133" width="8.42578125" bestFit="1" customWidth="1"/>
    <col min="16134" max="16134" width="11.28515625" bestFit="1" customWidth="1"/>
    <col min="16135" max="16136" width="13.5703125" bestFit="1" customWidth="1"/>
  </cols>
  <sheetData>
    <row r="1" spans="1:13">
      <c r="A1" s="1154"/>
      <c r="B1" s="1155"/>
      <c r="C1" s="1150" t="s">
        <v>17</v>
      </c>
      <c r="D1" s="1150"/>
      <c r="E1" s="1150"/>
      <c r="F1" s="1150"/>
      <c r="G1" s="1150"/>
      <c r="H1" s="1150"/>
    </row>
    <row r="2" spans="1:13">
      <c r="A2" s="1155"/>
      <c r="B2" s="1155"/>
      <c r="C2" s="1150"/>
      <c r="D2" s="1150"/>
      <c r="E2" s="1150"/>
      <c r="F2" s="1150"/>
      <c r="G2" s="1150"/>
      <c r="H2" s="1150"/>
    </row>
    <row r="3" spans="1:13">
      <c r="A3" s="1155"/>
      <c r="B3" s="1155"/>
      <c r="C3" s="1150"/>
      <c r="D3" s="1150"/>
      <c r="E3" s="1150"/>
      <c r="F3" s="1150"/>
      <c r="G3" s="1150"/>
      <c r="H3" s="1150"/>
    </row>
    <row r="4" spans="1:13">
      <c r="A4" s="1155"/>
      <c r="B4" s="1155"/>
      <c r="C4" s="1150"/>
      <c r="D4" s="1150"/>
      <c r="E4" s="1150"/>
      <c r="F4" s="1150"/>
      <c r="G4" s="1150"/>
      <c r="H4" s="1150"/>
    </row>
    <row r="5" spans="1:13">
      <c r="A5" s="1155"/>
      <c r="B5" s="1155"/>
      <c r="C5" s="1150"/>
      <c r="D5" s="1150"/>
      <c r="E5" s="1150"/>
      <c r="F5" s="1150"/>
      <c r="G5" s="1150"/>
      <c r="H5" s="1150"/>
    </row>
    <row r="6" spans="1:13">
      <c r="A6" s="1150" t="s">
        <v>80</v>
      </c>
      <c r="B6" s="1156"/>
      <c r="C6" s="1150" t="s">
        <v>1276</v>
      </c>
      <c r="D6" s="1150"/>
      <c r="E6" s="1150"/>
      <c r="F6" s="1150"/>
      <c r="G6" s="1150"/>
      <c r="H6" s="1150"/>
    </row>
    <row r="7" spans="1:13">
      <c r="A7" s="1156"/>
      <c r="B7" s="1156"/>
      <c r="C7" s="1150"/>
      <c r="D7" s="1150"/>
      <c r="E7" s="1150"/>
      <c r="F7" s="1150"/>
      <c r="G7" s="1150"/>
      <c r="H7" s="1150"/>
    </row>
    <row r="8" spans="1:13" ht="15.75" customHeight="1">
      <c r="A8" s="1150" t="s">
        <v>1521</v>
      </c>
      <c r="B8" s="1150"/>
      <c r="C8" s="1150" t="s">
        <v>835</v>
      </c>
      <c r="D8" s="1150"/>
      <c r="E8" s="1150"/>
      <c r="F8" s="1150"/>
      <c r="G8" s="1150"/>
      <c r="H8" s="1150"/>
    </row>
    <row r="9" spans="1:13">
      <c r="A9" s="1150"/>
      <c r="B9" s="1150"/>
      <c r="C9" s="1150"/>
      <c r="D9" s="1150"/>
      <c r="E9" s="1150"/>
      <c r="F9" s="1150"/>
      <c r="G9" s="1150"/>
      <c r="H9" s="1150"/>
    </row>
    <row r="10" spans="1:13" ht="27.75" customHeight="1">
      <c r="A10" s="1149" t="s">
        <v>220</v>
      </c>
      <c r="B10" s="1149"/>
      <c r="C10" s="686" t="s">
        <v>1641</v>
      </c>
      <c r="D10" s="1150"/>
      <c r="E10" s="1150"/>
      <c r="F10" s="1150"/>
      <c r="G10" s="1150"/>
      <c r="H10" s="1150"/>
    </row>
    <row r="11" spans="1:13">
      <c r="A11" s="1151" t="s">
        <v>1277</v>
      </c>
      <c r="B11" s="1151"/>
      <c r="C11" s="1151"/>
      <c r="D11" s="1151"/>
      <c r="E11" s="1151"/>
      <c r="F11" s="1151"/>
      <c r="G11" s="1152" t="s">
        <v>2</v>
      </c>
      <c r="H11" s="1153">
        <v>0.25219999999999998</v>
      </c>
    </row>
    <row r="12" spans="1:13">
      <c r="A12" s="1151" t="s">
        <v>1134</v>
      </c>
      <c r="B12" s="1151"/>
      <c r="C12" s="1151"/>
      <c r="D12" s="1151"/>
      <c r="E12" s="1151"/>
      <c r="F12" s="1151"/>
      <c r="G12" s="1152"/>
      <c r="H12" s="1153"/>
    </row>
    <row r="13" spans="1:13" ht="14.25" customHeight="1">
      <c r="A13" s="1148" t="s">
        <v>18</v>
      </c>
      <c r="B13" s="1148" t="s">
        <v>19</v>
      </c>
      <c r="C13" s="1148" t="s">
        <v>20</v>
      </c>
      <c r="D13" s="1148"/>
      <c r="E13" s="1148"/>
      <c r="F13" s="1148"/>
      <c r="G13" s="1148"/>
      <c r="H13" s="1148"/>
    </row>
    <row r="14" spans="1:13" ht="17.25" customHeight="1">
      <c r="A14" s="1232"/>
      <c r="B14" s="1148"/>
      <c r="C14" s="1148"/>
      <c r="D14" s="483" t="s">
        <v>21</v>
      </c>
      <c r="E14" s="699" t="s">
        <v>22</v>
      </c>
      <c r="F14" s="687" t="s">
        <v>23</v>
      </c>
      <c r="G14" s="687" t="s">
        <v>24</v>
      </c>
      <c r="H14" s="687" t="s">
        <v>25</v>
      </c>
    </row>
    <row r="15" spans="1:13" ht="26.25" customHeight="1">
      <c r="A15" s="682"/>
      <c r="B15" s="682" t="s">
        <v>26</v>
      </c>
      <c r="C15" s="775" t="s">
        <v>5</v>
      </c>
      <c r="D15" s="682"/>
      <c r="E15" s="607"/>
      <c r="F15" s="608"/>
      <c r="G15" s="608"/>
      <c r="H15" s="608">
        <f>SUM(H16:H17)</f>
        <v>910.06264620000002</v>
      </c>
    </row>
    <row r="16" spans="1:13" s="11" customFormat="1" ht="24">
      <c r="A16" s="483" t="str">
        <f>COMPOSIÇÕES!B614</f>
        <v>COMPOSIÇÃO 28</v>
      </c>
      <c r="B16" s="483" t="s">
        <v>6</v>
      </c>
      <c r="C16" s="487" t="str">
        <f>COMPOSIÇÕES!C614</f>
        <v>PLACA DE OBRA EM CHAPA DE AÇO GALVANIZADO, INSTALADO.</v>
      </c>
      <c r="D16" s="483" t="s">
        <v>7</v>
      </c>
      <c r="E16" s="488">
        <v>2.25</v>
      </c>
      <c r="F16" s="489">
        <f>COMPOSIÇÕES!G620</f>
        <v>226.732</v>
      </c>
      <c r="G16" s="684">
        <f>F16+F16*$H$11</f>
        <v>283.91381039999999</v>
      </c>
      <c r="H16" s="489">
        <f>G16*E16</f>
        <v>638.80607339999995</v>
      </c>
      <c r="I16" s="1091" t="s">
        <v>445</v>
      </c>
      <c r="J16" s="1092"/>
      <c r="K16" s="1092"/>
      <c r="L16" s="1092"/>
      <c r="M16" s="1092"/>
    </row>
    <row r="17" spans="1:13" s="11" customFormat="1" ht="41.25" customHeight="1">
      <c r="A17" s="483" t="s">
        <v>1135</v>
      </c>
      <c r="B17" s="483" t="s">
        <v>29</v>
      </c>
      <c r="C17" s="487" t="s">
        <v>677</v>
      </c>
      <c r="D17" s="483" t="s">
        <v>15</v>
      </c>
      <c r="E17" s="488">
        <v>4.8</v>
      </c>
      <c r="F17" s="489">
        <v>45.13</v>
      </c>
      <c r="G17" s="684">
        <f>F17+F17*$H$11</f>
        <v>56.511786000000001</v>
      </c>
      <c r="H17" s="489">
        <f>G17*E17</f>
        <v>271.25657280000001</v>
      </c>
      <c r="I17" s="675"/>
      <c r="J17" s="676"/>
      <c r="K17" s="676"/>
      <c r="L17" s="676"/>
      <c r="M17" s="676"/>
    </row>
    <row r="18" spans="1:13">
      <c r="A18" s="682"/>
      <c r="B18" s="682" t="s">
        <v>11</v>
      </c>
      <c r="C18" s="606" t="s">
        <v>57</v>
      </c>
      <c r="D18" s="682"/>
      <c r="E18" s="607"/>
      <c r="F18" s="608"/>
      <c r="G18" s="608"/>
      <c r="H18" s="608">
        <f>SUM(H19:H19)</f>
        <v>15386.062518899998</v>
      </c>
      <c r="I18" s="218"/>
      <c r="J18" s="219"/>
      <c r="K18" s="219"/>
      <c r="L18" s="219"/>
      <c r="M18" s="219"/>
    </row>
    <row r="19" spans="1:13" ht="47.25" customHeight="1">
      <c r="A19" s="483" t="s">
        <v>58</v>
      </c>
      <c r="B19" s="483" t="s">
        <v>12</v>
      </c>
      <c r="C19" s="487" t="s">
        <v>60</v>
      </c>
      <c r="D19" s="490" t="s">
        <v>7</v>
      </c>
      <c r="E19" s="488">
        <v>724.91</v>
      </c>
      <c r="F19" s="489">
        <v>16.95</v>
      </c>
      <c r="G19" s="684">
        <f>F19+F19*$H$11</f>
        <v>21.224789999999999</v>
      </c>
      <c r="H19" s="489">
        <f>E19*G19</f>
        <v>15386.062518899998</v>
      </c>
      <c r="I19" s="218"/>
      <c r="J19" s="219"/>
      <c r="K19" s="219"/>
      <c r="L19" s="219"/>
      <c r="M19" s="219"/>
    </row>
    <row r="20" spans="1:13">
      <c r="A20" s="682"/>
      <c r="B20" s="682" t="s">
        <v>13</v>
      </c>
      <c r="C20" s="606" t="s">
        <v>34</v>
      </c>
      <c r="D20" s="682"/>
      <c r="E20" s="607"/>
      <c r="F20" s="608"/>
      <c r="G20" s="608"/>
      <c r="H20" s="608">
        <f>SUM(H21:H27)</f>
        <v>79056.809703947991</v>
      </c>
      <c r="I20" s="218"/>
      <c r="J20" s="218"/>
      <c r="K20" s="218"/>
      <c r="L20" s="219"/>
      <c r="M20" s="219"/>
    </row>
    <row r="21" spans="1:13" ht="36">
      <c r="A21" s="483" t="s">
        <v>36</v>
      </c>
      <c r="B21" s="483" t="s">
        <v>14</v>
      </c>
      <c r="C21" s="487" t="s">
        <v>839</v>
      </c>
      <c r="D21" s="490" t="s">
        <v>7</v>
      </c>
      <c r="E21" s="488">
        <f>'[8]MEMORIA JULIO MARIA'!K630</f>
        <v>1041.3000000000002</v>
      </c>
      <c r="F21" s="489">
        <v>13.67</v>
      </c>
      <c r="G21" s="684">
        <f t="shared" ref="G21:G27" si="0">F21+F21*$H$11</f>
        <v>17.117574000000001</v>
      </c>
      <c r="H21" s="489">
        <f t="shared" ref="H21:H27" si="1">G21*E21</f>
        <v>17824.529806200004</v>
      </c>
      <c r="I21" s="1070"/>
      <c r="J21" s="1071"/>
      <c r="K21" s="1071"/>
      <c r="L21" s="1071"/>
      <c r="M21" s="1071"/>
    </row>
    <row r="22" spans="1:13" ht="36">
      <c r="A22" s="483" t="s">
        <v>840</v>
      </c>
      <c r="B22" s="483" t="s">
        <v>35</v>
      </c>
      <c r="C22" s="487" t="s">
        <v>841</v>
      </c>
      <c r="D22" s="490" t="s">
        <v>7</v>
      </c>
      <c r="E22" s="488">
        <f>'[8]MEMORIA JULIO MARIA'!K641</f>
        <v>1118.7249999999999</v>
      </c>
      <c r="F22" s="489">
        <v>14.26</v>
      </c>
      <c r="G22" s="684">
        <f t="shared" si="0"/>
        <v>17.856372</v>
      </c>
      <c r="H22" s="489">
        <f t="shared" si="1"/>
        <v>19976.369765699998</v>
      </c>
      <c r="I22" s="1070"/>
      <c r="J22" s="1071"/>
      <c r="K22" s="1071"/>
      <c r="L22" s="1071"/>
      <c r="M22" s="1071"/>
    </row>
    <row r="23" spans="1:13" ht="36">
      <c r="A23" s="483" t="s">
        <v>1280</v>
      </c>
      <c r="B23" s="483" t="s">
        <v>37</v>
      </c>
      <c r="C23" s="700" t="s">
        <v>1261</v>
      </c>
      <c r="D23" s="490" t="s">
        <v>7</v>
      </c>
      <c r="E23" s="488">
        <f>'[8]MEMORIA JULIO MARIA'!K679</f>
        <v>2082.6000000000004</v>
      </c>
      <c r="F23" s="489">
        <v>2.3199999999999998</v>
      </c>
      <c r="G23" s="684">
        <f t="shared" si="0"/>
        <v>2.9051039999999997</v>
      </c>
      <c r="H23" s="489">
        <f t="shared" si="1"/>
        <v>6050.1695904000007</v>
      </c>
      <c r="I23" s="1070"/>
      <c r="J23" s="1071"/>
      <c r="K23" s="1071"/>
      <c r="L23" s="1071"/>
      <c r="M23" s="1071"/>
    </row>
    <row r="24" spans="1:13" ht="42" customHeight="1">
      <c r="A24" s="483" t="s">
        <v>1523</v>
      </c>
      <c r="B24" s="483" t="s">
        <v>39</v>
      </c>
      <c r="C24" s="700" t="s">
        <v>1522</v>
      </c>
      <c r="D24" s="490" t="s">
        <v>7</v>
      </c>
      <c r="E24" s="488">
        <f>'[8]MEMORIA JULIO MARIA'!L681</f>
        <v>1633.4499999999998</v>
      </c>
      <c r="F24" s="489">
        <v>2.66</v>
      </c>
      <c r="G24" s="684">
        <f t="shared" si="0"/>
        <v>3.3308520000000001</v>
      </c>
      <c r="H24" s="489">
        <f t="shared" si="1"/>
        <v>5440.7801993999992</v>
      </c>
      <c r="I24" s="1070"/>
      <c r="J24" s="1070"/>
      <c r="K24" s="1070"/>
      <c r="L24" s="1070"/>
      <c r="M24" s="1070"/>
    </row>
    <row r="25" spans="1:13" ht="24">
      <c r="A25" s="483" t="str">
        <f>COMPOSIÇÕES!B74</f>
        <v>COMPOSIÇÃO 07</v>
      </c>
      <c r="B25" s="483" t="s">
        <v>627</v>
      </c>
      <c r="C25" s="911" t="str">
        <f>COMPOSIÇÕES!C74</f>
        <v>PREPARO DE SUPERFICIE COM LIXAMENO DE PAREDES E TETOS</v>
      </c>
      <c r="D25" s="490" t="s">
        <v>7</v>
      </c>
      <c r="E25" s="488">
        <f>'[8]MEMORIA JULIO MARIA'!L692</f>
        <v>2160.0250000000001</v>
      </c>
      <c r="F25" s="489">
        <f>COMPOSIÇÕES!G80</f>
        <v>3.2896000000000005</v>
      </c>
      <c r="G25" s="684">
        <f t="shared" si="0"/>
        <v>4.1192371200000011</v>
      </c>
      <c r="H25" s="489">
        <f t="shared" si="1"/>
        <v>8897.6551601280025</v>
      </c>
      <c r="I25" s="673"/>
      <c r="J25" s="673"/>
      <c r="K25" s="673"/>
      <c r="L25" s="673"/>
      <c r="M25" s="673"/>
    </row>
    <row r="26" spans="1:13" ht="24">
      <c r="A26" s="483" t="s">
        <v>1136</v>
      </c>
      <c r="B26" s="483" t="s">
        <v>639</v>
      </c>
      <c r="C26" s="487" t="s">
        <v>1137</v>
      </c>
      <c r="D26" s="490" t="s">
        <v>7</v>
      </c>
      <c r="E26" s="488">
        <f>'[8]MEMORIA JULIO MARIA'!L697</f>
        <v>473.55</v>
      </c>
      <c r="F26" s="489">
        <v>7.36</v>
      </c>
      <c r="G26" s="684">
        <f t="shared" si="0"/>
        <v>9.2161919999999995</v>
      </c>
      <c r="H26" s="489">
        <f t="shared" si="1"/>
        <v>4364.3277215999997</v>
      </c>
      <c r="I26" s="673"/>
      <c r="J26" s="673"/>
      <c r="K26" s="673"/>
      <c r="L26" s="673"/>
      <c r="M26" s="673"/>
    </row>
    <row r="27" spans="1:13" ht="72">
      <c r="A27" s="483" t="s">
        <v>1138</v>
      </c>
      <c r="B27" s="483" t="s">
        <v>665</v>
      </c>
      <c r="C27" s="487" t="s">
        <v>41</v>
      </c>
      <c r="D27" s="490" t="s">
        <v>7</v>
      </c>
      <c r="E27" s="488">
        <f>'[8]MEMORIA JULIO MARIA'!L706</f>
        <v>1561.5149999999996</v>
      </c>
      <c r="F27" s="489">
        <v>8.44</v>
      </c>
      <c r="G27" s="684">
        <f t="shared" si="0"/>
        <v>10.568567999999999</v>
      </c>
      <c r="H27" s="489">
        <f t="shared" si="1"/>
        <v>16502.977460519996</v>
      </c>
      <c r="I27" s="673"/>
      <c r="J27" s="673"/>
      <c r="K27" s="673"/>
      <c r="L27" s="673"/>
      <c r="M27" s="673"/>
    </row>
    <row r="28" spans="1:13">
      <c r="A28" s="1148"/>
      <c r="B28" s="1148"/>
      <c r="C28" s="1148"/>
      <c r="D28" s="1148"/>
      <c r="E28" s="1148"/>
      <c r="F28" s="1148"/>
      <c r="G28" s="1148"/>
      <c r="H28" s="1148"/>
      <c r="I28" s="218"/>
      <c r="J28" s="218"/>
      <c r="K28" s="218"/>
      <c r="L28" s="219"/>
      <c r="M28" s="219"/>
    </row>
    <row r="29" spans="1:13">
      <c r="A29" s="682"/>
      <c r="B29" s="682" t="s">
        <v>197</v>
      </c>
      <c r="C29" s="606" t="s">
        <v>53</v>
      </c>
      <c r="D29" s="682"/>
      <c r="E29" s="607"/>
      <c r="F29" s="608"/>
      <c r="G29" s="608"/>
      <c r="H29" s="608">
        <f>SUM(H30:H30)</f>
        <v>607.06155120000005</v>
      </c>
      <c r="I29" s="218"/>
      <c r="J29" s="218"/>
      <c r="K29" s="218"/>
      <c r="L29" s="219"/>
      <c r="M29" s="219"/>
    </row>
    <row r="30" spans="1:13" ht="60">
      <c r="A30" s="483" t="str">
        <f>COMPOSIÇÕES!B24</f>
        <v>COMPOSIÇÃO 03</v>
      </c>
      <c r="B30" s="483" t="s">
        <v>45</v>
      </c>
      <c r="C30" s="487" t="str">
        <f>COMPOSIÇÕES!C24</f>
        <v>FORNECIMENTO E ASSENTAMENTO DE FERROLHO / FECHO CHATO, DE SOBREPOR, EM FERRO ZINCADO, REFORCADO, 6", COM PORTA CADEADO, PARA PORTAO, PORTA E JANELA</v>
      </c>
      <c r="D30" s="490" t="s">
        <v>21</v>
      </c>
      <c r="E30" s="488">
        <f>'[8]MEMORIA JULIO MARIA'!K760</f>
        <v>26</v>
      </c>
      <c r="F30" s="903">
        <f>COMPOSIÇÕES!G30</f>
        <v>18.646000000000001</v>
      </c>
      <c r="G30" s="684">
        <f>F30+F30*$H$11</f>
        <v>23.3485212</v>
      </c>
      <c r="H30" s="489">
        <f>E30*G30</f>
        <v>607.06155120000005</v>
      </c>
      <c r="I30" s="1070" t="s">
        <v>461</v>
      </c>
      <c r="J30" s="1071"/>
      <c r="K30" s="1071"/>
      <c r="L30" s="1071"/>
      <c r="M30" s="219"/>
    </row>
    <row r="31" spans="1:13">
      <c r="A31" s="1142"/>
      <c r="B31" s="1143"/>
      <c r="C31" s="1143"/>
      <c r="D31" s="1143"/>
      <c r="E31" s="1143"/>
      <c r="F31" s="1143"/>
      <c r="G31" s="1143"/>
      <c r="H31" s="1144"/>
      <c r="I31" s="218"/>
      <c r="J31" s="218"/>
      <c r="K31" s="218"/>
      <c r="L31" s="219"/>
      <c r="M31" s="219"/>
    </row>
    <row r="32" spans="1:13">
      <c r="A32" s="682"/>
      <c r="B32" s="682" t="s">
        <v>199</v>
      </c>
      <c r="C32" s="606" t="s">
        <v>1139</v>
      </c>
      <c r="D32" s="682"/>
      <c r="E32" s="607"/>
      <c r="F32" s="608"/>
      <c r="G32" s="608"/>
      <c r="H32" s="608">
        <f>SUM(H33:H33)</f>
        <v>5491.6848842400004</v>
      </c>
      <c r="I32" s="218"/>
      <c r="J32" s="218"/>
      <c r="K32" s="218"/>
      <c r="L32" s="219"/>
      <c r="M32" s="219"/>
    </row>
    <row r="33" spans="1:13" s="11" customFormat="1" ht="33" customHeight="1">
      <c r="A33" s="483" t="s">
        <v>520</v>
      </c>
      <c r="B33" s="483" t="s">
        <v>54</v>
      </c>
      <c r="C33" s="487" t="s">
        <v>521</v>
      </c>
      <c r="D33" s="490" t="s">
        <v>7</v>
      </c>
      <c r="E33" s="488">
        <f>'MEMORIA JULIO MARIA'!L764</f>
        <v>124.84</v>
      </c>
      <c r="F33" s="489">
        <v>35.130000000000003</v>
      </c>
      <c r="G33" s="684">
        <f>F33+F33*$H$11</f>
        <v>43.989786000000002</v>
      </c>
      <c r="H33" s="489">
        <f t="shared" ref="H33:H49" si="2">E33*G33</f>
        <v>5491.6848842400004</v>
      </c>
      <c r="I33" s="1070" t="s">
        <v>466</v>
      </c>
      <c r="J33" s="1071"/>
      <c r="K33" s="1071"/>
      <c r="L33" s="1071"/>
      <c r="M33" s="1071"/>
    </row>
    <row r="34" spans="1:13">
      <c r="A34" s="685"/>
      <c r="B34" s="685"/>
      <c r="C34" s="581"/>
      <c r="D34" s="490"/>
      <c r="E34" s="488"/>
      <c r="F34" s="486"/>
      <c r="G34" s="486"/>
      <c r="H34" s="486"/>
      <c r="I34" s="218"/>
      <c r="J34" s="218"/>
      <c r="K34" s="218"/>
      <c r="L34" s="219"/>
      <c r="M34" s="219"/>
    </row>
    <row r="35" spans="1:13" s="11" customFormat="1" ht="21" customHeight="1">
      <c r="A35" s="701"/>
      <c r="B35" s="701" t="s">
        <v>56</v>
      </c>
      <c r="C35" s="702" t="s">
        <v>1140</v>
      </c>
      <c r="D35" s="701"/>
      <c r="E35" s="703"/>
      <c r="F35" s="704"/>
      <c r="G35" s="705"/>
      <c r="H35" s="704">
        <f>SUM(H36,H39,H43,H47,H50,H53,H56,H60,H65,H74,H77)</f>
        <v>188089.11821592558</v>
      </c>
      <c r="I35" s="218"/>
      <c r="J35" s="218"/>
      <c r="K35" s="218"/>
      <c r="L35" s="218"/>
      <c r="M35" s="218"/>
    </row>
    <row r="36" spans="1:13" ht="36.75" customHeight="1">
      <c r="A36" s="683"/>
      <c r="B36" s="602" t="s">
        <v>59</v>
      </c>
      <c r="C36" s="770" t="s">
        <v>725</v>
      </c>
      <c r="D36" s="611"/>
      <c r="E36" s="612"/>
      <c r="F36" s="613"/>
      <c r="G36" s="609"/>
      <c r="H36" s="608">
        <f>H37+H38</f>
        <v>7327.6414908000006</v>
      </c>
      <c r="I36" s="1228" t="s">
        <v>465</v>
      </c>
      <c r="J36" s="1070"/>
      <c r="K36" s="1070"/>
      <c r="L36" s="1070"/>
      <c r="M36" s="219"/>
    </row>
    <row r="37" spans="1:13" ht="83.25" customHeight="1">
      <c r="A37" s="568" t="s">
        <v>1141</v>
      </c>
      <c r="B37" s="483" t="s">
        <v>902</v>
      </c>
      <c r="C37" s="491" t="s">
        <v>1142</v>
      </c>
      <c r="D37" s="490" t="s">
        <v>15</v>
      </c>
      <c r="E37" s="492">
        <f>'MEMORIA JULIO MARIA'!L772</f>
        <v>164</v>
      </c>
      <c r="F37" s="489">
        <v>22.22</v>
      </c>
      <c r="G37" s="684">
        <f>F37+F37*$H$11</f>
        <v>27.823884</v>
      </c>
      <c r="H37" s="489">
        <f t="shared" si="2"/>
        <v>4563.1169760000002</v>
      </c>
      <c r="I37" s="673"/>
      <c r="J37" s="673"/>
      <c r="K37" s="673"/>
      <c r="L37" s="673"/>
      <c r="M37" s="219"/>
    </row>
    <row r="38" spans="1:13" ht="36.75" customHeight="1">
      <c r="A38" s="568" t="s">
        <v>1281</v>
      </c>
      <c r="B38" s="483" t="s">
        <v>1143</v>
      </c>
      <c r="C38" s="491" t="s">
        <v>1144</v>
      </c>
      <c r="D38" s="490" t="s">
        <v>15</v>
      </c>
      <c r="E38" s="492">
        <f>'MEMORIA JULIO MARIA'!L777</f>
        <v>8.9</v>
      </c>
      <c r="F38" s="489">
        <v>248.06</v>
      </c>
      <c r="G38" s="684">
        <f>F38+F38*$H$11</f>
        <v>310.62073199999998</v>
      </c>
      <c r="H38" s="489">
        <f t="shared" si="2"/>
        <v>2764.5245147999999</v>
      </c>
      <c r="I38" s="673"/>
      <c r="J38" s="673"/>
      <c r="K38" s="673"/>
      <c r="L38" s="673"/>
      <c r="M38" s="219"/>
    </row>
    <row r="39" spans="1:13" ht="36.75" customHeight="1">
      <c r="A39" s="683"/>
      <c r="B39" s="682" t="s">
        <v>61</v>
      </c>
      <c r="C39" s="770" t="s">
        <v>760</v>
      </c>
      <c r="D39" s="611"/>
      <c r="E39" s="612"/>
      <c r="F39" s="613"/>
      <c r="G39" s="609"/>
      <c r="H39" s="608">
        <f>SUM(H40:H42)</f>
        <v>9277.5135303776151</v>
      </c>
      <c r="I39" s="673"/>
      <c r="J39" s="673"/>
      <c r="K39" s="673"/>
      <c r="L39" s="673"/>
      <c r="M39" s="219"/>
    </row>
    <row r="40" spans="1:13" ht="36">
      <c r="A40" s="568" t="s">
        <v>1145</v>
      </c>
      <c r="B40" s="483" t="s">
        <v>898</v>
      </c>
      <c r="C40" s="491" t="s">
        <v>1282</v>
      </c>
      <c r="D40" s="490" t="s">
        <v>7</v>
      </c>
      <c r="E40" s="492">
        <v>22.3</v>
      </c>
      <c r="F40" s="489">
        <v>24.96</v>
      </c>
      <c r="G40" s="684">
        <f>F40+F40*$H$11</f>
        <v>31.254912000000001</v>
      </c>
      <c r="H40" s="489">
        <f t="shared" si="2"/>
        <v>696.98453760000007</v>
      </c>
      <c r="I40" s="673"/>
      <c r="J40" s="673"/>
      <c r="K40" s="673"/>
      <c r="L40" s="673"/>
      <c r="M40" s="219"/>
    </row>
    <row r="41" spans="1:13" ht="36">
      <c r="A41" s="568" t="str">
        <f>COMPOSIÇÕES!B774</f>
        <v>COMPOSIÇÃO 41</v>
      </c>
      <c r="B41" s="483" t="s">
        <v>899</v>
      </c>
      <c r="C41" s="491" t="s">
        <v>1640</v>
      </c>
      <c r="D41" s="490" t="s">
        <v>15</v>
      </c>
      <c r="E41" s="492">
        <v>8.92</v>
      </c>
      <c r="F41" s="489">
        <f>COMPOSIÇÕES!G804</f>
        <v>460.44213400000001</v>
      </c>
      <c r="G41" s="684">
        <f>F41+F41*$H$11</f>
        <v>576.56564019480004</v>
      </c>
      <c r="H41" s="489">
        <f t="shared" si="2"/>
        <v>5142.965510537616</v>
      </c>
      <c r="I41" s="673"/>
      <c r="J41" s="673"/>
      <c r="K41" s="673"/>
      <c r="L41" s="673"/>
      <c r="M41" s="219"/>
    </row>
    <row r="42" spans="1:13" ht="84">
      <c r="A42" s="568" t="s">
        <v>1146</v>
      </c>
      <c r="B42" s="483" t="s">
        <v>900</v>
      </c>
      <c r="C42" s="491" t="s">
        <v>1147</v>
      </c>
      <c r="D42" s="490" t="s">
        <v>7</v>
      </c>
      <c r="E42" s="492">
        <v>35.68</v>
      </c>
      <c r="F42" s="489">
        <v>76.94</v>
      </c>
      <c r="G42" s="684">
        <f>F42+F42*$H$11</f>
        <v>96.344268</v>
      </c>
      <c r="H42" s="489">
        <f t="shared" si="2"/>
        <v>3437.5634822399998</v>
      </c>
      <c r="I42" s="673"/>
      <c r="J42" s="673"/>
      <c r="K42" s="673"/>
      <c r="L42" s="673"/>
      <c r="M42" s="219"/>
    </row>
    <row r="43" spans="1:13" ht="22.5" customHeight="1">
      <c r="A43" s="774"/>
      <c r="B43" s="682" t="s">
        <v>469</v>
      </c>
      <c r="C43" s="770" t="s">
        <v>1067</v>
      </c>
      <c r="D43" s="771"/>
      <c r="E43" s="772"/>
      <c r="F43" s="608"/>
      <c r="G43" s="773"/>
      <c r="H43" s="608">
        <f>SUM(H44:H46)</f>
        <v>3309.7787261999997</v>
      </c>
      <c r="I43" s="673"/>
      <c r="J43" s="673"/>
      <c r="K43" s="673"/>
      <c r="L43" s="673"/>
      <c r="M43" s="219"/>
    </row>
    <row r="44" spans="1:13" ht="75" customHeight="1">
      <c r="A44" s="568" t="s">
        <v>1148</v>
      </c>
      <c r="B44" s="483" t="s">
        <v>903</v>
      </c>
      <c r="C44" s="491" t="s">
        <v>726</v>
      </c>
      <c r="D44" s="490" t="s">
        <v>15</v>
      </c>
      <c r="E44" s="492">
        <v>1.89</v>
      </c>
      <c r="F44" s="489">
        <v>393.69</v>
      </c>
      <c r="G44" s="684">
        <f>F44+F44*$H$11</f>
        <v>492.97861799999998</v>
      </c>
      <c r="H44" s="489">
        <f t="shared" si="2"/>
        <v>931.72958801999994</v>
      </c>
      <c r="I44" s="673"/>
      <c r="J44" s="673"/>
      <c r="K44" s="673"/>
      <c r="L44" s="673"/>
      <c r="M44" s="219"/>
    </row>
    <row r="45" spans="1:13" ht="100.5" customHeight="1">
      <c r="A45" s="568" t="s">
        <v>1149</v>
      </c>
      <c r="B45" s="483" t="s">
        <v>1150</v>
      </c>
      <c r="C45" s="491" t="s">
        <v>1151</v>
      </c>
      <c r="D45" s="490" t="s">
        <v>15</v>
      </c>
      <c r="E45" s="492">
        <v>0.69</v>
      </c>
      <c r="F45" s="489">
        <v>390.69</v>
      </c>
      <c r="G45" s="684">
        <f>F45+F45*$H$11</f>
        <v>489.22201799999999</v>
      </c>
      <c r="H45" s="489">
        <f t="shared" si="2"/>
        <v>337.56319241999995</v>
      </c>
      <c r="I45" s="673"/>
      <c r="J45" s="673"/>
      <c r="K45" s="673"/>
      <c r="L45" s="673"/>
      <c r="M45" s="219"/>
    </row>
    <row r="46" spans="1:13" ht="84" customHeight="1">
      <c r="A46" s="568" t="s">
        <v>1152</v>
      </c>
      <c r="B46" s="483" t="s">
        <v>1153</v>
      </c>
      <c r="C46" s="491" t="s">
        <v>1154</v>
      </c>
      <c r="D46" s="490" t="s">
        <v>317</v>
      </c>
      <c r="E46" s="492">
        <v>98.52</v>
      </c>
      <c r="F46" s="492">
        <v>16.54</v>
      </c>
      <c r="G46" s="684">
        <f>F46+F46*$H$11</f>
        <v>20.711387999999999</v>
      </c>
      <c r="H46" s="489">
        <f t="shared" si="2"/>
        <v>2040.4859457599998</v>
      </c>
      <c r="I46" s="673"/>
      <c r="J46" s="673"/>
      <c r="K46" s="673"/>
      <c r="L46" s="673"/>
      <c r="M46" s="219"/>
    </row>
    <row r="47" spans="1:13" ht="30" customHeight="1">
      <c r="A47" s="774"/>
      <c r="B47" s="682" t="s">
        <v>485</v>
      </c>
      <c r="C47" s="770" t="s">
        <v>624</v>
      </c>
      <c r="D47" s="771"/>
      <c r="E47" s="772"/>
      <c r="F47" s="608"/>
      <c r="G47" s="773"/>
      <c r="H47" s="608">
        <f>SUM(H48:H49)</f>
        <v>22551.884082000004</v>
      </c>
      <c r="I47" s="673"/>
      <c r="J47" s="673"/>
      <c r="K47" s="673"/>
      <c r="L47" s="673"/>
      <c r="M47" s="219"/>
    </row>
    <row r="48" spans="1:13" ht="87" customHeight="1">
      <c r="A48" s="568" t="s">
        <v>1155</v>
      </c>
      <c r="B48" s="483" t="s">
        <v>1156</v>
      </c>
      <c r="C48" s="491" t="s">
        <v>1157</v>
      </c>
      <c r="D48" s="490" t="s">
        <v>7</v>
      </c>
      <c r="E48" s="492">
        <v>267.60000000000002</v>
      </c>
      <c r="F48" s="489">
        <v>66.150000000000006</v>
      </c>
      <c r="G48" s="684">
        <f>F48+F48*$H$11</f>
        <v>82.833030000000008</v>
      </c>
      <c r="H48" s="489">
        <f t="shared" si="2"/>
        <v>22166.118828000002</v>
      </c>
      <c r="I48" s="673"/>
      <c r="J48" s="673"/>
      <c r="K48" s="673"/>
      <c r="L48" s="673"/>
      <c r="M48" s="219"/>
    </row>
    <row r="49" spans="1:13" ht="36.75" customHeight="1">
      <c r="A49" s="568" t="s">
        <v>1158</v>
      </c>
      <c r="B49" s="483" t="s">
        <v>1159</v>
      </c>
      <c r="C49" s="491" t="s">
        <v>1160</v>
      </c>
      <c r="D49" s="490" t="s">
        <v>77</v>
      </c>
      <c r="E49" s="492">
        <v>10.5</v>
      </c>
      <c r="F49" s="489">
        <v>29.34</v>
      </c>
      <c r="G49" s="684">
        <f>F49+F49*$H$11</f>
        <v>36.739547999999999</v>
      </c>
      <c r="H49" s="489">
        <f t="shared" si="2"/>
        <v>385.76525399999997</v>
      </c>
      <c r="I49" s="673"/>
      <c r="J49" s="673"/>
      <c r="K49" s="673"/>
      <c r="L49" s="673"/>
      <c r="M49" s="219"/>
    </row>
    <row r="50" spans="1:13" ht="36.75" customHeight="1">
      <c r="A50" s="774"/>
      <c r="B50" s="682" t="s">
        <v>584</v>
      </c>
      <c r="C50" s="770" t="s">
        <v>43</v>
      </c>
      <c r="D50" s="771"/>
      <c r="E50" s="772"/>
      <c r="F50" s="608"/>
      <c r="G50" s="773"/>
      <c r="H50" s="608">
        <f>SUM(H51:H52)</f>
        <v>24454.774785600002</v>
      </c>
      <c r="I50" s="673"/>
      <c r="J50" s="673"/>
      <c r="K50" s="673"/>
      <c r="L50" s="673"/>
      <c r="M50" s="219"/>
    </row>
    <row r="51" spans="1:13" ht="66.75" customHeight="1">
      <c r="A51" s="568" t="s">
        <v>1161</v>
      </c>
      <c r="B51" s="483" t="s">
        <v>1162</v>
      </c>
      <c r="C51" s="491" t="s">
        <v>1163</v>
      </c>
      <c r="D51" s="490" t="s">
        <v>7</v>
      </c>
      <c r="E51" s="492">
        <f>E48*2</f>
        <v>535.20000000000005</v>
      </c>
      <c r="F51" s="489">
        <v>3.56</v>
      </c>
      <c r="G51" s="684">
        <f>F51+F51*$H$11</f>
        <v>4.4578319999999998</v>
      </c>
      <c r="H51" s="489">
        <f>E51*G51</f>
        <v>2385.8316864000003</v>
      </c>
      <c r="I51" s="673"/>
      <c r="J51" s="673"/>
      <c r="K51" s="673"/>
      <c r="L51" s="673"/>
      <c r="M51" s="219"/>
    </row>
    <row r="52" spans="1:13" ht="96" customHeight="1">
      <c r="A52" s="568" t="s">
        <v>1164</v>
      </c>
      <c r="B52" s="483" t="s">
        <v>1165</v>
      </c>
      <c r="C52" s="491" t="s">
        <v>48</v>
      </c>
      <c r="D52" s="490" t="s">
        <v>7</v>
      </c>
      <c r="E52" s="492">
        <v>535.20000000000005</v>
      </c>
      <c r="F52" s="489">
        <v>32.93</v>
      </c>
      <c r="G52" s="684">
        <f>F52+F52*$H$11</f>
        <v>41.234946000000001</v>
      </c>
      <c r="H52" s="489">
        <f>E52*G52</f>
        <v>22068.943099200002</v>
      </c>
      <c r="I52" s="673"/>
      <c r="J52" s="673"/>
      <c r="K52" s="673"/>
      <c r="L52" s="673"/>
      <c r="M52" s="219"/>
    </row>
    <row r="53" spans="1:13" ht="36.75" customHeight="1">
      <c r="A53" s="683"/>
      <c r="B53" s="682" t="s">
        <v>585</v>
      </c>
      <c r="C53" s="770" t="s">
        <v>57</v>
      </c>
      <c r="D53" s="771"/>
      <c r="E53" s="772"/>
      <c r="F53" s="608"/>
      <c r="G53" s="773"/>
      <c r="H53" s="608">
        <f>SUM(H54:H55)</f>
        <v>33738.686638139996</v>
      </c>
      <c r="I53" s="673"/>
      <c r="J53" s="673"/>
      <c r="K53" s="673"/>
      <c r="L53" s="673"/>
      <c r="M53" s="219"/>
    </row>
    <row r="54" spans="1:13" ht="67.5" customHeight="1">
      <c r="A54" s="568" t="s">
        <v>1166</v>
      </c>
      <c r="B54" s="483" t="s">
        <v>1167</v>
      </c>
      <c r="C54" s="491" t="s">
        <v>843</v>
      </c>
      <c r="D54" s="490" t="s">
        <v>7</v>
      </c>
      <c r="E54" s="492">
        <f>'[8]MEMORIA JULIO MARIA'!L835</f>
        <v>261.40999999999997</v>
      </c>
      <c r="F54" s="489">
        <v>55.33</v>
      </c>
      <c r="G54" s="684">
        <f>F54+F54*$H$11</f>
        <v>69.28422599999999</v>
      </c>
      <c r="H54" s="489">
        <f>E54*G54</f>
        <v>18111.589518659996</v>
      </c>
      <c r="I54" s="673"/>
      <c r="J54" s="673"/>
      <c r="K54" s="673"/>
      <c r="L54" s="673"/>
      <c r="M54" s="219"/>
    </row>
    <row r="55" spans="1:13" ht="48">
      <c r="A55" s="568" t="s">
        <v>1168</v>
      </c>
      <c r="B55" s="483" t="s">
        <v>1169</v>
      </c>
      <c r="C55" s="491" t="s">
        <v>1170</v>
      </c>
      <c r="D55" s="490" t="s">
        <v>7</v>
      </c>
      <c r="E55" s="492">
        <f>'[8]MEMORIA JULIO MARIA'!L835</f>
        <v>261.40999999999997</v>
      </c>
      <c r="F55" s="489">
        <v>47.74</v>
      </c>
      <c r="G55" s="684">
        <f>F55+F55*$H$11</f>
        <v>59.780028000000001</v>
      </c>
      <c r="H55" s="489">
        <f>E55*G55</f>
        <v>15627.097119479999</v>
      </c>
      <c r="I55" s="673"/>
      <c r="J55" s="673"/>
      <c r="K55" s="673"/>
      <c r="L55" s="673"/>
      <c r="M55" s="219"/>
    </row>
    <row r="56" spans="1:13" ht="36.75" customHeight="1">
      <c r="A56" s="683"/>
      <c r="B56" s="682" t="s">
        <v>717</v>
      </c>
      <c r="C56" s="770" t="s">
        <v>53</v>
      </c>
      <c r="D56" s="771"/>
      <c r="E56" s="772"/>
      <c r="F56" s="608"/>
      <c r="G56" s="773"/>
      <c r="H56" s="608">
        <f>SUM(H57:H59)</f>
        <v>8832.4189962</v>
      </c>
      <c r="I56" s="673"/>
      <c r="J56" s="673"/>
      <c r="K56" s="673"/>
      <c r="L56" s="673"/>
      <c r="M56" s="219"/>
    </row>
    <row r="57" spans="1:13" ht="74.25" customHeight="1">
      <c r="A57" s="483" t="s">
        <v>1172</v>
      </c>
      <c r="B57" s="483" t="s">
        <v>1171</v>
      </c>
      <c r="C57" s="487" t="s">
        <v>1174</v>
      </c>
      <c r="D57" s="490" t="s">
        <v>21</v>
      </c>
      <c r="E57" s="488">
        <v>5</v>
      </c>
      <c r="F57" s="489">
        <v>471.1</v>
      </c>
      <c r="G57" s="684">
        <f t="shared" ref="G57:G73" si="3">F57+F57*$H$11</f>
        <v>589.91142000000002</v>
      </c>
      <c r="H57" s="489">
        <f t="shared" ref="H57:H73" si="4">E57*G57</f>
        <v>2949.5571</v>
      </c>
      <c r="I57" s="673"/>
      <c r="J57" s="673"/>
      <c r="K57" s="673"/>
      <c r="L57" s="673"/>
      <c r="M57" s="219"/>
    </row>
    <row r="58" spans="1:13" ht="72.75" customHeight="1">
      <c r="A58" s="483" t="s">
        <v>1175</v>
      </c>
      <c r="B58" s="483" t="s">
        <v>1287</v>
      </c>
      <c r="C58" s="487" t="s">
        <v>1177</v>
      </c>
      <c r="D58" s="490" t="s">
        <v>21</v>
      </c>
      <c r="E58" s="488">
        <v>6</v>
      </c>
      <c r="F58" s="489">
        <v>453.24</v>
      </c>
      <c r="G58" s="684">
        <f t="shared" si="3"/>
        <v>567.54712800000004</v>
      </c>
      <c r="H58" s="489">
        <f t="shared" si="4"/>
        <v>3405.282768</v>
      </c>
      <c r="I58" s="673"/>
      <c r="J58" s="673"/>
      <c r="K58" s="673"/>
      <c r="L58" s="673"/>
      <c r="M58" s="219"/>
    </row>
    <row r="59" spans="1:13" ht="96.75" customHeight="1">
      <c r="A59" s="568" t="s">
        <v>1283</v>
      </c>
      <c r="B59" s="483" t="s">
        <v>1288</v>
      </c>
      <c r="C59" s="491" t="s">
        <v>1179</v>
      </c>
      <c r="D59" s="490" t="s">
        <v>7</v>
      </c>
      <c r="E59" s="492">
        <v>3.3</v>
      </c>
      <c r="F59" s="489">
        <v>599.57000000000005</v>
      </c>
      <c r="G59" s="684">
        <f t="shared" si="3"/>
        <v>750.78155400000003</v>
      </c>
      <c r="H59" s="489">
        <f t="shared" si="4"/>
        <v>2477.5791282</v>
      </c>
      <c r="I59" s="673"/>
      <c r="J59" s="673"/>
      <c r="K59" s="673"/>
      <c r="L59" s="673"/>
      <c r="M59" s="219"/>
    </row>
    <row r="60" spans="1:13" ht="36.75" customHeight="1">
      <c r="A60" s="683"/>
      <c r="B60" s="682" t="s">
        <v>718</v>
      </c>
      <c r="C60" s="770" t="s">
        <v>66</v>
      </c>
      <c r="D60" s="771"/>
      <c r="E60" s="772"/>
      <c r="F60" s="608"/>
      <c r="G60" s="773"/>
      <c r="H60" s="608">
        <f>SUM(H61:H64)</f>
        <v>11864.094120000002</v>
      </c>
      <c r="I60" s="673"/>
      <c r="J60" s="673"/>
      <c r="K60" s="673"/>
      <c r="L60" s="673"/>
      <c r="M60" s="219"/>
    </row>
    <row r="61" spans="1:13" ht="67.5" customHeight="1">
      <c r="A61" s="568" t="s">
        <v>1188</v>
      </c>
      <c r="B61" s="483" t="s">
        <v>1173</v>
      </c>
      <c r="C61" s="491" t="s">
        <v>806</v>
      </c>
      <c r="D61" s="490" t="s">
        <v>77</v>
      </c>
      <c r="E61" s="492">
        <v>400</v>
      </c>
      <c r="F61" s="489">
        <v>4.0999999999999996</v>
      </c>
      <c r="G61" s="684">
        <f t="shared" si="3"/>
        <v>5.1340199999999996</v>
      </c>
      <c r="H61" s="489">
        <f t="shared" si="4"/>
        <v>2053.6079999999997</v>
      </c>
      <c r="I61" s="673"/>
      <c r="J61" s="673"/>
      <c r="K61" s="673"/>
      <c r="L61" s="673"/>
      <c r="M61" s="219"/>
    </row>
    <row r="62" spans="1:13" ht="61.5" customHeight="1">
      <c r="A62" s="568" t="s">
        <v>1190</v>
      </c>
      <c r="B62" s="483" t="s">
        <v>1176</v>
      </c>
      <c r="C62" s="491" t="s">
        <v>1192</v>
      </c>
      <c r="D62" s="490" t="s">
        <v>21</v>
      </c>
      <c r="E62" s="492">
        <v>20</v>
      </c>
      <c r="F62" s="489">
        <v>80.400000000000006</v>
      </c>
      <c r="G62" s="684">
        <f t="shared" si="3"/>
        <v>100.67688000000001</v>
      </c>
      <c r="H62" s="489">
        <f t="shared" si="4"/>
        <v>2013.5376000000001</v>
      </c>
      <c r="I62" s="673" t="s">
        <v>1184</v>
      </c>
      <c r="J62" s="673"/>
      <c r="K62" s="673"/>
      <c r="L62" s="673"/>
      <c r="M62" s="219"/>
    </row>
    <row r="63" spans="1:13" ht="60" customHeight="1">
      <c r="A63" s="568" t="s">
        <v>1193</v>
      </c>
      <c r="B63" s="483" t="s">
        <v>1178</v>
      </c>
      <c r="C63" s="491" t="s">
        <v>1194</v>
      </c>
      <c r="D63" s="490" t="s">
        <v>21</v>
      </c>
      <c r="E63" s="492">
        <v>20</v>
      </c>
      <c r="F63" s="489">
        <v>129.99</v>
      </c>
      <c r="G63" s="684">
        <f t="shared" si="3"/>
        <v>162.77347800000001</v>
      </c>
      <c r="H63" s="489">
        <f t="shared" si="4"/>
        <v>3255.4695600000005</v>
      </c>
      <c r="I63" s="673"/>
      <c r="J63" s="673"/>
      <c r="K63" s="673"/>
      <c r="L63" s="673"/>
      <c r="M63" s="219"/>
    </row>
    <row r="64" spans="1:13" ht="84.75" customHeight="1">
      <c r="A64" s="568" t="s">
        <v>1195</v>
      </c>
      <c r="B64" s="483" t="s">
        <v>1289</v>
      </c>
      <c r="C64" s="491" t="s">
        <v>1196</v>
      </c>
      <c r="D64" s="490" t="s">
        <v>21</v>
      </c>
      <c r="E64" s="492">
        <v>20</v>
      </c>
      <c r="F64" s="489">
        <v>181.34</v>
      </c>
      <c r="G64" s="684">
        <f t="shared" si="3"/>
        <v>227.073948</v>
      </c>
      <c r="H64" s="489">
        <f t="shared" si="4"/>
        <v>4541.4789600000004</v>
      </c>
      <c r="I64" s="673"/>
      <c r="J64" s="673"/>
      <c r="K64" s="673"/>
      <c r="L64" s="673"/>
      <c r="M64" s="219"/>
    </row>
    <row r="65" spans="1:13" ht="36.75" customHeight="1">
      <c r="A65" s="683"/>
      <c r="B65" s="781" t="s">
        <v>1181</v>
      </c>
      <c r="C65" s="770" t="s">
        <v>1198</v>
      </c>
      <c r="D65" s="771"/>
      <c r="E65" s="772"/>
      <c r="F65" s="608"/>
      <c r="G65" s="773"/>
      <c r="H65" s="608">
        <f>SUM(H66:H73)</f>
        <v>10207.821702000001</v>
      </c>
      <c r="I65" s="673"/>
      <c r="J65" s="673"/>
      <c r="K65" s="673"/>
      <c r="L65" s="673"/>
      <c r="M65" s="219"/>
    </row>
    <row r="66" spans="1:13" ht="72">
      <c r="A66" s="568" t="s">
        <v>1199</v>
      </c>
      <c r="B66" s="483" t="s">
        <v>1182</v>
      </c>
      <c r="C66" s="491" t="s">
        <v>1201</v>
      </c>
      <c r="D66" s="490" t="s">
        <v>21</v>
      </c>
      <c r="E66" s="492">
        <v>10</v>
      </c>
      <c r="F66" s="489">
        <v>119.5</v>
      </c>
      <c r="G66" s="684">
        <f t="shared" si="3"/>
        <v>149.6379</v>
      </c>
      <c r="H66" s="489">
        <f t="shared" si="4"/>
        <v>1496.3789999999999</v>
      </c>
      <c r="I66" s="673"/>
      <c r="J66" s="673"/>
      <c r="K66" s="673"/>
      <c r="L66" s="673"/>
      <c r="M66" s="219"/>
    </row>
    <row r="67" spans="1:13" ht="96">
      <c r="A67" s="568" t="s">
        <v>1202</v>
      </c>
      <c r="B67" s="483" t="s">
        <v>1183</v>
      </c>
      <c r="C67" s="491" t="s">
        <v>1284</v>
      </c>
      <c r="D67" s="490" t="s">
        <v>21</v>
      </c>
      <c r="E67" s="492">
        <v>6</v>
      </c>
      <c r="F67" s="489">
        <v>417.44</v>
      </c>
      <c r="G67" s="684">
        <f t="shared" si="3"/>
        <v>522.71836799999994</v>
      </c>
      <c r="H67" s="489">
        <f t="shared" si="4"/>
        <v>3136.3102079999999</v>
      </c>
      <c r="I67" s="673"/>
      <c r="J67" s="673"/>
      <c r="K67" s="673"/>
      <c r="L67" s="673"/>
      <c r="M67" s="219"/>
    </row>
    <row r="68" spans="1:13" ht="71.25" customHeight="1">
      <c r="A68" s="568" t="s">
        <v>1525</v>
      </c>
      <c r="B68" s="483" t="s">
        <v>1185</v>
      </c>
      <c r="C68" s="491" t="s">
        <v>1524</v>
      </c>
      <c r="D68" s="490" t="s">
        <v>21</v>
      </c>
      <c r="E68" s="492">
        <v>6</v>
      </c>
      <c r="F68" s="489">
        <v>338.8</v>
      </c>
      <c r="G68" s="684">
        <f t="shared" si="3"/>
        <v>424.24536000000001</v>
      </c>
      <c r="H68" s="489">
        <f t="shared" si="4"/>
        <v>2545.4721600000003</v>
      </c>
      <c r="I68" s="673"/>
      <c r="J68" s="673"/>
      <c r="K68" s="673"/>
      <c r="L68" s="673"/>
      <c r="M68" s="219"/>
    </row>
    <row r="69" spans="1:13" ht="36.75" customHeight="1">
      <c r="A69" s="568" t="s">
        <v>1203</v>
      </c>
      <c r="B69" s="483" t="s">
        <v>1186</v>
      </c>
      <c r="C69" s="491" t="s">
        <v>1204</v>
      </c>
      <c r="D69" s="490" t="s">
        <v>21</v>
      </c>
      <c r="E69" s="492">
        <v>12</v>
      </c>
      <c r="F69" s="489">
        <v>11.93</v>
      </c>
      <c r="G69" s="684">
        <f t="shared" si="3"/>
        <v>14.938745999999998</v>
      </c>
      <c r="H69" s="489">
        <f t="shared" si="4"/>
        <v>179.26495199999999</v>
      </c>
      <c r="I69" s="673"/>
      <c r="J69" s="673"/>
      <c r="K69" s="673"/>
      <c r="L69" s="673"/>
      <c r="M69" s="219"/>
    </row>
    <row r="70" spans="1:13" ht="36.75" customHeight="1">
      <c r="A70" s="568" t="s">
        <v>1205</v>
      </c>
      <c r="B70" s="483" t="s">
        <v>1290</v>
      </c>
      <c r="C70" s="491" t="s">
        <v>1206</v>
      </c>
      <c r="D70" s="490" t="s">
        <v>21</v>
      </c>
      <c r="E70" s="492">
        <v>6</v>
      </c>
      <c r="F70" s="489">
        <v>12.25</v>
      </c>
      <c r="G70" s="684">
        <f t="shared" si="3"/>
        <v>15.339449999999999</v>
      </c>
      <c r="H70" s="489">
        <f t="shared" si="4"/>
        <v>92.036699999999996</v>
      </c>
      <c r="I70" s="673"/>
      <c r="J70" s="673"/>
      <c r="K70" s="673"/>
      <c r="L70" s="673"/>
      <c r="M70" s="219"/>
    </row>
    <row r="71" spans="1:13" ht="48">
      <c r="A71" s="568" t="s">
        <v>1207</v>
      </c>
      <c r="B71" s="483" t="s">
        <v>1291</v>
      </c>
      <c r="C71" s="491" t="s">
        <v>1208</v>
      </c>
      <c r="D71" s="490" t="s">
        <v>21</v>
      </c>
      <c r="E71" s="492">
        <v>6</v>
      </c>
      <c r="F71" s="489">
        <v>262.83999999999997</v>
      </c>
      <c r="G71" s="684">
        <f t="shared" si="3"/>
        <v>329.12824799999999</v>
      </c>
      <c r="H71" s="489">
        <f t="shared" si="4"/>
        <v>1974.7694879999999</v>
      </c>
      <c r="I71" s="673"/>
      <c r="J71" s="673"/>
      <c r="K71" s="673"/>
      <c r="L71" s="673"/>
      <c r="M71" s="219"/>
    </row>
    <row r="72" spans="1:13" ht="48">
      <c r="A72" s="568" t="s">
        <v>1209</v>
      </c>
      <c r="B72" s="483" t="s">
        <v>1292</v>
      </c>
      <c r="C72" s="491" t="s">
        <v>431</v>
      </c>
      <c r="D72" s="490" t="s">
        <v>21</v>
      </c>
      <c r="E72" s="492">
        <v>6</v>
      </c>
      <c r="F72" s="489">
        <v>62.52</v>
      </c>
      <c r="G72" s="684">
        <f t="shared" si="3"/>
        <v>78.287543999999997</v>
      </c>
      <c r="H72" s="489">
        <f t="shared" si="4"/>
        <v>469.72526399999998</v>
      </c>
      <c r="I72" s="673"/>
      <c r="J72" s="673"/>
      <c r="K72" s="673"/>
      <c r="L72" s="673"/>
      <c r="M72" s="219"/>
    </row>
    <row r="73" spans="1:13" ht="72.75" customHeight="1">
      <c r="A73" s="568" t="s">
        <v>1210</v>
      </c>
      <c r="B73" s="483" t="s">
        <v>1293</v>
      </c>
      <c r="C73" s="491" t="s">
        <v>1211</v>
      </c>
      <c r="D73" s="490" t="s">
        <v>21</v>
      </c>
      <c r="E73" s="492">
        <v>1</v>
      </c>
      <c r="F73" s="489">
        <v>250.65</v>
      </c>
      <c r="G73" s="684">
        <f t="shared" si="3"/>
        <v>313.86392999999998</v>
      </c>
      <c r="H73" s="489">
        <f t="shared" si="4"/>
        <v>313.86392999999998</v>
      </c>
      <c r="I73" s="673"/>
      <c r="J73" s="673"/>
      <c r="K73" s="673"/>
      <c r="L73" s="673"/>
      <c r="M73" s="219"/>
    </row>
    <row r="74" spans="1:13" ht="36.75" customHeight="1">
      <c r="A74" s="683"/>
      <c r="B74" s="682" t="s">
        <v>1187</v>
      </c>
      <c r="C74" s="606" t="s">
        <v>73</v>
      </c>
      <c r="D74" s="611"/>
      <c r="E74" s="612"/>
      <c r="F74" s="613"/>
      <c r="G74" s="609"/>
      <c r="H74" s="608">
        <f>H75+H76</f>
        <v>55991.442604607997</v>
      </c>
      <c r="I74" s="673"/>
      <c r="J74" s="673"/>
      <c r="K74" s="673"/>
      <c r="L74" s="673"/>
      <c r="M74" s="219"/>
    </row>
    <row r="75" spans="1:13" ht="36">
      <c r="A75" s="568" t="s">
        <v>1212</v>
      </c>
      <c r="B75" s="483" t="s">
        <v>1189</v>
      </c>
      <c r="C75" s="491" t="s">
        <v>1180</v>
      </c>
      <c r="D75" s="490" t="s">
        <v>7</v>
      </c>
      <c r="E75" s="492">
        <f>'MEMORIA JULIO MARIA'!K969</f>
        <v>70.95</v>
      </c>
      <c r="F75" s="489">
        <v>564.52</v>
      </c>
      <c r="G75" s="684">
        <f>F75+F75*$H$11</f>
        <v>706.89194399999997</v>
      </c>
      <c r="H75" s="489">
        <f>E75*G75</f>
        <v>50153.983426799998</v>
      </c>
      <c r="I75" s="673"/>
      <c r="J75" s="673"/>
      <c r="K75" s="673"/>
      <c r="L75" s="673"/>
      <c r="M75" s="219"/>
    </row>
    <row r="76" spans="1:13" ht="36">
      <c r="A76" s="568" t="str">
        <f>COMPOSIÇÕES!B602</f>
        <v>COMPOSIÇÃO 27</v>
      </c>
      <c r="B76" s="483" t="s">
        <v>1191</v>
      </c>
      <c r="C76" s="491" t="s">
        <v>1213</v>
      </c>
      <c r="D76" s="490" t="s">
        <v>21</v>
      </c>
      <c r="E76" s="492">
        <v>1</v>
      </c>
      <c r="F76" s="489">
        <f>COMPOSIÇÕES!G612</f>
        <v>4661.7626399999999</v>
      </c>
      <c r="G76" s="684">
        <f>F76+F76*$H$11</f>
        <v>5837.4591778079994</v>
      </c>
      <c r="H76" s="489">
        <f>E76*G76</f>
        <v>5837.4591778079994</v>
      </c>
      <c r="I76" s="673"/>
      <c r="J76" s="673"/>
      <c r="K76" s="673"/>
      <c r="L76" s="673"/>
      <c r="M76" s="219"/>
    </row>
    <row r="77" spans="1:13" ht="36.75" customHeight="1">
      <c r="A77" s="683"/>
      <c r="B77" s="682" t="s">
        <v>1197</v>
      </c>
      <c r="C77" s="606" t="s">
        <v>719</v>
      </c>
      <c r="D77" s="611"/>
      <c r="E77" s="612"/>
      <c r="F77" s="613"/>
      <c r="G77" s="609"/>
      <c r="H77" s="608">
        <f>H78</f>
        <v>533.06154000000004</v>
      </c>
      <c r="I77" s="673"/>
      <c r="J77" s="673"/>
      <c r="K77" s="673"/>
      <c r="L77" s="673"/>
      <c r="M77" s="219"/>
    </row>
    <row r="78" spans="1:13" ht="36.75" customHeight="1">
      <c r="A78" s="568" t="s">
        <v>1214</v>
      </c>
      <c r="B78" s="483" t="s">
        <v>1200</v>
      </c>
      <c r="C78" s="491" t="s">
        <v>1215</v>
      </c>
      <c r="D78" s="490" t="s">
        <v>7</v>
      </c>
      <c r="E78" s="492">
        <v>990</v>
      </c>
      <c r="F78" s="489">
        <v>0.43</v>
      </c>
      <c r="G78" s="684">
        <f>F78+F78*$H$11</f>
        <v>0.53844599999999998</v>
      </c>
      <c r="H78" s="489">
        <f>E78*G78</f>
        <v>533.06154000000004</v>
      </c>
      <c r="I78" s="673"/>
      <c r="J78" s="673"/>
      <c r="K78" s="673"/>
      <c r="L78" s="673"/>
      <c r="M78" s="219"/>
    </row>
    <row r="79" spans="1:13" ht="18" customHeight="1">
      <c r="A79" s="1142"/>
      <c r="B79" s="1143"/>
      <c r="C79" s="1143"/>
      <c r="D79" s="1143"/>
      <c r="E79" s="1143"/>
      <c r="F79" s="1143"/>
      <c r="G79" s="1143"/>
      <c r="H79" s="1144"/>
      <c r="I79" s="673"/>
      <c r="J79" s="673"/>
      <c r="K79" s="673"/>
      <c r="L79" s="673"/>
      <c r="M79" s="219"/>
    </row>
    <row r="80" spans="1:13" ht="21.75" customHeight="1">
      <c r="A80" s="1229" t="s">
        <v>78</v>
      </c>
      <c r="B80" s="1230"/>
      <c r="C80" s="1230"/>
      <c r="D80" s="1230"/>
      <c r="E80" s="1230"/>
      <c r="F80" s="1230"/>
      <c r="G80" s="1231"/>
      <c r="H80" s="486">
        <f>SUM(H77,H74,H65,H60,H56,H53,H50,H47,H43,H39,H36,H32,H29,H20,H18,H15)</f>
        <v>289540.79952041357</v>
      </c>
      <c r="I80" s="673"/>
      <c r="J80" s="673"/>
      <c r="K80" s="673"/>
      <c r="L80" s="673"/>
      <c r="M80" s="219"/>
    </row>
    <row r="81" spans="1:13" ht="36.75" customHeight="1">
      <c r="A81" s="12"/>
      <c r="B81" s="12"/>
      <c r="C81" s="12"/>
      <c r="D81" s="12"/>
      <c r="E81" s="12"/>
      <c r="F81" s="12"/>
      <c r="G81" s="12"/>
      <c r="H81" s="12"/>
      <c r="I81" s="673"/>
      <c r="J81" s="673"/>
      <c r="K81" s="673"/>
      <c r="L81" s="673"/>
      <c r="M81" s="219"/>
    </row>
    <row r="82" spans="1:13" ht="36.75" customHeight="1">
      <c r="A82" s="20"/>
      <c r="B82" s="20"/>
      <c r="C82" s="20"/>
      <c r="D82" s="20"/>
      <c r="E82" s="20"/>
      <c r="F82" s="21"/>
      <c r="G82" s="21"/>
      <c r="H82" s="21"/>
      <c r="I82" s="769"/>
      <c r="J82" s="673"/>
      <c r="K82" s="673"/>
      <c r="L82" s="673"/>
      <c r="M82" s="219"/>
    </row>
    <row r="83" spans="1:13" ht="19.5" customHeight="1">
      <c r="A83" s="22"/>
      <c r="B83" s="23"/>
      <c r="C83" s="23"/>
      <c r="D83" s="23"/>
      <c r="E83" s="24"/>
      <c r="F83" s="25"/>
      <c r="G83" s="25"/>
      <c r="H83" s="25"/>
      <c r="I83" s="673"/>
      <c r="J83" s="674"/>
      <c r="K83" s="674"/>
      <c r="L83" s="674"/>
      <c r="M83" s="219"/>
    </row>
    <row r="84" spans="1:13" ht="39" customHeight="1">
      <c r="I84" s="673"/>
      <c r="J84" s="674"/>
      <c r="K84" s="674"/>
      <c r="L84" s="674"/>
      <c r="M84" s="219"/>
    </row>
    <row r="85" spans="1:13">
      <c r="I85" s="218"/>
      <c r="J85" s="218"/>
      <c r="K85" s="218"/>
      <c r="L85" s="219"/>
      <c r="M85" s="219"/>
    </row>
    <row r="86" spans="1:13">
      <c r="I86" s="218"/>
      <c r="J86" s="218"/>
      <c r="K86" s="219"/>
      <c r="L86" s="219"/>
      <c r="M86" s="219"/>
    </row>
    <row r="87" spans="1:13">
      <c r="I87" s="12"/>
      <c r="J87" s="12"/>
    </row>
  </sheetData>
  <mergeCells count="28">
    <mergeCell ref="A1:B5"/>
    <mergeCell ref="C1:H5"/>
    <mergeCell ref="A6:B7"/>
    <mergeCell ref="C6:H7"/>
    <mergeCell ref="A8:B9"/>
    <mergeCell ref="C8:H9"/>
    <mergeCell ref="I21:M21"/>
    <mergeCell ref="A10:B10"/>
    <mergeCell ref="D10:H10"/>
    <mergeCell ref="A11:F11"/>
    <mergeCell ref="G11:G12"/>
    <mergeCell ref="H11:H12"/>
    <mergeCell ref="A12:F12"/>
    <mergeCell ref="A13:A14"/>
    <mergeCell ref="B13:B14"/>
    <mergeCell ref="C13:C14"/>
    <mergeCell ref="D13:H13"/>
    <mergeCell ref="I16:M16"/>
    <mergeCell ref="I36:L36"/>
    <mergeCell ref="A79:H79"/>
    <mergeCell ref="A80:G80"/>
    <mergeCell ref="I22:M22"/>
    <mergeCell ref="I23:M23"/>
    <mergeCell ref="I24:M24"/>
    <mergeCell ref="A28:H28"/>
    <mergeCell ref="I30:L30"/>
    <mergeCell ref="I33:M33"/>
    <mergeCell ref="A31:H31"/>
  </mergeCells>
  <printOptions horizontalCentered="1"/>
  <pageMargins left="0.78740157480314965" right="0.78740157480314965" top="0.78740157480314965" bottom="0.78740157480314965" header="0.31496062992125984" footer="0.31496062992125984"/>
  <pageSetup paperSize="9" scale="60" orientation="portrait" r:id="rId1"/>
  <headerFooter>
    <oddFooter>Página &amp;P de &amp;N</oddFooter>
  </headerFooter>
  <rowBreaks count="1" manualBreakCount="1">
    <brk id="28" max="7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B1:L1028"/>
  <sheetViews>
    <sheetView showGridLines="0" view="pageBreakPreview" topLeftCell="A984" zoomScale="85" zoomScaleNormal="100" zoomScaleSheetLayoutView="85" workbookViewId="0">
      <selection activeCell="C786" sqref="C786:E786"/>
    </sheetView>
  </sheetViews>
  <sheetFormatPr defaultRowHeight="15"/>
  <cols>
    <col min="2" max="2" width="10.85546875" customWidth="1"/>
    <col min="3" max="8" width="10.7109375" customWidth="1"/>
    <col min="9" max="9" width="12" customWidth="1"/>
    <col min="10" max="10" width="12.85546875" customWidth="1"/>
    <col min="11" max="12" width="10.7109375" customWidth="1"/>
  </cols>
  <sheetData>
    <row r="1" spans="2:12" ht="15.75" thickBot="1">
      <c r="B1" s="493"/>
      <c r="C1" s="493"/>
      <c r="D1" s="493"/>
      <c r="E1" s="493"/>
      <c r="F1" s="493"/>
      <c r="G1" s="493"/>
      <c r="H1" s="493"/>
      <c r="I1" s="493"/>
      <c r="J1" s="493"/>
      <c r="K1" s="493"/>
      <c r="L1" s="493"/>
    </row>
    <row r="2" spans="2:12">
      <c r="B2" s="1194" t="s">
        <v>103</v>
      </c>
      <c r="C2" s="1195"/>
      <c r="D2" s="1200" t="str">
        <f>'[6]PLANILHA ORÇAMENTÁRIA'!E2</f>
        <v>PREFEITURA MUNICIPAL DE ITAMBÉ</v>
      </c>
      <c r="E2" s="1201"/>
      <c r="F2" s="1201"/>
      <c r="G2" s="1201"/>
      <c r="H2" s="1201"/>
      <c r="I2" s="1202"/>
      <c r="J2" s="1203"/>
      <c r="K2" s="1204"/>
      <c r="L2" s="1205"/>
    </row>
    <row r="3" spans="2:12">
      <c r="B3" s="1196"/>
      <c r="C3" s="1197"/>
      <c r="D3" s="1212" t="s">
        <v>1041</v>
      </c>
      <c r="E3" s="1213"/>
      <c r="F3" s="1213"/>
      <c r="G3" s="1213"/>
      <c r="H3" s="1213"/>
      <c r="I3" s="1214"/>
      <c r="J3" s="1206"/>
      <c r="K3" s="1207"/>
      <c r="L3" s="1208"/>
    </row>
    <row r="4" spans="2:12" ht="66.75" customHeight="1">
      <c r="B4" s="1196"/>
      <c r="C4" s="1197"/>
      <c r="D4" s="1215" t="s">
        <v>1279</v>
      </c>
      <c r="E4" s="1216"/>
      <c r="F4" s="1216"/>
      <c r="G4" s="1216"/>
      <c r="H4" s="1216"/>
      <c r="I4" s="1217"/>
      <c r="J4" s="1206"/>
      <c r="K4" s="1207"/>
      <c r="L4" s="1208"/>
    </row>
    <row r="5" spans="2:12" ht="9.75" customHeight="1" thickBot="1">
      <c r="B5" s="1198"/>
      <c r="C5" s="1199"/>
      <c r="D5" s="1218"/>
      <c r="E5" s="1219"/>
      <c r="F5" s="1219"/>
      <c r="G5" s="1219"/>
      <c r="H5" s="1219"/>
      <c r="I5" s="1220"/>
      <c r="J5" s="1209"/>
      <c r="K5" s="1210"/>
      <c r="L5" s="1211"/>
    </row>
    <row r="6" spans="2:12" hidden="1">
      <c r="B6" s="494"/>
      <c r="C6" s="494"/>
      <c r="D6" s="494"/>
      <c r="E6" s="494"/>
      <c r="F6" s="494"/>
      <c r="G6" s="494"/>
      <c r="H6" s="494"/>
      <c r="I6" s="494"/>
      <c r="J6" s="495"/>
      <c r="K6" s="494"/>
      <c r="L6" s="494"/>
    </row>
    <row r="7" spans="2:12" hidden="1">
      <c r="B7" s="1221" t="s">
        <v>104</v>
      </c>
      <c r="C7" s="1221"/>
      <c r="D7" s="496" t="e">
        <f>'[6]PLANILHA ORÇAMENTÁRIA'!J6</f>
        <v>#REF!</v>
      </c>
      <c r="E7" s="497"/>
      <c r="F7" s="696" t="s">
        <v>105</v>
      </c>
      <c r="G7" s="496" t="e">
        <f>'[6]PLANILHA ORÇAMENTÁRIA'!J7</f>
        <v>#REF!</v>
      </c>
      <c r="H7" s="695" t="s">
        <v>1</v>
      </c>
      <c r="I7" s="498"/>
      <c r="J7" s="498" t="str">
        <f>'[6]PLANILHA ORÇAMENTÁRIA'!B8</f>
        <v>SINAPI - FEV/2019 DESONERADO</v>
      </c>
      <c r="K7" s="497"/>
      <c r="L7" s="497"/>
    </row>
    <row r="8" spans="2:12" hidden="1">
      <c r="B8" s="696" t="s">
        <v>106</v>
      </c>
      <c r="C8" s="1222" t="e">
        <f>'[6]PLANILHA ORÇAMENTÁRIA'!J8</f>
        <v>#REF!</v>
      </c>
      <c r="D8" s="1222"/>
      <c r="E8" s="497"/>
      <c r="F8" s="696" t="s">
        <v>0</v>
      </c>
      <c r="G8" s="499">
        <f>'[6]PLANILHA ORÇAMENTÁRIA'!J5</f>
        <v>43641</v>
      </c>
      <c r="H8" s="498"/>
      <c r="I8" s="500"/>
      <c r="J8" s="498"/>
      <c r="K8" s="497"/>
      <c r="L8" s="497"/>
    </row>
    <row r="9" spans="2:12" hidden="1">
      <c r="B9" s="501"/>
      <c r="C9" s="502"/>
      <c r="D9" s="498"/>
      <c r="E9" s="498"/>
      <c r="F9" s="498"/>
      <c r="G9" s="498"/>
      <c r="H9" s="498"/>
      <c r="I9" s="498"/>
      <c r="J9" s="498"/>
      <c r="K9" s="497"/>
      <c r="L9" s="503"/>
    </row>
    <row r="10" spans="2:12" hidden="1">
      <c r="B10" s="504" t="s">
        <v>107</v>
      </c>
      <c r="C10" s="505" t="s">
        <v>108</v>
      </c>
      <c r="D10" s="506"/>
      <c r="E10" s="507"/>
      <c r="F10" s="508"/>
      <c r="G10" s="506"/>
      <c r="H10" s="509" t="s">
        <v>109</v>
      </c>
      <c r="I10" s="505" t="s">
        <v>110</v>
      </c>
      <c r="J10" s="498"/>
      <c r="K10" s="497"/>
      <c r="L10" s="503"/>
    </row>
    <row r="11" spans="2:12" hidden="1">
      <c r="B11" s="501"/>
      <c r="C11" s="502"/>
      <c r="D11" s="498"/>
      <c r="E11" s="498"/>
      <c r="F11" s="498"/>
      <c r="G11" s="498"/>
      <c r="H11" s="498"/>
      <c r="I11" s="498"/>
      <c r="J11" s="498"/>
      <c r="K11" s="497"/>
      <c r="L11" s="503"/>
    </row>
    <row r="12" spans="2:12" hidden="1">
      <c r="B12" s="501" t="str">
        <f>'[6]PLANILHA ORÇAMENTÁRIA'!D11</f>
        <v>1.0</v>
      </c>
      <c r="C12" s="1193" t="str">
        <f>'[6]PLANILHA ORÇAMENTÁRIA'!E11</f>
        <v>SERVIÇOS PRELIMINARES</v>
      </c>
      <c r="D12" s="1193"/>
      <c r="E12" s="1193"/>
      <c r="F12" s="1193"/>
      <c r="G12" s="1193"/>
      <c r="H12" s="1193"/>
      <c r="I12" s="1193"/>
      <c r="J12" s="1193"/>
      <c r="K12" s="497"/>
      <c r="L12" s="497"/>
    </row>
    <row r="13" spans="2:12" hidden="1">
      <c r="B13" s="497" t="str">
        <f>'[6]PLANILHA ORÇAMENTÁRIA'!D12</f>
        <v>1.1</v>
      </c>
      <c r="C13" s="1186" t="str">
        <f>'[6]PLANILHA ORÇAMENTÁRIA'!E12</f>
        <v>PLACA DE OBRA EM CHAPA DE ACO GALVANIZADO</v>
      </c>
      <c r="D13" s="1186"/>
      <c r="E13" s="1186"/>
      <c r="F13" s="1186"/>
      <c r="G13" s="1186"/>
      <c r="H13" s="1186"/>
      <c r="I13" s="1186"/>
      <c r="J13" s="1186"/>
      <c r="K13" s="510" t="str">
        <f>'[6]PLANILHA ORÇAMENTÁRIA'!F12</f>
        <v>M2</v>
      </c>
      <c r="L13" s="511">
        <f>K16</f>
        <v>6</v>
      </c>
    </row>
    <row r="14" spans="2:12" hidden="1">
      <c r="B14" s="501"/>
      <c r="C14" s="1190" t="s">
        <v>20</v>
      </c>
      <c r="D14" s="1190"/>
      <c r="E14" s="1190"/>
      <c r="F14" s="512" t="s">
        <v>3</v>
      </c>
      <c r="G14" s="693" t="s">
        <v>111</v>
      </c>
      <c r="H14" s="512" t="s">
        <v>112</v>
      </c>
      <c r="I14" s="693" t="s">
        <v>113</v>
      </c>
      <c r="J14" s="693" t="s">
        <v>114</v>
      </c>
      <c r="K14" s="513" t="s">
        <v>25</v>
      </c>
      <c r="L14" s="503"/>
    </row>
    <row r="15" spans="2:12" hidden="1">
      <c r="B15" s="501"/>
      <c r="C15" s="1191" t="s">
        <v>115</v>
      </c>
      <c r="D15" s="1191"/>
      <c r="E15" s="1191"/>
      <c r="F15" s="514"/>
      <c r="G15" s="514">
        <v>2</v>
      </c>
      <c r="H15" s="514"/>
      <c r="I15" s="514">
        <v>3</v>
      </c>
      <c r="J15" s="514"/>
      <c r="K15" s="515">
        <f>TRUNC(G15*I15,2)</f>
        <v>6</v>
      </c>
      <c r="L15" s="503"/>
    </row>
    <row r="16" spans="2:12" hidden="1">
      <c r="B16" s="501"/>
      <c r="C16" s="1192" t="s">
        <v>116</v>
      </c>
      <c r="D16" s="1192"/>
      <c r="E16" s="1192"/>
      <c r="F16" s="1192"/>
      <c r="G16" s="1192"/>
      <c r="H16" s="1192"/>
      <c r="I16" s="1192"/>
      <c r="J16" s="1192"/>
      <c r="K16" s="516">
        <f>SUM(K15:K15)</f>
        <v>6</v>
      </c>
      <c r="L16" s="503"/>
    </row>
    <row r="17" spans="2:12" hidden="1">
      <c r="B17" s="493"/>
      <c r="C17" s="493"/>
      <c r="D17" s="493"/>
      <c r="E17" s="493"/>
      <c r="F17" s="493"/>
      <c r="G17" s="493"/>
      <c r="H17" s="493"/>
      <c r="I17" s="493"/>
      <c r="J17" s="493"/>
      <c r="K17" s="493"/>
      <c r="L17" s="493"/>
    </row>
    <row r="18" spans="2:12" ht="25.5" hidden="1" customHeight="1">
      <c r="B18" s="497" t="str">
        <f>'[6]PLANILHA ORÇAMENTÁRIA'!D13</f>
        <v>1.2</v>
      </c>
      <c r="C18" s="1186" t="str">
        <f>'[6]PLANILHA ORÇAMENTÁRIA'!E13</f>
        <v>LIMPEZA MECANIZADA DE TERRENO COM REMOCAO DE CAMADA VEGETAL, UTILIZANDO MOTONIVELADORA</v>
      </c>
      <c r="D18" s="1186"/>
      <c r="E18" s="1186"/>
      <c r="F18" s="1186"/>
      <c r="G18" s="1186"/>
      <c r="H18" s="1186"/>
      <c r="I18" s="1186"/>
      <c r="J18" s="1186"/>
      <c r="K18" s="510" t="str">
        <f>'[6]PLANILHA ORÇAMENTÁRIA'!F13</f>
        <v>M2</v>
      </c>
      <c r="L18" s="511">
        <f>K21</f>
        <v>780.75</v>
      </c>
    </row>
    <row r="19" spans="2:12" hidden="1">
      <c r="B19" s="501"/>
      <c r="C19" s="1190" t="s">
        <v>20</v>
      </c>
      <c r="D19" s="1190"/>
      <c r="E19" s="1190"/>
      <c r="F19" s="512" t="s">
        <v>117</v>
      </c>
      <c r="G19" s="693" t="s">
        <v>111</v>
      </c>
      <c r="H19" s="512" t="s">
        <v>112</v>
      </c>
      <c r="I19" s="693" t="s">
        <v>113</v>
      </c>
      <c r="J19" s="693" t="s">
        <v>114</v>
      </c>
      <c r="K19" s="513" t="s">
        <v>25</v>
      </c>
      <c r="L19" s="503"/>
    </row>
    <row r="20" spans="2:12" ht="27.75" hidden="1" customHeight="1">
      <c r="B20" s="501"/>
      <c r="C20" s="1191" t="s">
        <v>118</v>
      </c>
      <c r="D20" s="1191"/>
      <c r="E20" s="1191"/>
      <c r="F20" s="514">
        <v>780.75</v>
      </c>
      <c r="G20" s="514"/>
      <c r="H20" s="514"/>
      <c r="I20" s="514"/>
      <c r="J20" s="514"/>
      <c r="K20" s="515">
        <f>F20</f>
        <v>780.75</v>
      </c>
      <c r="L20" s="503"/>
    </row>
    <row r="21" spans="2:12" hidden="1">
      <c r="B21" s="501"/>
      <c r="C21" s="1192" t="s">
        <v>116</v>
      </c>
      <c r="D21" s="1192"/>
      <c r="E21" s="1192"/>
      <c r="F21" s="1192"/>
      <c r="G21" s="1192"/>
      <c r="H21" s="1192"/>
      <c r="I21" s="1192"/>
      <c r="J21" s="1192"/>
      <c r="K21" s="516">
        <f>SUM(K20:K20)</f>
        <v>780.75</v>
      </c>
      <c r="L21" s="503"/>
    </row>
    <row r="22" spans="2:12" hidden="1">
      <c r="B22" s="501"/>
      <c r="C22" s="517"/>
      <c r="D22" s="517"/>
      <c r="E22" s="517"/>
      <c r="F22" s="517"/>
      <c r="G22" s="517"/>
      <c r="H22" s="517"/>
      <c r="I22" s="517"/>
      <c r="J22" s="517"/>
      <c r="K22" s="518"/>
      <c r="L22" s="503"/>
    </row>
    <row r="23" spans="2:12" ht="15" hidden="1" customHeight="1">
      <c r="B23" s="497" t="str">
        <f>'[6]PLANILHA ORÇAMENTÁRIA'!D14</f>
        <v>1.3</v>
      </c>
      <c r="C23" s="1186" t="str">
        <f>'[6]PLANILHA ORÇAMENTÁRIA'!E14</f>
        <v>LOCAÇÃO DA OBRA - EXECUÇÃO DE GABARITO</v>
      </c>
      <c r="D23" s="1186"/>
      <c r="E23" s="1186"/>
      <c r="F23" s="1186"/>
      <c r="G23" s="1186"/>
      <c r="H23" s="1186"/>
      <c r="I23" s="1186"/>
      <c r="J23" s="1186"/>
      <c r="K23" s="510" t="str">
        <f>'[6]PLANILHA ORÇAMENTÁRIA'!F14</f>
        <v>M2</v>
      </c>
      <c r="L23" s="511">
        <f>K27</f>
        <v>157.78</v>
      </c>
    </row>
    <row r="24" spans="2:12" hidden="1">
      <c r="B24" s="501"/>
      <c r="C24" s="1190" t="s">
        <v>20</v>
      </c>
      <c r="D24" s="1190"/>
      <c r="E24" s="1190"/>
      <c r="F24" s="512" t="s">
        <v>22</v>
      </c>
      <c r="G24" s="693" t="s">
        <v>111</v>
      </c>
      <c r="H24" s="512" t="s">
        <v>112</v>
      </c>
      <c r="I24" s="693" t="s">
        <v>113</v>
      </c>
      <c r="J24" s="693" t="s">
        <v>114</v>
      </c>
      <c r="K24" s="513" t="s">
        <v>25</v>
      </c>
      <c r="L24" s="503"/>
    </row>
    <row r="25" spans="2:12" hidden="1">
      <c r="B25" s="501"/>
      <c r="C25" s="1191" t="s">
        <v>119</v>
      </c>
      <c r="D25" s="1191"/>
      <c r="E25" s="1191"/>
      <c r="F25" s="514">
        <v>1</v>
      </c>
      <c r="G25" s="514"/>
      <c r="H25" s="514">
        <v>6.7</v>
      </c>
      <c r="I25" s="514">
        <v>12</v>
      </c>
      <c r="J25" s="514"/>
      <c r="K25" s="515">
        <f>PRODUCT(F25:I25)</f>
        <v>80.400000000000006</v>
      </c>
      <c r="L25" s="503"/>
    </row>
    <row r="26" spans="2:12" hidden="1">
      <c r="B26" s="501"/>
      <c r="C26" s="1191" t="s">
        <v>120</v>
      </c>
      <c r="D26" s="1191"/>
      <c r="E26" s="1191"/>
      <c r="F26" s="514">
        <v>4</v>
      </c>
      <c r="G26" s="514"/>
      <c r="H26" s="514">
        <v>3.65</v>
      </c>
      <c r="I26" s="514">
        <v>5.3</v>
      </c>
      <c r="J26" s="514"/>
      <c r="K26" s="515">
        <f>PRODUCT(F26:I26)</f>
        <v>77.38</v>
      </c>
      <c r="L26" s="503"/>
    </row>
    <row r="27" spans="2:12" hidden="1">
      <c r="B27" s="501"/>
      <c r="C27" s="1192" t="s">
        <v>116</v>
      </c>
      <c r="D27" s="1192"/>
      <c r="E27" s="1192"/>
      <c r="F27" s="1192"/>
      <c r="G27" s="1192"/>
      <c r="H27" s="1192"/>
      <c r="I27" s="1192"/>
      <c r="J27" s="1192"/>
      <c r="K27" s="516">
        <f>SUM(K25:K26)</f>
        <v>157.78</v>
      </c>
      <c r="L27" s="503"/>
    </row>
    <row r="28" spans="2:12" hidden="1">
      <c r="B28" s="501"/>
      <c r="C28" s="517"/>
      <c r="D28" s="517"/>
      <c r="E28" s="517"/>
      <c r="F28" s="517"/>
      <c r="G28" s="517"/>
      <c r="H28" s="517"/>
      <c r="I28" s="517"/>
      <c r="J28" s="517"/>
      <c r="K28" s="518"/>
      <c r="L28" s="503"/>
    </row>
    <row r="29" spans="2:12" hidden="1">
      <c r="B29" s="501" t="str">
        <f>'[6]PLANILHA ORÇAMENTÁRIA'!D15</f>
        <v>2.0</v>
      </c>
      <c r="C29" s="1193" t="str">
        <f>'[6]PLANILHA ORÇAMENTÁRIA'!E15</f>
        <v>DEMOLIÇÕES</v>
      </c>
      <c r="D29" s="1193"/>
      <c r="E29" s="1193"/>
      <c r="F29" s="1193"/>
      <c r="G29" s="1193"/>
      <c r="H29" s="1193"/>
      <c r="I29" s="1193"/>
      <c r="J29" s="1193"/>
      <c r="K29" s="497"/>
      <c r="L29" s="497"/>
    </row>
    <row r="30" spans="2:12" ht="23.25" hidden="1" customHeight="1">
      <c r="B30" s="497" t="str">
        <f>'[6]PLANILHA ORÇAMENTÁRIA'!D16</f>
        <v>2.1</v>
      </c>
      <c r="C30" s="1186" t="str">
        <f>'[6]PLANILHA ORÇAMENTÁRIA'!E16</f>
        <v>DEMOLIÇÃO DE ALVENARIA DE BLOCO FURADO, SEM REAPROVEITAMENTO, INCLUSIVE REVESTIMENTO.</v>
      </c>
      <c r="D30" s="1186"/>
      <c r="E30" s="1186"/>
      <c r="F30" s="1186"/>
      <c r="G30" s="1186"/>
      <c r="H30" s="1186"/>
      <c r="I30" s="1186"/>
      <c r="J30" s="1186"/>
      <c r="K30" s="510" t="str">
        <f>'[6]PLANILHA ORÇAMENTÁRIA'!F16</f>
        <v>M3</v>
      </c>
      <c r="L30" s="511">
        <f>K33</f>
        <v>17.39</v>
      </c>
    </row>
    <row r="31" spans="2:12" hidden="1">
      <c r="B31" s="501"/>
      <c r="C31" s="1190" t="s">
        <v>20</v>
      </c>
      <c r="D31" s="1190"/>
      <c r="E31" s="1190"/>
      <c r="F31" s="512" t="s">
        <v>117</v>
      </c>
      <c r="G31" s="693" t="s">
        <v>111</v>
      </c>
      <c r="H31" s="512" t="s">
        <v>112</v>
      </c>
      <c r="I31" s="693" t="s">
        <v>113</v>
      </c>
      <c r="J31" s="693" t="s">
        <v>114</v>
      </c>
      <c r="K31" s="513" t="s">
        <v>25</v>
      </c>
      <c r="L31" s="503"/>
    </row>
    <row r="32" spans="2:12" hidden="1">
      <c r="B32" s="501"/>
      <c r="C32" s="1191" t="s">
        <v>121</v>
      </c>
      <c r="D32" s="1191"/>
      <c r="E32" s="1191"/>
      <c r="F32" s="514"/>
      <c r="G32" s="514">
        <v>2.2000000000000002</v>
      </c>
      <c r="H32" s="514">
        <v>0.15</v>
      </c>
      <c r="I32" s="514">
        <v>52.71</v>
      </c>
      <c r="J32" s="514"/>
      <c r="K32" s="515">
        <f>TRUNC(I32*G32*H32,2)</f>
        <v>17.39</v>
      </c>
      <c r="L32" s="503"/>
    </row>
    <row r="33" spans="2:12" hidden="1">
      <c r="B33" s="501"/>
      <c r="C33" s="1192" t="s">
        <v>116</v>
      </c>
      <c r="D33" s="1192"/>
      <c r="E33" s="1192"/>
      <c r="F33" s="1192"/>
      <c r="G33" s="1192"/>
      <c r="H33" s="1192"/>
      <c r="I33" s="1192"/>
      <c r="J33" s="1192"/>
      <c r="K33" s="516">
        <f>SUM(K32:K32)</f>
        <v>17.39</v>
      </c>
      <c r="L33" s="503"/>
    </row>
    <row r="34" spans="2:12" hidden="1">
      <c r="B34" s="501"/>
      <c r="C34" s="517"/>
      <c r="D34" s="517"/>
      <c r="E34" s="517"/>
      <c r="F34" s="517"/>
      <c r="G34" s="517"/>
      <c r="H34" s="517"/>
      <c r="I34" s="517"/>
      <c r="J34" s="517"/>
      <c r="K34" s="518"/>
      <c r="L34" s="503"/>
    </row>
    <row r="35" spans="2:12" hidden="1">
      <c r="B35" s="501" t="str">
        <f>'[6]PLANILHA ORÇAMENTÁRIA'!D17</f>
        <v>3.0</v>
      </c>
      <c r="C35" s="1193" t="str">
        <f>'[6]PLANILHA ORÇAMENTÁRIA'!E17</f>
        <v>TRABALHOS EM TERRA</v>
      </c>
      <c r="D35" s="1193"/>
      <c r="E35" s="1193"/>
      <c r="F35" s="1193"/>
      <c r="G35" s="1193"/>
      <c r="H35" s="1193"/>
      <c r="I35" s="1193"/>
      <c r="J35" s="1193"/>
      <c r="K35" s="497"/>
      <c r="L35" s="497"/>
    </row>
    <row r="36" spans="2:12" ht="15" hidden="1" customHeight="1">
      <c r="B36" s="497" t="str">
        <f>'[6]PLANILHA ORÇAMENTÁRIA'!D18</f>
        <v>3.1</v>
      </c>
      <c r="C36" s="1186" t="str">
        <f>'[6]PLANILHA ORÇAMENTÁRIA'!E18</f>
        <v>CORTE E ATERRO COMPENSADO</v>
      </c>
      <c r="D36" s="1186"/>
      <c r="E36" s="1186"/>
      <c r="F36" s="1186"/>
      <c r="G36" s="1186"/>
      <c r="H36" s="1186"/>
      <c r="I36" s="1186"/>
      <c r="J36" s="1186"/>
      <c r="K36" s="510" t="str">
        <f>'[6]PLANILHA ORÇAMENTÁRIA'!F18</f>
        <v>M3</v>
      </c>
      <c r="L36" s="511">
        <f>K39</f>
        <v>156.15</v>
      </c>
    </row>
    <row r="37" spans="2:12" hidden="1">
      <c r="B37" s="501"/>
      <c r="C37" s="1190" t="s">
        <v>20</v>
      </c>
      <c r="D37" s="1190"/>
      <c r="E37" s="1190"/>
      <c r="F37" s="512" t="s">
        <v>117</v>
      </c>
      <c r="G37" s="693" t="s">
        <v>111</v>
      </c>
      <c r="H37" s="512" t="s">
        <v>112</v>
      </c>
      <c r="I37" s="693" t="s">
        <v>113</v>
      </c>
      <c r="J37" s="693" t="s">
        <v>114</v>
      </c>
      <c r="K37" s="513" t="s">
        <v>25</v>
      </c>
      <c r="L37" s="503"/>
    </row>
    <row r="38" spans="2:12" hidden="1">
      <c r="B38" s="501"/>
      <c r="C38" s="1191" t="s">
        <v>122</v>
      </c>
      <c r="D38" s="1191"/>
      <c r="E38" s="1191"/>
      <c r="F38" s="514">
        <f>F20</f>
        <v>780.75</v>
      </c>
      <c r="G38" s="514">
        <v>0.2</v>
      </c>
      <c r="H38" s="514"/>
      <c r="I38" s="514"/>
      <c r="J38" s="514"/>
      <c r="K38" s="515">
        <f>TRUNC(F38*G38,2)</f>
        <v>156.15</v>
      </c>
      <c r="L38" s="503"/>
    </row>
    <row r="39" spans="2:12" hidden="1">
      <c r="B39" s="501"/>
      <c r="C39" s="1192" t="s">
        <v>116</v>
      </c>
      <c r="D39" s="1192"/>
      <c r="E39" s="1192"/>
      <c r="F39" s="1192"/>
      <c r="G39" s="1192"/>
      <c r="H39" s="1192"/>
      <c r="I39" s="1192"/>
      <c r="J39" s="1192"/>
      <c r="K39" s="516">
        <f>SUM(K38:K38)</f>
        <v>156.15</v>
      </c>
      <c r="L39" s="503"/>
    </row>
    <row r="40" spans="2:12" hidden="1">
      <c r="B40" s="493"/>
      <c r="C40" s="493"/>
      <c r="D40" s="493"/>
      <c r="E40" s="493"/>
      <c r="F40" s="493"/>
      <c r="G40" s="493"/>
      <c r="H40" s="493"/>
      <c r="I40" s="493"/>
      <c r="J40" s="493"/>
      <c r="K40" s="493"/>
      <c r="L40" s="493"/>
    </row>
    <row r="41" spans="2:12" ht="15" hidden="1" customHeight="1">
      <c r="B41" s="497" t="str">
        <f>'[6]PLANILHA ORÇAMENTÁRIA'!D19</f>
        <v>3.2</v>
      </c>
      <c r="C41" s="1186" t="str">
        <f>'[6]PLANILHA ORÇAMENTÁRIA'!E19</f>
        <v>ESCAVAÇÃO MANUAL DE VALA COM PROFUNDIDADE MENOR OU IGUAL A 1,30 M. AF_ 03/2016</v>
      </c>
      <c r="D41" s="1186"/>
      <c r="E41" s="1186"/>
      <c r="F41" s="1186"/>
      <c r="G41" s="1186"/>
      <c r="H41" s="1186"/>
      <c r="I41" s="1186"/>
      <c r="J41" s="1186"/>
      <c r="K41" s="510" t="str">
        <f>'[6]PLANILHA ORÇAMENTÁRIA'!F19</f>
        <v>M3</v>
      </c>
      <c r="L41" s="511">
        <f>K49</f>
        <v>12.827999999999999</v>
      </c>
    </row>
    <row r="42" spans="2:12" hidden="1">
      <c r="B42" s="501"/>
      <c r="C42" s="1190" t="s">
        <v>20</v>
      </c>
      <c r="D42" s="1190"/>
      <c r="E42" s="1190"/>
      <c r="F42" s="512" t="s">
        <v>22</v>
      </c>
      <c r="G42" s="693" t="s">
        <v>111</v>
      </c>
      <c r="H42" s="512" t="s">
        <v>112</v>
      </c>
      <c r="I42" s="693" t="s">
        <v>113</v>
      </c>
      <c r="J42" s="693" t="s">
        <v>114</v>
      </c>
      <c r="K42" s="513" t="s">
        <v>25</v>
      </c>
      <c r="L42" s="503"/>
    </row>
    <row r="43" spans="2:12" hidden="1">
      <c r="B43" s="501"/>
      <c r="C43" s="1191" t="s">
        <v>123</v>
      </c>
      <c r="D43" s="1191"/>
      <c r="E43" s="1191"/>
      <c r="F43" s="514">
        <v>2</v>
      </c>
      <c r="G43" s="514">
        <v>0.6</v>
      </c>
      <c r="H43" s="514">
        <v>0.4</v>
      </c>
      <c r="I43" s="514">
        <v>5.4</v>
      </c>
      <c r="J43" s="514"/>
      <c r="K43" s="515">
        <f t="shared" ref="K43:K48" si="0">PRODUCT(F43:I43)</f>
        <v>2.5920000000000001</v>
      </c>
      <c r="L43" s="503"/>
    </row>
    <row r="44" spans="2:12" hidden="1">
      <c r="B44" s="501"/>
      <c r="C44" s="1191" t="s">
        <v>124</v>
      </c>
      <c r="D44" s="1191"/>
      <c r="E44" s="1191"/>
      <c r="F44" s="514">
        <v>2</v>
      </c>
      <c r="G44" s="514">
        <v>0.6</v>
      </c>
      <c r="H44" s="514">
        <v>0.4</v>
      </c>
      <c r="I44" s="514">
        <v>3.6</v>
      </c>
      <c r="J44" s="514"/>
      <c r="K44" s="515">
        <f t="shared" si="0"/>
        <v>1.728</v>
      </c>
      <c r="L44" s="503"/>
    </row>
    <row r="45" spans="2:12" hidden="1">
      <c r="B45" s="501"/>
      <c r="C45" s="1191" t="s">
        <v>125</v>
      </c>
      <c r="D45" s="1191"/>
      <c r="E45" s="1191"/>
      <c r="F45" s="514">
        <v>1</v>
      </c>
      <c r="G45" s="514">
        <v>0.6</v>
      </c>
      <c r="H45" s="514">
        <v>0.4</v>
      </c>
      <c r="I45" s="514">
        <v>4.2</v>
      </c>
      <c r="J45" s="514"/>
      <c r="K45" s="515">
        <f t="shared" si="0"/>
        <v>1.008</v>
      </c>
      <c r="L45" s="503"/>
    </row>
    <row r="46" spans="2:12" hidden="1">
      <c r="B46" s="501"/>
      <c r="C46" s="1191" t="s">
        <v>126</v>
      </c>
      <c r="D46" s="1191"/>
      <c r="E46" s="1191"/>
      <c r="F46" s="514">
        <v>1</v>
      </c>
      <c r="G46" s="514">
        <v>0.6</v>
      </c>
      <c r="H46" s="514">
        <v>0.4</v>
      </c>
      <c r="I46" s="514">
        <v>3.15</v>
      </c>
      <c r="J46" s="514"/>
      <c r="K46" s="515">
        <f t="shared" si="0"/>
        <v>0.75600000000000001</v>
      </c>
      <c r="L46" s="503"/>
    </row>
    <row r="47" spans="2:12" hidden="1">
      <c r="B47" s="501"/>
      <c r="C47" s="1191" t="s">
        <v>127</v>
      </c>
      <c r="D47" s="1191"/>
      <c r="E47" s="1191"/>
      <c r="F47" s="514">
        <v>1</v>
      </c>
      <c r="G47" s="514">
        <v>0.6</v>
      </c>
      <c r="H47" s="514">
        <v>0.4</v>
      </c>
      <c r="I47" s="514">
        <f>5.7+5.7+4.7</f>
        <v>16.100000000000001</v>
      </c>
      <c r="J47" s="514"/>
      <c r="K47" s="515">
        <f t="shared" si="0"/>
        <v>3.8640000000000003</v>
      </c>
      <c r="L47" s="503"/>
    </row>
    <row r="48" spans="2:12" hidden="1">
      <c r="B48" s="501"/>
      <c r="C48" s="1191" t="s">
        <v>128</v>
      </c>
      <c r="D48" s="1191"/>
      <c r="E48" s="1191"/>
      <c r="F48" s="514">
        <v>8</v>
      </c>
      <c r="G48" s="514">
        <v>1</v>
      </c>
      <c r="H48" s="514">
        <v>0.6</v>
      </c>
      <c r="I48" s="514">
        <v>0.6</v>
      </c>
      <c r="J48" s="514"/>
      <c r="K48" s="515">
        <f t="shared" si="0"/>
        <v>2.88</v>
      </c>
      <c r="L48" s="503"/>
    </row>
    <row r="49" spans="2:12" hidden="1">
      <c r="B49" s="501"/>
      <c r="C49" s="1192" t="s">
        <v>116</v>
      </c>
      <c r="D49" s="1192"/>
      <c r="E49" s="1192"/>
      <c r="F49" s="1192"/>
      <c r="G49" s="1192"/>
      <c r="H49" s="1192"/>
      <c r="I49" s="1192"/>
      <c r="J49" s="1192"/>
      <c r="K49" s="516">
        <f>SUM(K43:K48)</f>
        <v>12.827999999999999</v>
      </c>
      <c r="L49" s="503"/>
    </row>
    <row r="50" spans="2:12" hidden="1">
      <c r="B50" s="493"/>
      <c r="C50" s="493"/>
      <c r="D50" s="493"/>
      <c r="E50" s="493"/>
      <c r="F50" s="493"/>
      <c r="G50" s="493"/>
      <c r="H50" s="493"/>
      <c r="I50" s="493"/>
      <c r="J50" s="493"/>
      <c r="K50" s="493"/>
      <c r="L50" s="493"/>
    </row>
    <row r="51" spans="2:12" ht="15" hidden="1" customHeight="1">
      <c r="B51" s="497" t="str">
        <f>'[6]PLANILHA ORÇAMENTÁRIA'!D20</f>
        <v>3.3</v>
      </c>
      <c r="C51" s="1186" t="str">
        <f>'[6]PLANILHA ORÇAMENTÁRIA'!E20</f>
        <v>REATERRO MANUAL APILOADO COM SOQUETE</v>
      </c>
      <c r="D51" s="1186"/>
      <c r="E51" s="1186"/>
      <c r="F51" s="1186"/>
      <c r="G51" s="1186"/>
      <c r="H51" s="1186"/>
      <c r="I51" s="1186"/>
      <c r="J51" s="1186"/>
      <c r="K51" s="510" t="str">
        <f>'[6]PLANILHA ORÇAMENTÁRIA'!F20</f>
        <v>M3</v>
      </c>
      <c r="L51" s="511">
        <f>K54</f>
        <v>4.0992499999999996</v>
      </c>
    </row>
    <row r="52" spans="2:12" hidden="1">
      <c r="B52" s="501"/>
      <c r="C52" s="1190" t="s">
        <v>20</v>
      </c>
      <c r="D52" s="1190"/>
      <c r="E52" s="1190"/>
      <c r="F52" s="512" t="s">
        <v>129</v>
      </c>
      <c r="G52" s="693" t="s">
        <v>130</v>
      </c>
      <c r="H52" s="512" t="s">
        <v>131</v>
      </c>
      <c r="I52" s="693" t="s">
        <v>132</v>
      </c>
      <c r="J52" s="693"/>
      <c r="K52" s="513" t="s">
        <v>25</v>
      </c>
      <c r="L52" s="503"/>
    </row>
    <row r="53" spans="2:12" hidden="1">
      <c r="B53" s="501"/>
      <c r="C53" s="1191"/>
      <c r="D53" s="1191"/>
      <c r="E53" s="1191"/>
      <c r="F53" s="514">
        <f>L41</f>
        <v>12.827999999999999</v>
      </c>
      <c r="G53" s="514">
        <f>L67</f>
        <v>3.4812500000000002</v>
      </c>
      <c r="H53" s="514">
        <f>L76</f>
        <v>4.1775000000000002</v>
      </c>
      <c r="I53" s="514">
        <v>1.07</v>
      </c>
      <c r="J53" s="514"/>
      <c r="K53" s="515">
        <f>F53-G53-H53-I53</f>
        <v>4.0992499999999996</v>
      </c>
      <c r="L53" s="503"/>
    </row>
    <row r="54" spans="2:12" hidden="1">
      <c r="B54" s="501"/>
      <c r="C54" s="1192" t="s">
        <v>116</v>
      </c>
      <c r="D54" s="1192"/>
      <c r="E54" s="1192"/>
      <c r="F54" s="1192"/>
      <c r="G54" s="1192"/>
      <c r="H54" s="1192"/>
      <c r="I54" s="1192"/>
      <c r="J54" s="1192"/>
      <c r="K54" s="516">
        <f>SUM(K53:K53)</f>
        <v>4.0992499999999996</v>
      </c>
      <c r="L54" s="503"/>
    </row>
    <row r="55" spans="2:12" hidden="1">
      <c r="B55" s="493"/>
      <c r="C55" s="493"/>
      <c r="D55" s="493"/>
      <c r="E55" s="493"/>
      <c r="F55" s="493"/>
      <c r="G55" s="493"/>
      <c r="H55" s="493"/>
      <c r="I55" s="493"/>
      <c r="J55" s="493"/>
      <c r="K55" s="493"/>
      <c r="L55" s="493"/>
    </row>
    <row r="56" spans="2:12" hidden="1">
      <c r="B56" s="501" t="str">
        <f>'[6]PLANILHA ORÇAMENTÁRIA'!D21</f>
        <v>4.0</v>
      </c>
      <c r="C56" s="1193" t="str">
        <f>'[6]PLANILHA ORÇAMENTÁRIA'!E21</f>
        <v>FUNDAÇÃO</v>
      </c>
      <c r="D56" s="1193"/>
      <c r="E56" s="1193"/>
      <c r="F56" s="1193"/>
      <c r="G56" s="1193"/>
      <c r="H56" s="1193"/>
      <c r="I56" s="1193"/>
      <c r="J56" s="1193"/>
      <c r="K56" s="497"/>
      <c r="L56" s="497"/>
    </row>
    <row r="57" spans="2:12" ht="24.75" hidden="1" customHeight="1">
      <c r="B57" s="497" t="str">
        <f>'[6]PLANILHA ORÇAMENTÁRIA'!D22</f>
        <v>4.1</v>
      </c>
      <c r="C57" s="1186" t="str">
        <f>'[6]PLANILHA ORÇAMENTÁRIA'!E22</f>
        <v>LASTRO DE CONCRETO MAGRO, APLICADO EM BLOCOS DE COROAMENTO OU SAPATAS, ESPESSURA DE 5 CM. AF_08/2017</v>
      </c>
      <c r="D57" s="1186"/>
      <c r="E57" s="1186"/>
      <c r="F57" s="1186"/>
      <c r="G57" s="1186"/>
      <c r="H57" s="1186"/>
      <c r="I57" s="1186"/>
      <c r="J57" s="1186"/>
      <c r="K57" s="510" t="str">
        <f>'[6]PLANILHA ORÇAMENTÁRIA'!F22</f>
        <v>M2</v>
      </c>
      <c r="L57" s="511">
        <f>K65</f>
        <v>21.532500000000002</v>
      </c>
    </row>
    <row r="58" spans="2:12" hidden="1">
      <c r="B58" s="501"/>
      <c r="C58" s="1190" t="s">
        <v>20</v>
      </c>
      <c r="D58" s="1190"/>
      <c r="E58" s="1190"/>
      <c r="F58" s="512" t="s">
        <v>22</v>
      </c>
      <c r="G58" s="693" t="s">
        <v>111</v>
      </c>
      <c r="H58" s="512" t="s">
        <v>112</v>
      </c>
      <c r="I58" s="693" t="s">
        <v>113</v>
      </c>
      <c r="J58" s="693" t="s">
        <v>114</v>
      </c>
      <c r="K58" s="513" t="s">
        <v>25</v>
      </c>
      <c r="L58" s="503"/>
    </row>
    <row r="59" spans="2:12" hidden="1">
      <c r="B59" s="501"/>
      <c r="C59" s="1191" t="s">
        <v>123</v>
      </c>
      <c r="D59" s="1191"/>
      <c r="E59" s="1191"/>
      <c r="F59" s="514">
        <v>2</v>
      </c>
      <c r="G59" s="514"/>
      <c r="H59" s="514">
        <v>0.45</v>
      </c>
      <c r="I59" s="514">
        <v>5.4</v>
      </c>
      <c r="J59" s="514"/>
      <c r="K59" s="515">
        <f t="shared" ref="K59:K64" si="1">PRODUCT(F59:I59)</f>
        <v>4.8600000000000003</v>
      </c>
      <c r="L59" s="503"/>
    </row>
    <row r="60" spans="2:12" hidden="1">
      <c r="B60" s="501"/>
      <c r="C60" s="1191" t="s">
        <v>124</v>
      </c>
      <c r="D60" s="1191"/>
      <c r="E60" s="1191"/>
      <c r="F60" s="514">
        <v>2</v>
      </c>
      <c r="G60" s="514"/>
      <c r="H60" s="514">
        <v>0.45</v>
      </c>
      <c r="I60" s="514">
        <v>3.6</v>
      </c>
      <c r="J60" s="514"/>
      <c r="K60" s="515">
        <f t="shared" si="1"/>
        <v>3.24</v>
      </c>
      <c r="L60" s="503"/>
    </row>
    <row r="61" spans="2:12" hidden="1">
      <c r="B61" s="501"/>
      <c r="C61" s="1191" t="s">
        <v>125</v>
      </c>
      <c r="D61" s="1191"/>
      <c r="E61" s="1191"/>
      <c r="F61" s="514">
        <v>1</v>
      </c>
      <c r="G61" s="514"/>
      <c r="H61" s="514">
        <v>0.45</v>
      </c>
      <c r="I61" s="514">
        <v>4.2</v>
      </c>
      <c r="J61" s="514"/>
      <c r="K61" s="515">
        <f t="shared" si="1"/>
        <v>1.8900000000000001</v>
      </c>
      <c r="L61" s="503"/>
    </row>
    <row r="62" spans="2:12" hidden="1">
      <c r="B62" s="501"/>
      <c r="C62" s="1191" t="s">
        <v>126</v>
      </c>
      <c r="D62" s="1191"/>
      <c r="E62" s="1191"/>
      <c r="F62" s="514">
        <v>1</v>
      </c>
      <c r="G62" s="514"/>
      <c r="H62" s="514">
        <v>0.45</v>
      </c>
      <c r="I62" s="514">
        <v>3.15</v>
      </c>
      <c r="J62" s="514"/>
      <c r="K62" s="515">
        <f t="shared" si="1"/>
        <v>1.4175</v>
      </c>
      <c r="L62" s="503"/>
    </row>
    <row r="63" spans="2:12" hidden="1">
      <c r="B63" s="501"/>
      <c r="C63" s="1191" t="s">
        <v>127</v>
      </c>
      <c r="D63" s="1191"/>
      <c r="E63" s="1191"/>
      <c r="F63" s="514">
        <v>1</v>
      </c>
      <c r="G63" s="514"/>
      <c r="H63" s="514">
        <v>0.45</v>
      </c>
      <c r="I63" s="514">
        <f>5.7+5.7+4.7</f>
        <v>16.100000000000001</v>
      </c>
      <c r="J63" s="514"/>
      <c r="K63" s="515">
        <f t="shared" si="1"/>
        <v>7.245000000000001</v>
      </c>
      <c r="L63" s="503"/>
    </row>
    <row r="64" spans="2:12" hidden="1">
      <c r="B64" s="501"/>
      <c r="C64" s="1191" t="s">
        <v>128</v>
      </c>
      <c r="D64" s="1191"/>
      <c r="E64" s="1191"/>
      <c r="F64" s="514">
        <v>8</v>
      </c>
      <c r="G64" s="514"/>
      <c r="H64" s="514">
        <v>0.6</v>
      </c>
      <c r="I64" s="514">
        <v>0.6</v>
      </c>
      <c r="J64" s="514"/>
      <c r="K64" s="515">
        <f t="shared" si="1"/>
        <v>2.88</v>
      </c>
      <c r="L64" s="503"/>
    </row>
    <row r="65" spans="2:12" hidden="1">
      <c r="B65" s="501"/>
      <c r="C65" s="1192" t="s">
        <v>116</v>
      </c>
      <c r="D65" s="1192"/>
      <c r="E65" s="1192"/>
      <c r="F65" s="1192"/>
      <c r="G65" s="1192"/>
      <c r="H65" s="1192"/>
      <c r="I65" s="1192"/>
      <c r="J65" s="1192"/>
      <c r="K65" s="516">
        <f>SUM(K59:K64)</f>
        <v>21.532500000000002</v>
      </c>
      <c r="L65" s="503"/>
    </row>
    <row r="66" spans="2:12" hidden="1">
      <c r="B66" s="501"/>
      <c r="C66" s="517"/>
      <c r="D66" s="517"/>
      <c r="E66" s="517"/>
      <c r="F66" s="517"/>
      <c r="G66" s="517"/>
      <c r="H66" s="517"/>
      <c r="I66" s="517"/>
      <c r="J66" s="517"/>
      <c r="K66" s="518"/>
      <c r="L66" s="503"/>
    </row>
    <row r="67" spans="2:12" ht="15" hidden="1" customHeight="1">
      <c r="B67" s="497" t="str">
        <f>'[6]PLANILHA ORÇAMENTÁRIA'!D23</f>
        <v>4.2</v>
      </c>
      <c r="C67" s="1186" t="str">
        <f>'[6]PLANILHA ORÇAMENTÁRIA'!E23</f>
        <v>EMBASAMENTO C/PEDRA ARGAMASSADA UTILIZANDO ARG.CIM/AREIA 1:4</v>
      </c>
      <c r="D67" s="1186"/>
      <c r="E67" s="1186"/>
      <c r="F67" s="1186"/>
      <c r="G67" s="1186"/>
      <c r="H67" s="1186"/>
      <c r="I67" s="1186"/>
      <c r="J67" s="1186"/>
      <c r="K67" s="510" t="str">
        <f>'[6]PLANILHA ORÇAMENTÁRIA'!F23</f>
        <v>M3</v>
      </c>
      <c r="L67" s="511">
        <f>K74</f>
        <v>3.4812500000000002</v>
      </c>
    </row>
    <row r="68" spans="2:12" hidden="1">
      <c r="B68" s="501"/>
      <c r="C68" s="1190" t="s">
        <v>20</v>
      </c>
      <c r="D68" s="1190"/>
      <c r="E68" s="1190"/>
      <c r="F68" s="512" t="s">
        <v>22</v>
      </c>
      <c r="G68" s="693" t="s">
        <v>111</v>
      </c>
      <c r="H68" s="512" t="s">
        <v>112</v>
      </c>
      <c r="I68" s="693" t="s">
        <v>113</v>
      </c>
      <c r="J68" s="693" t="s">
        <v>114</v>
      </c>
      <c r="K68" s="513" t="s">
        <v>25</v>
      </c>
      <c r="L68" s="503"/>
    </row>
    <row r="69" spans="2:12" hidden="1">
      <c r="B69" s="501"/>
      <c r="C69" s="1191" t="s">
        <v>123</v>
      </c>
      <c r="D69" s="1191"/>
      <c r="E69" s="1191"/>
      <c r="F69" s="514">
        <v>2</v>
      </c>
      <c r="G69" s="514">
        <v>0.25</v>
      </c>
      <c r="H69" s="514">
        <v>0.4</v>
      </c>
      <c r="I69" s="514">
        <v>5.4</v>
      </c>
      <c r="J69" s="514"/>
      <c r="K69" s="515">
        <f>PRODUCT(F69:J69)</f>
        <v>1.08</v>
      </c>
      <c r="L69" s="503"/>
    </row>
    <row r="70" spans="2:12" hidden="1">
      <c r="B70" s="501"/>
      <c r="C70" s="1191" t="s">
        <v>124</v>
      </c>
      <c r="D70" s="1191"/>
      <c r="E70" s="1191"/>
      <c r="F70" s="514">
        <v>2</v>
      </c>
      <c r="G70" s="514">
        <v>0.25</v>
      </c>
      <c r="H70" s="514">
        <v>0.4</v>
      </c>
      <c r="I70" s="514">
        <v>3.6</v>
      </c>
      <c r="J70" s="514"/>
      <c r="K70" s="515">
        <f>PRODUCT(F70:J70)</f>
        <v>0.72000000000000008</v>
      </c>
      <c r="L70" s="503"/>
    </row>
    <row r="71" spans="2:12" hidden="1">
      <c r="B71" s="501"/>
      <c r="C71" s="1191" t="s">
        <v>125</v>
      </c>
      <c r="D71" s="1191"/>
      <c r="E71" s="1191"/>
      <c r="F71" s="514">
        <v>1</v>
      </c>
      <c r="G71" s="514">
        <v>0.25</v>
      </c>
      <c r="H71" s="514">
        <v>0.4</v>
      </c>
      <c r="I71" s="514">
        <v>3.6</v>
      </c>
      <c r="J71" s="514"/>
      <c r="K71" s="515">
        <f>PRODUCT(F71:J71)</f>
        <v>0.36000000000000004</v>
      </c>
      <c r="L71" s="503"/>
    </row>
    <row r="72" spans="2:12" hidden="1">
      <c r="B72" s="501"/>
      <c r="C72" s="1191" t="s">
        <v>127</v>
      </c>
      <c r="D72" s="1191"/>
      <c r="E72" s="1191"/>
      <c r="F72" s="514">
        <v>1</v>
      </c>
      <c r="G72" s="514">
        <v>0.25</v>
      </c>
      <c r="H72" s="514">
        <v>0.25</v>
      </c>
      <c r="I72" s="514">
        <f>5.7+5.7+4.7</f>
        <v>16.100000000000001</v>
      </c>
      <c r="J72" s="514"/>
      <c r="K72" s="515">
        <f>PRODUCT(F72:I72)</f>
        <v>1.0062500000000001</v>
      </c>
      <c r="L72" s="503"/>
    </row>
    <row r="73" spans="2:12" hidden="1">
      <c r="B73" s="501"/>
      <c r="C73" s="1191" t="s">
        <v>126</v>
      </c>
      <c r="D73" s="1191"/>
      <c r="E73" s="1191"/>
      <c r="F73" s="514">
        <v>1</v>
      </c>
      <c r="G73" s="514">
        <v>0.25</v>
      </c>
      <c r="H73" s="514">
        <v>0.4</v>
      </c>
      <c r="I73" s="514">
        <v>3.15</v>
      </c>
      <c r="J73" s="514"/>
      <c r="K73" s="515">
        <f>PRODUCT(F73:J73)</f>
        <v>0.315</v>
      </c>
      <c r="L73" s="503"/>
    </row>
    <row r="74" spans="2:12" hidden="1">
      <c r="B74" s="501"/>
      <c r="C74" s="1192" t="s">
        <v>116</v>
      </c>
      <c r="D74" s="1192"/>
      <c r="E74" s="1192"/>
      <c r="F74" s="1192"/>
      <c r="G74" s="1192"/>
      <c r="H74" s="1192"/>
      <c r="I74" s="1192"/>
      <c r="J74" s="1192"/>
      <c r="K74" s="516">
        <f>SUM(K69:K73)</f>
        <v>3.4812500000000002</v>
      </c>
      <c r="L74" s="503"/>
    </row>
    <row r="75" spans="2:12" hidden="1">
      <c r="B75" s="501"/>
      <c r="C75" s="517"/>
      <c r="D75" s="517"/>
      <c r="E75" s="517"/>
      <c r="F75" s="517"/>
      <c r="G75" s="517"/>
      <c r="H75" s="517"/>
      <c r="I75" s="517"/>
      <c r="J75" s="517"/>
      <c r="K75" s="518"/>
      <c r="L75" s="503"/>
    </row>
    <row r="76" spans="2:12" ht="27" hidden="1" customHeight="1">
      <c r="B76" s="497" t="str">
        <f>'[6]PLANILHA ORÇAMENTÁRIA'!D24</f>
        <v>4.3</v>
      </c>
      <c r="C76" s="1186" t="str">
        <f>'[6]PLANILHA ORÇAMENTÁRIA'!E24</f>
        <v>ALVENARIA DE EMBASAMENTO EM BLOCO CERAMICO, 8 FUROS, DE 9 X 19 X 19 CM, ASSENTADO COM ARGAMASSA TRACO 1:2:8 (CIMENTO, CAL E AREIA)</v>
      </c>
      <c r="D76" s="1186"/>
      <c r="E76" s="1186"/>
      <c r="F76" s="1186"/>
      <c r="G76" s="1186"/>
      <c r="H76" s="1186"/>
      <c r="I76" s="1186"/>
      <c r="J76" s="1186"/>
      <c r="K76" s="510" t="str">
        <f>'[6]PLANILHA ORÇAMENTÁRIA'!F24</f>
        <v>M3</v>
      </c>
      <c r="L76" s="511">
        <f>K83</f>
        <v>4.1775000000000002</v>
      </c>
    </row>
    <row r="77" spans="2:12" hidden="1">
      <c r="B77" s="501"/>
      <c r="C77" s="1190" t="s">
        <v>20</v>
      </c>
      <c r="D77" s="1190"/>
      <c r="E77" s="1190"/>
      <c r="F77" s="512" t="s">
        <v>22</v>
      </c>
      <c r="G77" s="693" t="s">
        <v>111</v>
      </c>
      <c r="H77" s="512" t="s">
        <v>112</v>
      </c>
      <c r="I77" s="693" t="s">
        <v>113</v>
      </c>
      <c r="J77" s="693" t="s">
        <v>114</v>
      </c>
      <c r="K77" s="513" t="s">
        <v>25</v>
      </c>
      <c r="L77" s="503"/>
    </row>
    <row r="78" spans="2:12" hidden="1">
      <c r="B78" s="501"/>
      <c r="C78" s="1191" t="s">
        <v>123</v>
      </c>
      <c r="D78" s="1191"/>
      <c r="E78" s="1191"/>
      <c r="F78" s="514">
        <v>2</v>
      </c>
      <c r="G78" s="514">
        <v>0.3</v>
      </c>
      <c r="H78" s="514">
        <v>0.4</v>
      </c>
      <c r="I78" s="514">
        <v>5.4</v>
      </c>
      <c r="J78" s="514"/>
      <c r="K78" s="515">
        <f>PRODUCT(F78:J78)</f>
        <v>1.296</v>
      </c>
      <c r="L78" s="503"/>
    </row>
    <row r="79" spans="2:12" hidden="1">
      <c r="B79" s="501"/>
      <c r="C79" s="1191" t="s">
        <v>124</v>
      </c>
      <c r="D79" s="1191"/>
      <c r="E79" s="1191"/>
      <c r="F79" s="514">
        <v>2</v>
      </c>
      <c r="G79" s="514">
        <v>0.3</v>
      </c>
      <c r="H79" s="514">
        <v>0.4</v>
      </c>
      <c r="I79" s="514">
        <v>3.6</v>
      </c>
      <c r="J79" s="514"/>
      <c r="K79" s="515">
        <f>PRODUCT(F79:J79)</f>
        <v>0.86399999999999999</v>
      </c>
      <c r="L79" s="503"/>
    </row>
    <row r="80" spans="2:12" hidden="1">
      <c r="B80" s="501"/>
      <c r="C80" s="1191" t="s">
        <v>125</v>
      </c>
      <c r="D80" s="1191"/>
      <c r="E80" s="1191"/>
      <c r="F80" s="514">
        <v>1</v>
      </c>
      <c r="G80" s="514">
        <v>0.3</v>
      </c>
      <c r="H80" s="514">
        <v>0.4</v>
      </c>
      <c r="I80" s="514">
        <v>3.6</v>
      </c>
      <c r="J80" s="514"/>
      <c r="K80" s="515">
        <f>PRODUCT(F80:J80)</f>
        <v>0.432</v>
      </c>
      <c r="L80" s="503"/>
    </row>
    <row r="81" spans="2:12" hidden="1">
      <c r="B81" s="501"/>
      <c r="C81" s="1191" t="s">
        <v>127</v>
      </c>
      <c r="D81" s="1191"/>
      <c r="E81" s="1191"/>
      <c r="F81" s="514">
        <v>1</v>
      </c>
      <c r="G81" s="514">
        <v>0.3</v>
      </c>
      <c r="H81" s="514">
        <v>0.25</v>
      </c>
      <c r="I81" s="514">
        <f>5.7+5.7+4.7</f>
        <v>16.100000000000001</v>
      </c>
      <c r="J81" s="514"/>
      <c r="K81" s="515">
        <f>PRODUCT(F81:I81)</f>
        <v>1.2075</v>
      </c>
      <c r="L81" s="503"/>
    </row>
    <row r="82" spans="2:12" hidden="1">
      <c r="B82" s="501"/>
      <c r="C82" s="1191" t="s">
        <v>126</v>
      </c>
      <c r="D82" s="1191"/>
      <c r="E82" s="1191"/>
      <c r="F82" s="514">
        <v>1</v>
      </c>
      <c r="G82" s="514">
        <v>0.3</v>
      </c>
      <c r="H82" s="514">
        <v>0.4</v>
      </c>
      <c r="I82" s="514">
        <v>3.15</v>
      </c>
      <c r="J82" s="514"/>
      <c r="K82" s="515">
        <f>PRODUCT(F82:J82)</f>
        <v>0.378</v>
      </c>
      <c r="L82" s="503"/>
    </row>
    <row r="83" spans="2:12" hidden="1">
      <c r="B83" s="501"/>
      <c r="C83" s="1192" t="s">
        <v>116</v>
      </c>
      <c r="D83" s="1192"/>
      <c r="E83" s="1192"/>
      <c r="F83" s="1192"/>
      <c r="G83" s="1192"/>
      <c r="H83" s="1192"/>
      <c r="I83" s="1192"/>
      <c r="J83" s="1192"/>
      <c r="K83" s="516">
        <f>SUM(K78:K82)</f>
        <v>4.1775000000000002</v>
      </c>
      <c r="L83" s="503"/>
    </row>
    <row r="84" spans="2:12" hidden="1">
      <c r="B84" s="501"/>
      <c r="C84" s="517"/>
      <c r="D84" s="517"/>
      <c r="E84" s="517"/>
      <c r="F84" s="517"/>
      <c r="G84" s="517"/>
      <c r="H84" s="517"/>
      <c r="I84" s="517"/>
      <c r="J84" s="517"/>
      <c r="K84" s="518"/>
      <c r="L84" s="503"/>
    </row>
    <row r="85" spans="2:12" ht="29.25" hidden="1" customHeight="1">
      <c r="B85" s="497" t="str">
        <f>'[6]PLANILHA ORÇAMENTÁRIA'!D25</f>
        <v>4.4</v>
      </c>
      <c r="C85" s="1186" t="str">
        <f>'[6]PLANILHA ORÇAMENTÁRIA'!E25</f>
        <v>ARMAÇÃO DE BLOCO, VIGA BALDRAME OU SAPATA UTILIZANDO AÇO CA-50 DE 10 MM - MONTAGEM. AF_06/2017</v>
      </c>
      <c r="D85" s="1186"/>
      <c r="E85" s="1186"/>
      <c r="F85" s="1186"/>
      <c r="G85" s="1186"/>
      <c r="H85" s="1186"/>
      <c r="I85" s="1186"/>
      <c r="J85" s="1186"/>
      <c r="K85" s="510" t="str">
        <f>'[6]PLANILHA ORÇAMENTÁRIA'!F25</f>
        <v>KG</v>
      </c>
      <c r="L85" s="511">
        <f>K88</f>
        <v>41.32</v>
      </c>
    </row>
    <row r="86" spans="2:12" hidden="1">
      <c r="B86" s="501"/>
      <c r="C86" s="1190" t="s">
        <v>20</v>
      </c>
      <c r="D86" s="1190"/>
      <c r="E86" s="1190"/>
      <c r="F86" s="512" t="s">
        <v>22</v>
      </c>
      <c r="G86" s="693" t="s">
        <v>113</v>
      </c>
      <c r="H86" s="512" t="s">
        <v>133</v>
      </c>
      <c r="I86" s="693" t="s">
        <v>112</v>
      </c>
      <c r="J86" s="693" t="s">
        <v>114</v>
      </c>
      <c r="K86" s="513" t="s">
        <v>25</v>
      </c>
      <c r="L86" s="503"/>
    </row>
    <row r="87" spans="2:12" ht="22.5" hidden="1" customHeight="1">
      <c r="B87" s="501"/>
      <c r="C87" s="1191" t="s">
        <v>134</v>
      </c>
      <c r="D87" s="1191"/>
      <c r="E87" s="1191"/>
      <c r="F87" s="514">
        <v>8</v>
      </c>
      <c r="G87" s="514">
        <v>8.1999999999999993</v>
      </c>
      <c r="H87" s="514">
        <v>0.63</v>
      </c>
      <c r="I87" s="514"/>
      <c r="J87" s="514"/>
      <c r="K87" s="694">
        <f>TRUNC((G87*H87)*F87,2)</f>
        <v>41.32</v>
      </c>
      <c r="L87" s="503"/>
    </row>
    <row r="88" spans="2:12" hidden="1">
      <c r="B88" s="501"/>
      <c r="C88" s="1192" t="s">
        <v>116</v>
      </c>
      <c r="D88" s="1192"/>
      <c r="E88" s="1192"/>
      <c r="F88" s="1192"/>
      <c r="G88" s="1192"/>
      <c r="H88" s="1192"/>
      <c r="I88" s="1192"/>
      <c r="J88" s="1192"/>
      <c r="K88" s="513">
        <f>SUM(K87:K87)</f>
        <v>41.32</v>
      </c>
      <c r="L88" s="503"/>
    </row>
    <row r="89" spans="2:12" hidden="1">
      <c r="B89" s="493"/>
      <c r="C89" s="493"/>
      <c r="D89" s="493"/>
      <c r="E89" s="493"/>
      <c r="F89" s="493"/>
      <c r="G89" s="493"/>
      <c r="H89" s="493"/>
      <c r="I89" s="493"/>
      <c r="J89" s="493"/>
      <c r="K89" s="493"/>
      <c r="L89" s="493"/>
    </row>
    <row r="90" spans="2:12" ht="27.75" hidden="1" customHeight="1">
      <c r="B90" s="497" t="str">
        <f>'[6]PLANILHA ORÇAMENTÁRIA'!D26</f>
        <v>4.5</v>
      </c>
      <c r="C90" s="1186" t="str">
        <f>'[6]PLANILHA ORÇAMENTÁRIA'!E26</f>
        <v>CONCRETAGEM DE BLOCOS DE COROAMENTO E VIGAS BALDRAMES, FCK 30 MPA, COM USO DE BOMBA LANÇAMENTO, ADENSAMENTO E ACABAMENTO. AF_06/2017</v>
      </c>
      <c r="D90" s="1186"/>
      <c r="E90" s="1186"/>
      <c r="F90" s="1186"/>
      <c r="G90" s="1186"/>
      <c r="H90" s="1186"/>
      <c r="I90" s="1186"/>
      <c r="J90" s="1186"/>
      <c r="K90" s="510" t="str">
        <f>'[6]PLANILHA ORÇAMENTÁRIA'!F26</f>
        <v>M3</v>
      </c>
      <c r="L90" s="511">
        <f>K93</f>
        <v>1.72</v>
      </c>
    </row>
    <row r="91" spans="2:12" hidden="1">
      <c r="B91" s="501"/>
      <c r="C91" s="1190" t="s">
        <v>20</v>
      </c>
      <c r="D91" s="1190"/>
      <c r="E91" s="1190"/>
      <c r="F91" s="512" t="s">
        <v>22</v>
      </c>
      <c r="G91" s="693" t="s">
        <v>111</v>
      </c>
      <c r="H91" s="512" t="s">
        <v>112</v>
      </c>
      <c r="I91" s="693" t="s">
        <v>113</v>
      </c>
      <c r="J91" s="693" t="s">
        <v>114</v>
      </c>
      <c r="K91" s="513" t="s">
        <v>25</v>
      </c>
      <c r="L91" s="503"/>
    </row>
    <row r="92" spans="2:12" hidden="1">
      <c r="B92" s="501"/>
      <c r="C92" s="1191" t="s">
        <v>135</v>
      </c>
      <c r="D92" s="1191"/>
      <c r="E92" s="1191"/>
      <c r="F92" s="514">
        <v>8</v>
      </c>
      <c r="G92" s="514">
        <v>0.6</v>
      </c>
      <c r="H92" s="514">
        <v>0.6</v>
      </c>
      <c r="I92" s="514">
        <v>0.6</v>
      </c>
      <c r="J92" s="514"/>
      <c r="K92" s="694">
        <f>TRUNC(G92*H92*F92*I92,2)</f>
        <v>1.72</v>
      </c>
      <c r="L92" s="503"/>
    </row>
    <row r="93" spans="2:12" hidden="1">
      <c r="B93" s="501"/>
      <c r="C93" s="1192" t="s">
        <v>116</v>
      </c>
      <c r="D93" s="1192"/>
      <c r="E93" s="1192"/>
      <c r="F93" s="1192"/>
      <c r="G93" s="1192"/>
      <c r="H93" s="1192"/>
      <c r="I93" s="1192"/>
      <c r="J93" s="1192"/>
      <c r="K93" s="513">
        <f>SUM(K92:K92)</f>
        <v>1.72</v>
      </c>
      <c r="L93" s="503"/>
    </row>
    <row r="94" spans="2:12" hidden="1">
      <c r="B94" s="493"/>
      <c r="C94" s="493"/>
      <c r="D94" s="493"/>
      <c r="E94" s="493"/>
      <c r="F94" s="493"/>
      <c r="G94" s="493"/>
      <c r="H94" s="493"/>
      <c r="I94" s="493"/>
      <c r="J94" s="493"/>
      <c r="K94" s="493"/>
      <c r="L94" s="493"/>
    </row>
    <row r="95" spans="2:12" ht="15" hidden="1" customHeight="1">
      <c r="B95" s="497" t="str">
        <f>'[6]PLANILHA ORÇAMENTÁRIA'!D27</f>
        <v>4.6</v>
      </c>
      <c r="C95" s="1186" t="str">
        <f>'[6]PLANILHA ORÇAMENTÁRIA'!E27</f>
        <v>IMPERMEABILIZAÇÃO DE ESTRUTURAS ENTERRADAS, COM TINTA ASFALTICA, DUAS DEMAOS.</v>
      </c>
      <c r="D95" s="1186"/>
      <c r="E95" s="1186"/>
      <c r="F95" s="1186"/>
      <c r="G95" s="1186"/>
      <c r="H95" s="1186"/>
      <c r="I95" s="1186"/>
      <c r="J95" s="1186"/>
      <c r="K95" s="510" t="str">
        <f>'[6]PLANILHA ORÇAMENTÁRIA'!F27</f>
        <v>M2</v>
      </c>
      <c r="L95" s="511">
        <f>K98</f>
        <v>23.88</v>
      </c>
    </row>
    <row r="96" spans="2:12" hidden="1">
      <c r="B96" s="501"/>
      <c r="C96" s="1190" t="s">
        <v>20</v>
      </c>
      <c r="D96" s="1190"/>
      <c r="E96" s="1190"/>
      <c r="F96" s="512" t="s">
        <v>22</v>
      </c>
      <c r="G96" s="693" t="s">
        <v>111</v>
      </c>
      <c r="H96" s="512" t="s">
        <v>112</v>
      </c>
      <c r="I96" s="693" t="s">
        <v>113</v>
      </c>
      <c r="J96" s="693" t="s">
        <v>136</v>
      </c>
      <c r="K96" s="513" t="s">
        <v>25</v>
      </c>
      <c r="L96" s="503"/>
    </row>
    <row r="97" spans="2:12" hidden="1">
      <c r="B97" s="501"/>
      <c r="C97" s="1191"/>
      <c r="D97" s="1191"/>
      <c r="E97" s="1191"/>
      <c r="F97" s="514"/>
      <c r="G97" s="514">
        <v>0.3</v>
      </c>
      <c r="H97" s="514">
        <v>0.15</v>
      </c>
      <c r="I97" s="514">
        <v>31.85</v>
      </c>
      <c r="J97" s="514">
        <v>2</v>
      </c>
      <c r="K97" s="694">
        <f>TRUNC((G97*I97*J97)+(H97*I97),2)</f>
        <v>23.88</v>
      </c>
      <c r="L97" s="503"/>
    </row>
    <row r="98" spans="2:12" hidden="1">
      <c r="B98" s="501"/>
      <c r="C98" s="1192" t="s">
        <v>116</v>
      </c>
      <c r="D98" s="1192"/>
      <c r="E98" s="1192"/>
      <c r="F98" s="1192"/>
      <c r="G98" s="1192"/>
      <c r="H98" s="1192"/>
      <c r="I98" s="1192"/>
      <c r="J98" s="1192"/>
      <c r="K98" s="513">
        <f>SUM(K97:K97)</f>
        <v>23.88</v>
      </c>
      <c r="L98" s="503"/>
    </row>
    <row r="99" spans="2:12" hidden="1">
      <c r="B99" s="493"/>
      <c r="C99" s="493"/>
      <c r="D99" s="493"/>
      <c r="E99" s="493"/>
      <c r="F99" s="493"/>
      <c r="G99" s="493"/>
      <c r="H99" s="493"/>
      <c r="I99" s="493"/>
      <c r="J99" s="493"/>
      <c r="K99" s="493"/>
      <c r="L99" s="493"/>
    </row>
    <row r="100" spans="2:12" hidden="1">
      <c r="B100" s="501" t="str">
        <f>'[6]PLANILHA ORÇAMENTÁRIA'!D28</f>
        <v>5.0</v>
      </c>
      <c r="C100" s="1193" t="str">
        <f>'[6]PLANILHA ORÇAMENTÁRIA'!E28</f>
        <v>ESTRUTURA EM CONCRETO ARMADO</v>
      </c>
      <c r="D100" s="1193"/>
      <c r="E100" s="1193"/>
      <c r="F100" s="1193"/>
      <c r="G100" s="1193"/>
      <c r="H100" s="1193"/>
      <c r="I100" s="1193"/>
      <c r="J100" s="1193"/>
      <c r="K100" s="497"/>
      <c r="L100" s="497"/>
    </row>
    <row r="101" spans="2:12" ht="15" hidden="1" customHeight="1">
      <c r="B101" s="497" t="e">
        <f>'[6]PLANILHA ORÇAMENTÁRIA'!#REF!</f>
        <v>#REF!</v>
      </c>
      <c r="C101" s="1186" t="e">
        <f>'[6]PLANILHA ORÇAMENTÁRIA'!#REF!</f>
        <v>#REF!</v>
      </c>
      <c r="D101" s="1186"/>
      <c r="E101" s="1186"/>
      <c r="F101" s="1186"/>
      <c r="G101" s="1186"/>
      <c r="H101" s="1186"/>
      <c r="I101" s="1186"/>
      <c r="J101" s="1186"/>
      <c r="K101" s="510" t="e">
        <f>'[6]PLANILHA ORÇAMENTÁRIA'!#REF!</f>
        <v>#REF!</v>
      </c>
      <c r="L101" s="511">
        <f>K104</f>
        <v>31.85</v>
      </c>
    </row>
    <row r="102" spans="2:12" hidden="1">
      <c r="B102" s="501"/>
      <c r="C102" s="1190" t="s">
        <v>20</v>
      </c>
      <c r="D102" s="1190"/>
      <c r="E102" s="1190"/>
      <c r="F102" s="512" t="s">
        <v>22</v>
      </c>
      <c r="G102" s="693" t="s">
        <v>111</v>
      </c>
      <c r="H102" s="512" t="s">
        <v>112</v>
      </c>
      <c r="I102" s="693" t="s">
        <v>113</v>
      </c>
      <c r="J102" s="693" t="s">
        <v>114</v>
      </c>
      <c r="K102" s="513" t="s">
        <v>25</v>
      </c>
      <c r="L102" s="503"/>
    </row>
    <row r="103" spans="2:12" hidden="1">
      <c r="B103" s="501"/>
      <c r="C103" s="1191" t="s">
        <v>137</v>
      </c>
      <c r="D103" s="1191"/>
      <c r="E103" s="1191"/>
      <c r="F103" s="514">
        <v>1</v>
      </c>
      <c r="G103" s="514"/>
      <c r="H103" s="514"/>
      <c r="I103" s="514">
        <v>31.85</v>
      </c>
      <c r="J103" s="514"/>
      <c r="K103" s="694">
        <f>I103*F103</f>
        <v>31.85</v>
      </c>
      <c r="L103" s="503"/>
    </row>
    <row r="104" spans="2:12" hidden="1">
      <c r="B104" s="501"/>
      <c r="C104" s="1192" t="s">
        <v>116</v>
      </c>
      <c r="D104" s="1192"/>
      <c r="E104" s="1192"/>
      <c r="F104" s="1192"/>
      <c r="G104" s="1192"/>
      <c r="H104" s="1192"/>
      <c r="I104" s="1192"/>
      <c r="J104" s="1192"/>
      <c r="K104" s="513">
        <f>SUM(K103:K103)</f>
        <v>31.85</v>
      </c>
      <c r="L104" s="503"/>
    </row>
    <row r="105" spans="2:12" hidden="1">
      <c r="B105" s="493"/>
      <c r="C105" s="493"/>
      <c r="D105" s="493"/>
      <c r="E105" s="493"/>
      <c r="F105" s="493"/>
      <c r="G105" s="493"/>
      <c r="H105" s="493"/>
      <c r="I105" s="493"/>
      <c r="J105" s="493"/>
      <c r="K105" s="493"/>
      <c r="L105" s="493"/>
    </row>
    <row r="106" spans="2:12" ht="15" hidden="1" customHeight="1">
      <c r="B106" s="497" t="str">
        <f>'[6]PLANILHA ORÇAMENTÁRIA'!D29</f>
        <v>5.1</v>
      </c>
      <c r="C106" s="1186" t="str">
        <f>'[6]PLANILHA ORÇAMENTÁRIA'!E29</f>
        <v>FORMA PLANA PARA PILARES, EM COMPENSADO RESINADO DE 14MM, 12 USOS, INCLUSIVE ESCORAMENTO</v>
      </c>
      <c r="D106" s="1186"/>
      <c r="E106" s="1186"/>
      <c r="F106" s="1186"/>
      <c r="G106" s="1186"/>
      <c r="H106" s="1186"/>
      <c r="I106" s="1186"/>
      <c r="J106" s="1186"/>
      <c r="K106" s="510" t="str">
        <f>'[6]PLANILHA ORÇAMENTÁRIA'!F29</f>
        <v>M2</v>
      </c>
      <c r="L106" s="511">
        <f>K111</f>
        <v>26.689999999999998</v>
      </c>
    </row>
    <row r="107" spans="2:12" hidden="1">
      <c r="B107" s="501"/>
      <c r="C107" s="1190" t="s">
        <v>20</v>
      </c>
      <c r="D107" s="1190"/>
      <c r="E107" s="1190"/>
      <c r="F107" s="512" t="s">
        <v>22</v>
      </c>
      <c r="G107" s="693" t="s">
        <v>111</v>
      </c>
      <c r="H107" s="512" t="s">
        <v>112</v>
      </c>
      <c r="I107" s="693" t="s">
        <v>113</v>
      </c>
      <c r="J107" s="693" t="s">
        <v>136</v>
      </c>
      <c r="K107" s="513" t="s">
        <v>25</v>
      </c>
      <c r="L107" s="503"/>
    </row>
    <row r="108" spans="2:12" hidden="1">
      <c r="B108" s="501"/>
      <c r="C108" s="1191" t="s">
        <v>138</v>
      </c>
      <c r="D108" s="1191"/>
      <c r="E108" s="1191"/>
      <c r="F108" s="514">
        <v>4</v>
      </c>
      <c r="G108" s="514">
        <v>5.05</v>
      </c>
      <c r="H108" s="514">
        <v>0.19</v>
      </c>
      <c r="I108" s="514">
        <v>0.19</v>
      </c>
      <c r="J108" s="514">
        <v>2</v>
      </c>
      <c r="K108" s="694">
        <f>TRUNC((H108*G108*J108*F108)+(I108*G108*J108*F108),2)</f>
        <v>15.35</v>
      </c>
      <c r="L108" s="503"/>
    </row>
    <row r="109" spans="2:12" hidden="1">
      <c r="B109" s="501"/>
      <c r="C109" s="1191" t="s">
        <v>138</v>
      </c>
      <c r="D109" s="1191"/>
      <c r="E109" s="1191"/>
      <c r="F109" s="514">
        <v>2</v>
      </c>
      <c r="G109" s="514">
        <v>3.7</v>
      </c>
      <c r="H109" s="514">
        <v>0.19</v>
      </c>
      <c r="I109" s="514">
        <v>0.19</v>
      </c>
      <c r="J109" s="514">
        <v>2</v>
      </c>
      <c r="K109" s="694">
        <f>TRUNC((H109*G109*J109*F109)+(I109*G109*J109*F109),2)</f>
        <v>5.62</v>
      </c>
      <c r="L109" s="503"/>
    </row>
    <row r="110" spans="2:12" hidden="1">
      <c r="B110" s="501"/>
      <c r="C110" s="1191" t="s">
        <v>139</v>
      </c>
      <c r="D110" s="1191"/>
      <c r="E110" s="1191"/>
      <c r="F110" s="514">
        <v>2</v>
      </c>
      <c r="G110" s="514">
        <v>2.6</v>
      </c>
      <c r="H110" s="514">
        <v>0.15</v>
      </c>
      <c r="I110" s="514">
        <v>0.4</v>
      </c>
      <c r="J110" s="514">
        <v>2</v>
      </c>
      <c r="K110" s="694">
        <f>TRUNC((H110*G110*J110*F110)+(I110*G110*J110*F110),2)</f>
        <v>5.72</v>
      </c>
      <c r="L110" s="503"/>
    </row>
    <row r="111" spans="2:12" hidden="1">
      <c r="B111" s="501"/>
      <c r="C111" s="1192" t="s">
        <v>116</v>
      </c>
      <c r="D111" s="1192"/>
      <c r="E111" s="1192"/>
      <c r="F111" s="1192"/>
      <c r="G111" s="1192"/>
      <c r="H111" s="1192"/>
      <c r="I111" s="1192"/>
      <c r="J111" s="1192"/>
      <c r="K111" s="513">
        <f>SUM(K108:K110)</f>
        <v>26.689999999999998</v>
      </c>
      <c r="L111" s="503"/>
    </row>
    <row r="112" spans="2:12" hidden="1">
      <c r="B112" s="493"/>
      <c r="C112" s="493"/>
      <c r="D112" s="493"/>
      <c r="E112" s="493"/>
      <c r="F112" s="493"/>
      <c r="G112" s="493"/>
      <c r="H112" s="493"/>
      <c r="I112" s="493"/>
      <c r="J112" s="493"/>
      <c r="K112" s="493"/>
      <c r="L112" s="493"/>
    </row>
    <row r="113" spans="2:12" ht="23.25" hidden="1" customHeight="1">
      <c r="B113" s="497" t="str">
        <f>'[6]PLANILHA ORÇAMENTÁRIA'!D30</f>
        <v>5.2</v>
      </c>
      <c r="C113" s="1186" t="str">
        <f>'[6]PLANILHA ORÇAMENTÁRIA'!E30</f>
        <v>ARMAÇÃO DE PILAR OU VIGA DE UMA ESTRUTURA CONVENCIONAL DE CONCRETO ARMADO EM UMA EDIFICAÇÃO TÉRREA OU SOBRADO UTILIZANDO AÇO CA-50 DE 10,0 MM - MONTAGEM. AF_12/2015</v>
      </c>
      <c r="D113" s="1186"/>
      <c r="E113" s="1186"/>
      <c r="F113" s="1186"/>
      <c r="G113" s="1186"/>
      <c r="H113" s="1186"/>
      <c r="I113" s="1186"/>
      <c r="J113" s="1186"/>
      <c r="K113" s="510" t="str">
        <f>'[6]PLANILHA ORÇAMENTÁRIA'!F30</f>
        <v>KG</v>
      </c>
      <c r="L113" s="511">
        <f>K120</f>
        <v>262.81</v>
      </c>
    </row>
    <row r="114" spans="2:12" hidden="1">
      <c r="B114" s="501"/>
      <c r="C114" s="1190" t="s">
        <v>20</v>
      </c>
      <c r="D114" s="1190"/>
      <c r="E114" s="1190"/>
      <c r="F114" s="512" t="s">
        <v>22</v>
      </c>
      <c r="G114" s="693" t="s">
        <v>113</v>
      </c>
      <c r="H114" s="512" t="s">
        <v>133</v>
      </c>
      <c r="I114" s="693" t="s">
        <v>112</v>
      </c>
      <c r="J114" s="693" t="s">
        <v>114</v>
      </c>
      <c r="K114" s="513" t="s">
        <v>25</v>
      </c>
      <c r="L114" s="503"/>
    </row>
    <row r="115" spans="2:12" hidden="1">
      <c r="B115" s="501"/>
      <c r="C115" s="1191" t="s">
        <v>140</v>
      </c>
      <c r="D115" s="1191"/>
      <c r="E115" s="1191"/>
      <c r="F115" s="514">
        <v>4</v>
      </c>
      <c r="G115" s="514">
        <f>5.05*4</f>
        <v>20.2</v>
      </c>
      <c r="H115" s="514">
        <v>0.63</v>
      </c>
      <c r="I115" s="514"/>
      <c r="J115" s="514"/>
      <c r="K115" s="694">
        <f>TRUNC((G115*F115)*H115,2)</f>
        <v>50.9</v>
      </c>
      <c r="L115" s="503"/>
    </row>
    <row r="116" spans="2:12" hidden="1">
      <c r="B116" s="501"/>
      <c r="C116" s="1191" t="s">
        <v>140</v>
      </c>
      <c r="D116" s="1191"/>
      <c r="E116" s="1191"/>
      <c r="F116" s="514">
        <v>2</v>
      </c>
      <c r="G116" s="514">
        <f>3.7*4</f>
        <v>14.8</v>
      </c>
      <c r="H116" s="514">
        <v>0.63</v>
      </c>
      <c r="I116" s="514"/>
      <c r="J116" s="514"/>
      <c r="K116" s="694">
        <f>TRUNC((G116*F116)*H116,2)</f>
        <v>18.64</v>
      </c>
      <c r="L116" s="503"/>
    </row>
    <row r="117" spans="2:12" hidden="1">
      <c r="B117" s="501"/>
      <c r="C117" s="1191" t="s">
        <v>141</v>
      </c>
      <c r="D117" s="1191"/>
      <c r="E117" s="1191"/>
      <c r="F117" s="514">
        <v>2</v>
      </c>
      <c r="G117" s="514">
        <f>2.6*6</f>
        <v>15.600000000000001</v>
      </c>
      <c r="H117" s="514">
        <v>0.63</v>
      </c>
      <c r="I117" s="514"/>
      <c r="J117" s="514"/>
      <c r="K117" s="694">
        <f>TRUNC((G117*F117)*H117,2)</f>
        <v>19.649999999999999</v>
      </c>
      <c r="L117" s="503"/>
    </row>
    <row r="118" spans="2:12" hidden="1">
      <c r="B118" s="501"/>
      <c r="C118" s="1191" t="s">
        <v>142</v>
      </c>
      <c r="D118" s="1191"/>
      <c r="E118" s="1191"/>
      <c r="F118" s="514">
        <v>2</v>
      </c>
      <c r="G118" s="514">
        <f>25.8*4</f>
        <v>103.2</v>
      </c>
      <c r="H118" s="514">
        <v>0.63</v>
      </c>
      <c r="I118" s="514"/>
      <c r="J118" s="514"/>
      <c r="K118" s="694">
        <f>TRUNC((G118*F118)*H118,2)</f>
        <v>130.03</v>
      </c>
      <c r="L118" s="503"/>
    </row>
    <row r="119" spans="2:12" hidden="1">
      <c r="B119" s="501"/>
      <c r="C119" s="1191" t="s">
        <v>142</v>
      </c>
      <c r="D119" s="1191"/>
      <c r="E119" s="1191"/>
      <c r="F119" s="514">
        <v>1</v>
      </c>
      <c r="G119" s="514">
        <f>17.3*4</f>
        <v>69.2</v>
      </c>
      <c r="H119" s="514">
        <v>0.63</v>
      </c>
      <c r="I119" s="514"/>
      <c r="J119" s="514"/>
      <c r="K119" s="694">
        <f>TRUNC((G119*F119)*H119,2)</f>
        <v>43.59</v>
      </c>
      <c r="L119" s="503"/>
    </row>
    <row r="120" spans="2:12" hidden="1">
      <c r="B120" s="501"/>
      <c r="C120" s="1192" t="s">
        <v>116</v>
      </c>
      <c r="D120" s="1192"/>
      <c r="E120" s="1192"/>
      <c r="F120" s="1192"/>
      <c r="G120" s="1192"/>
      <c r="H120" s="1192"/>
      <c r="I120" s="1192"/>
      <c r="J120" s="1192"/>
      <c r="K120" s="513">
        <f>SUM(K115:K119)</f>
        <v>262.81</v>
      </c>
      <c r="L120" s="503"/>
    </row>
    <row r="121" spans="2:12" hidden="1">
      <c r="B121" s="493"/>
      <c r="C121" s="493"/>
      <c r="D121" s="493"/>
      <c r="E121" s="493"/>
      <c r="F121" s="493"/>
      <c r="G121" s="493"/>
      <c r="H121" s="493"/>
      <c r="I121" s="493"/>
      <c r="J121" s="493"/>
      <c r="K121" s="493"/>
      <c r="L121" s="493"/>
    </row>
    <row r="122" spans="2:12" ht="27" hidden="1" customHeight="1">
      <c r="B122" s="497" t="str">
        <f>'[6]PLANILHA ORÇAMENTÁRIA'!D31</f>
        <v>5.3</v>
      </c>
      <c r="C122" s="1186" t="str">
        <f>'[6]PLANILHA ORÇAMENTÁRIA'!E31</f>
        <v>ARMAÇÃO DE PILAR OU VIGA DE UMA ESTRUTURA CONVENCIONAL DE CONCRETO ARMADO EM UMA EDIFICAÇÃO TÉRREA OU SOBRADO UTILIZANDO AÇO CA-60 DE 5,0 MM - MONTAGEM. AF_12/2015</v>
      </c>
      <c r="D122" s="1186"/>
      <c r="E122" s="1186"/>
      <c r="F122" s="1186"/>
      <c r="G122" s="1186"/>
      <c r="H122" s="1186"/>
      <c r="I122" s="1186"/>
      <c r="J122" s="1186"/>
      <c r="K122" s="510" t="str">
        <f>'[6]PLANILHA ORÇAMENTÁRIA'!F31</f>
        <v>KG</v>
      </c>
      <c r="L122" s="511">
        <f>K129</f>
        <v>67.75</v>
      </c>
    </row>
    <row r="123" spans="2:12" hidden="1">
      <c r="B123" s="501"/>
      <c r="C123" s="1190" t="s">
        <v>20</v>
      </c>
      <c r="D123" s="1190"/>
      <c r="E123" s="1190"/>
      <c r="F123" s="512" t="s">
        <v>22</v>
      </c>
      <c r="G123" s="693" t="s">
        <v>113</v>
      </c>
      <c r="H123" s="512" t="s">
        <v>143</v>
      </c>
      <c r="I123" s="512" t="s">
        <v>144</v>
      </c>
      <c r="J123" s="512" t="s">
        <v>133</v>
      </c>
      <c r="K123" s="513" t="s">
        <v>25</v>
      </c>
      <c r="L123" s="503"/>
    </row>
    <row r="124" spans="2:12" hidden="1">
      <c r="B124" s="501"/>
      <c r="C124" s="1191" t="s">
        <v>145</v>
      </c>
      <c r="D124" s="1191"/>
      <c r="E124" s="1191"/>
      <c r="F124" s="514">
        <v>4</v>
      </c>
      <c r="G124" s="514">
        <f>0.13+0.13+0.13+0.13+0.16</f>
        <v>0.68</v>
      </c>
      <c r="H124" s="514">
        <f>TRUNC(G108/0.2,2)</f>
        <v>25.25</v>
      </c>
      <c r="I124" s="514">
        <f>TRUNC(G124*H124,2)</f>
        <v>17.170000000000002</v>
      </c>
      <c r="J124" s="514">
        <v>0.16</v>
      </c>
      <c r="K124" s="694">
        <f>TRUNC((I124*G124*J124)*F124,2)</f>
        <v>7.47</v>
      </c>
      <c r="L124" s="503"/>
    </row>
    <row r="125" spans="2:12" hidden="1">
      <c r="B125" s="501"/>
      <c r="C125" s="1191" t="s">
        <v>145</v>
      </c>
      <c r="D125" s="1191"/>
      <c r="E125" s="1191"/>
      <c r="F125" s="514">
        <v>2</v>
      </c>
      <c r="G125" s="514">
        <f>0.13+0.13+0.13+0.13+0.16</f>
        <v>0.68</v>
      </c>
      <c r="H125" s="514">
        <f>TRUNC(G109/0.2,2)</f>
        <v>18.5</v>
      </c>
      <c r="I125" s="514">
        <f>TRUNC(G125*H125,2)</f>
        <v>12.58</v>
      </c>
      <c r="J125" s="514">
        <v>0.16</v>
      </c>
      <c r="K125" s="694">
        <f>TRUNC((I125*G125*J125)*F125,2)</f>
        <v>2.73</v>
      </c>
      <c r="L125" s="503"/>
    </row>
    <row r="126" spans="2:12" hidden="1">
      <c r="B126" s="501"/>
      <c r="C126" s="1191" t="s">
        <v>146</v>
      </c>
      <c r="D126" s="1191"/>
      <c r="E126" s="1191"/>
      <c r="F126" s="514">
        <v>2</v>
      </c>
      <c r="G126" s="514">
        <f>0.9+0.9+0.34+0.34+0.16</f>
        <v>2.64</v>
      </c>
      <c r="H126" s="514">
        <f>TRUNC(G110/0.2,2)</f>
        <v>13</v>
      </c>
      <c r="I126" s="514">
        <f>TRUNC(G126*H126,2)</f>
        <v>34.32</v>
      </c>
      <c r="J126" s="514">
        <v>0.16</v>
      </c>
      <c r="K126" s="694">
        <f>TRUNC((I126*G126*J126)*F126,2)</f>
        <v>28.99</v>
      </c>
      <c r="L126" s="503"/>
    </row>
    <row r="127" spans="2:12" hidden="1">
      <c r="B127" s="501"/>
      <c r="C127" s="1191" t="s">
        <v>147</v>
      </c>
      <c r="D127" s="1191"/>
      <c r="E127" s="1191"/>
      <c r="F127" s="514">
        <v>2</v>
      </c>
      <c r="G127" s="514">
        <f>0.09+0.09+0.19+0.19+0.16</f>
        <v>0.72000000000000008</v>
      </c>
      <c r="H127" s="514">
        <f>TRUNC(I140/0.2,2)</f>
        <v>129</v>
      </c>
      <c r="I127" s="514">
        <f>TRUNC(G127*H127,2)</f>
        <v>92.88</v>
      </c>
      <c r="J127" s="514">
        <v>0.16</v>
      </c>
      <c r="K127" s="694">
        <f>TRUNC((I127*G127*J127)*F127,2)</f>
        <v>21.39</v>
      </c>
      <c r="L127" s="503"/>
    </row>
    <row r="128" spans="2:12" hidden="1">
      <c r="B128" s="501"/>
      <c r="C128" s="1191" t="s">
        <v>147</v>
      </c>
      <c r="D128" s="1191"/>
      <c r="E128" s="1191"/>
      <c r="F128" s="514">
        <v>1</v>
      </c>
      <c r="G128" s="514">
        <f>0.09+0.09+0.19+0.19+0.16</f>
        <v>0.72000000000000008</v>
      </c>
      <c r="H128" s="514">
        <f>TRUNC(I141/0.2,2)</f>
        <v>86.5</v>
      </c>
      <c r="I128" s="514">
        <f>TRUNC(G128*H128,2)</f>
        <v>62.28</v>
      </c>
      <c r="J128" s="514">
        <v>0.16</v>
      </c>
      <c r="K128" s="694">
        <f>TRUNC((I128*G128*J128)*F128,2)</f>
        <v>7.17</v>
      </c>
      <c r="L128" s="503"/>
    </row>
    <row r="129" spans="2:12" hidden="1">
      <c r="B129" s="501"/>
      <c r="C129" s="1192" t="s">
        <v>116</v>
      </c>
      <c r="D129" s="1192"/>
      <c r="E129" s="1192"/>
      <c r="F129" s="1192"/>
      <c r="G129" s="1192"/>
      <c r="H129" s="1192"/>
      <c r="I129" s="1192"/>
      <c r="J129" s="1192"/>
      <c r="K129" s="513">
        <f>SUM(K124:K128)</f>
        <v>67.75</v>
      </c>
      <c r="L129" s="503"/>
    </row>
    <row r="130" spans="2:12" hidden="1">
      <c r="B130" s="501"/>
      <c r="C130" s="517"/>
      <c r="D130" s="517"/>
      <c r="E130" s="517"/>
      <c r="F130" s="517"/>
      <c r="G130" s="517"/>
      <c r="H130" s="517"/>
      <c r="I130" s="517"/>
      <c r="J130" s="517"/>
      <c r="K130" s="519"/>
      <c r="L130" s="503"/>
    </row>
    <row r="131" spans="2:12" ht="24.75" hidden="1" customHeight="1">
      <c r="B131" s="497" t="str">
        <f>'[6]PLANILHA ORÇAMENTÁRIA'!D32</f>
        <v>5.4</v>
      </c>
      <c r="C131" s="1186" t="str">
        <f>'[6]PLANILHA ORÇAMENTÁRIA'!E32</f>
        <v>CONCRETAGEM DE PILARES, FCK = 25 MPA, COM USO DE GRUA EM EDIFICAÇÃO COM SEÇÃO MÉDIA DE PILARES MAIOR QUE 0,25 M² - LANÇAMENTO, ADENSAMENTO E ACABAMENTO. AF_12/2015</v>
      </c>
      <c r="D131" s="1186"/>
      <c r="E131" s="1186"/>
      <c r="F131" s="1186"/>
      <c r="G131" s="1186"/>
      <c r="H131" s="1186"/>
      <c r="I131" s="1186"/>
      <c r="J131" s="1186"/>
      <c r="K131" s="510" t="str">
        <f>'[6]PLANILHA ORÇAMENTÁRIA'!F32</f>
        <v>M3</v>
      </c>
      <c r="L131" s="511">
        <f>K136</f>
        <v>1.29</v>
      </c>
    </row>
    <row r="132" spans="2:12" hidden="1">
      <c r="B132" s="501"/>
      <c r="C132" s="1190" t="s">
        <v>20</v>
      </c>
      <c r="D132" s="1190"/>
      <c r="E132" s="1190"/>
      <c r="F132" s="512" t="s">
        <v>22</v>
      </c>
      <c r="G132" s="693" t="s">
        <v>111</v>
      </c>
      <c r="H132" s="512" t="s">
        <v>112</v>
      </c>
      <c r="I132" s="693" t="s">
        <v>113</v>
      </c>
      <c r="J132" s="693" t="s">
        <v>114</v>
      </c>
      <c r="K132" s="513" t="s">
        <v>25</v>
      </c>
      <c r="L132" s="503"/>
    </row>
    <row r="133" spans="2:12" hidden="1">
      <c r="B133" s="501"/>
      <c r="C133" s="1191" t="s">
        <v>138</v>
      </c>
      <c r="D133" s="1191"/>
      <c r="E133" s="1191"/>
      <c r="F133" s="514">
        <v>4</v>
      </c>
      <c r="G133" s="514">
        <v>5.05</v>
      </c>
      <c r="H133" s="514">
        <v>0.19</v>
      </c>
      <c r="I133" s="514">
        <v>0.19</v>
      </c>
      <c r="J133" s="514"/>
      <c r="K133" s="694">
        <f>TRUNC(H133*I133*G133*F133,2)</f>
        <v>0.72</v>
      </c>
      <c r="L133" s="503"/>
    </row>
    <row r="134" spans="2:12" hidden="1">
      <c r="B134" s="501"/>
      <c r="C134" s="1191" t="s">
        <v>138</v>
      </c>
      <c r="D134" s="1191"/>
      <c r="E134" s="1191"/>
      <c r="F134" s="514">
        <v>2</v>
      </c>
      <c r="G134" s="514">
        <v>3.7</v>
      </c>
      <c r="H134" s="514">
        <v>0.19</v>
      </c>
      <c r="I134" s="514">
        <v>0.19</v>
      </c>
      <c r="J134" s="514"/>
      <c r="K134" s="694">
        <f>TRUNC(H134*I134*G134*F134,2)</f>
        <v>0.26</v>
      </c>
      <c r="L134" s="503"/>
    </row>
    <row r="135" spans="2:12" hidden="1">
      <c r="B135" s="501"/>
      <c r="C135" s="1191" t="s">
        <v>139</v>
      </c>
      <c r="D135" s="1191"/>
      <c r="E135" s="1191"/>
      <c r="F135" s="514">
        <v>2</v>
      </c>
      <c r="G135" s="514">
        <v>2.6</v>
      </c>
      <c r="H135" s="514">
        <v>0.15</v>
      </c>
      <c r="I135" s="514">
        <v>0.4</v>
      </c>
      <c r="J135" s="514"/>
      <c r="K135" s="694">
        <f>TRUNC(H135*I135*G135*F135,2)</f>
        <v>0.31</v>
      </c>
      <c r="L135" s="503"/>
    </row>
    <row r="136" spans="2:12" hidden="1">
      <c r="B136" s="501"/>
      <c r="C136" s="1192" t="s">
        <v>116</v>
      </c>
      <c r="D136" s="1192"/>
      <c r="E136" s="1192"/>
      <c r="F136" s="1192"/>
      <c r="G136" s="1192"/>
      <c r="H136" s="1192"/>
      <c r="I136" s="1192"/>
      <c r="J136" s="1192"/>
      <c r="K136" s="513">
        <f>SUM(K133:K135)</f>
        <v>1.29</v>
      </c>
      <c r="L136" s="503"/>
    </row>
    <row r="137" spans="2:12" hidden="1">
      <c r="B137" s="493"/>
      <c r="C137" s="493"/>
      <c r="D137" s="493"/>
      <c r="E137" s="493"/>
      <c r="F137" s="493"/>
      <c r="G137" s="493"/>
      <c r="H137" s="493"/>
      <c r="I137" s="493"/>
      <c r="J137" s="493"/>
      <c r="K137" s="493"/>
      <c r="L137" s="493"/>
    </row>
    <row r="138" spans="2:12" ht="15" hidden="1" customHeight="1">
      <c r="B138" s="497" t="str">
        <f>'[6]PLANILHA ORÇAMENTÁRIA'!D33</f>
        <v>5.5</v>
      </c>
      <c r="C138" s="1186" t="str">
        <f>'[6]PLANILHA ORÇAMENTÁRIA'!E33</f>
        <v>FORMA PLANA PARA VIGAS, EM COMPENSADO RESINADO DE 14MM, 12 USOS, INCLUSIVE ESCORAMENTO</v>
      </c>
      <c r="D138" s="1186"/>
      <c r="E138" s="1186"/>
      <c r="F138" s="1186"/>
      <c r="G138" s="1186"/>
      <c r="H138" s="1186"/>
      <c r="I138" s="1186"/>
      <c r="J138" s="1186"/>
      <c r="K138" s="510" t="str">
        <f>'[6]PLANILHA ORÇAMENTÁRIA'!F33</f>
        <v>M2</v>
      </c>
      <c r="L138" s="511">
        <f>K142</f>
        <v>16.77</v>
      </c>
    </row>
    <row r="139" spans="2:12" hidden="1">
      <c r="B139" s="501"/>
      <c r="C139" s="1190" t="s">
        <v>20</v>
      </c>
      <c r="D139" s="1190"/>
      <c r="E139" s="1190"/>
      <c r="F139" s="512" t="s">
        <v>22</v>
      </c>
      <c r="G139" s="693" t="s">
        <v>111</v>
      </c>
      <c r="H139" s="512" t="s">
        <v>112</v>
      </c>
      <c r="I139" s="693" t="s">
        <v>113</v>
      </c>
      <c r="J139" s="693" t="s">
        <v>148</v>
      </c>
      <c r="K139" s="513" t="s">
        <v>25</v>
      </c>
      <c r="L139" s="503"/>
    </row>
    <row r="140" spans="2:12" hidden="1">
      <c r="B140" s="501"/>
      <c r="C140" s="1191" t="s">
        <v>149</v>
      </c>
      <c r="D140" s="1191"/>
      <c r="E140" s="1191"/>
      <c r="F140" s="514">
        <v>2</v>
      </c>
      <c r="G140" s="514">
        <v>0.25</v>
      </c>
      <c r="H140" s="514">
        <v>0.15</v>
      </c>
      <c r="I140" s="514">
        <v>25.8</v>
      </c>
      <c r="J140" s="514">
        <v>2</v>
      </c>
      <c r="K140" s="694">
        <f>TRUNC((G140*I140*J140)+(H140*I140),2)</f>
        <v>16.77</v>
      </c>
      <c r="L140" s="503"/>
    </row>
    <row r="141" spans="2:12" hidden="1">
      <c r="B141" s="501"/>
      <c r="C141" s="1191" t="s">
        <v>149</v>
      </c>
      <c r="D141" s="1191"/>
      <c r="E141" s="1191"/>
      <c r="F141" s="514">
        <v>1</v>
      </c>
      <c r="G141" s="514">
        <v>0.25</v>
      </c>
      <c r="H141" s="514">
        <v>0.15</v>
      </c>
      <c r="I141" s="514">
        <v>17.3</v>
      </c>
      <c r="J141" s="514">
        <v>2</v>
      </c>
      <c r="K141" s="694">
        <f>TRUNC((G141*I141*J141)+(H141*I141),2)</f>
        <v>11.24</v>
      </c>
      <c r="L141" s="503"/>
    </row>
    <row r="142" spans="2:12" hidden="1">
      <c r="B142" s="501"/>
      <c r="C142" s="1192" t="s">
        <v>116</v>
      </c>
      <c r="D142" s="1192"/>
      <c r="E142" s="1192"/>
      <c r="F142" s="1192"/>
      <c r="G142" s="1192"/>
      <c r="H142" s="1192"/>
      <c r="I142" s="1192"/>
      <c r="J142" s="1192"/>
      <c r="K142" s="513">
        <f>SUM(K140:K140)</f>
        <v>16.77</v>
      </c>
      <c r="L142" s="503"/>
    </row>
    <row r="143" spans="2:12" hidden="1">
      <c r="B143" s="493"/>
      <c r="C143" s="493"/>
      <c r="D143" s="493"/>
      <c r="E143" s="493"/>
      <c r="F143" s="493"/>
      <c r="G143" s="493"/>
      <c r="H143" s="493"/>
      <c r="I143" s="493"/>
      <c r="J143" s="493"/>
      <c r="K143" s="493"/>
      <c r="L143" s="493"/>
    </row>
    <row r="144" spans="2:12" ht="25.5" hidden="1" customHeight="1">
      <c r="B144" s="497" t="str">
        <f>'[6]PLANILHA ORÇAMENTÁRIA'!D34</f>
        <v>5.6</v>
      </c>
      <c r="C144" s="1186" t="str">
        <f>'[6]PLANILHA ORÇAMENTÁRIA'!E34</f>
        <v>CONCRETAGEM DE VIGAS E LAJES, FCK=20 MPA, PARA LAJES MACIÇAS OU NERVURADAS COM GRUA DE CAÇAMBA DE 500 L EM EDIFICAÇÃO DE MULTIPAVIMENTOS ATÉ 16 ANDARES, COM ÁREA MÉDIA DE LAJES MAIOR QUE 20 M² - LANÇAMENTO, ADENSAMENTO E ACABAMENTO. AF_12/2015</v>
      </c>
      <c r="D144" s="1186"/>
      <c r="E144" s="1186"/>
      <c r="F144" s="1186"/>
      <c r="G144" s="1186"/>
      <c r="H144" s="1186"/>
      <c r="I144" s="1186"/>
      <c r="J144" s="1186"/>
      <c r="K144" s="510" t="str">
        <f>'[6]PLANILHA ORÇAMENTÁRIA'!F34</f>
        <v>M3</v>
      </c>
      <c r="L144" s="511">
        <f>K148</f>
        <v>2.57</v>
      </c>
    </row>
    <row r="145" spans="2:12" hidden="1">
      <c r="B145" s="501"/>
      <c r="C145" s="1190" t="s">
        <v>20</v>
      </c>
      <c r="D145" s="1190"/>
      <c r="E145" s="1190"/>
      <c r="F145" s="512" t="s">
        <v>22</v>
      </c>
      <c r="G145" s="693" t="s">
        <v>111</v>
      </c>
      <c r="H145" s="512" t="s">
        <v>112</v>
      </c>
      <c r="I145" s="693" t="s">
        <v>113</v>
      </c>
      <c r="J145" s="693" t="s">
        <v>114</v>
      </c>
      <c r="K145" s="513" t="s">
        <v>25</v>
      </c>
      <c r="L145" s="503"/>
    </row>
    <row r="146" spans="2:12" hidden="1">
      <c r="B146" s="501"/>
      <c r="C146" s="1191" t="s">
        <v>149</v>
      </c>
      <c r="D146" s="1191"/>
      <c r="E146" s="1191"/>
      <c r="F146" s="514">
        <v>2</v>
      </c>
      <c r="G146" s="514">
        <v>0.25</v>
      </c>
      <c r="H146" s="514">
        <v>0.15</v>
      </c>
      <c r="I146" s="514">
        <v>25.8</v>
      </c>
      <c r="J146" s="514"/>
      <c r="K146" s="694">
        <f>TRUNC(G146*H146*I146*F146,2)</f>
        <v>1.93</v>
      </c>
      <c r="L146" s="503"/>
    </row>
    <row r="147" spans="2:12" hidden="1">
      <c r="B147" s="501"/>
      <c r="C147" s="1191" t="s">
        <v>149</v>
      </c>
      <c r="D147" s="1191"/>
      <c r="E147" s="1191"/>
      <c r="F147" s="514">
        <v>1</v>
      </c>
      <c r="G147" s="514">
        <v>0.25</v>
      </c>
      <c r="H147" s="514">
        <v>0.15</v>
      </c>
      <c r="I147" s="514">
        <v>17.3</v>
      </c>
      <c r="J147" s="514"/>
      <c r="K147" s="694">
        <f>TRUNC(G147*H147*I147*F147,2)</f>
        <v>0.64</v>
      </c>
      <c r="L147" s="503"/>
    </row>
    <row r="148" spans="2:12" hidden="1">
      <c r="B148" s="501"/>
      <c r="C148" s="1192" t="s">
        <v>116</v>
      </c>
      <c r="D148" s="1192"/>
      <c r="E148" s="1192"/>
      <c r="F148" s="1192"/>
      <c r="G148" s="1192"/>
      <c r="H148" s="1192"/>
      <c r="I148" s="1192"/>
      <c r="J148" s="1192"/>
      <c r="K148" s="513">
        <f>SUM(K146:K147)</f>
        <v>2.57</v>
      </c>
      <c r="L148" s="503"/>
    </row>
    <row r="149" spans="2:12" hidden="1">
      <c r="B149" s="493"/>
      <c r="C149" s="493"/>
      <c r="D149" s="493"/>
      <c r="E149" s="493"/>
      <c r="F149" s="493"/>
      <c r="G149" s="493"/>
      <c r="H149" s="493"/>
      <c r="I149" s="493"/>
      <c r="J149" s="493"/>
      <c r="K149" s="493"/>
      <c r="L149" s="493"/>
    </row>
    <row r="150" spans="2:12" ht="29.25" hidden="1" customHeight="1">
      <c r="B150" s="497" t="str">
        <f>'[6]PLANILHA ORÇAMENTÁRIA'!D35</f>
        <v>5.7</v>
      </c>
      <c r="C150" s="1186" t="str">
        <f>'[6]PLANILHA ORÇAMENTÁRIA'!E35</f>
        <v>LAJE PRE-MOLDADA P/FORRO, SOBRECARGA 100KG/M2, VAOS ATE 3,50M/E=8CM, C/LAJOTAS E CAP.C/CONC FCK=20MPA, 3CM, INTER-EIXO 38CM, C/ESCORAMENTO (REAPR.3X) E FERRAGEM NEGATIVA</v>
      </c>
      <c r="D150" s="1186"/>
      <c r="E150" s="1186"/>
      <c r="F150" s="1186"/>
      <c r="G150" s="1186"/>
      <c r="H150" s="1186"/>
      <c r="I150" s="1186"/>
      <c r="J150" s="1186"/>
      <c r="K150" s="510" t="str">
        <f>'[6]PLANILHA ORÇAMENTÁRIA'!F35</f>
        <v>M2</v>
      </c>
      <c r="L150" s="511">
        <f>K154</f>
        <v>74.02</v>
      </c>
    </row>
    <row r="151" spans="2:12" hidden="1">
      <c r="B151" s="501"/>
      <c r="C151" s="1190" t="s">
        <v>20</v>
      </c>
      <c r="D151" s="1190"/>
      <c r="E151" s="1190"/>
      <c r="F151" s="512" t="s">
        <v>22</v>
      </c>
      <c r="G151" s="693" t="s">
        <v>111</v>
      </c>
      <c r="H151" s="512" t="s">
        <v>112</v>
      </c>
      <c r="I151" s="693" t="s">
        <v>113</v>
      </c>
      <c r="J151" s="693" t="s">
        <v>114</v>
      </c>
      <c r="K151" s="513" t="s">
        <v>25</v>
      </c>
      <c r="L151" s="503"/>
    </row>
    <row r="152" spans="2:12" hidden="1">
      <c r="B152" s="501"/>
      <c r="C152" s="1191" t="s">
        <v>150</v>
      </c>
      <c r="D152" s="1191"/>
      <c r="E152" s="1191"/>
      <c r="F152" s="514">
        <v>2</v>
      </c>
      <c r="G152" s="514"/>
      <c r="H152" s="514">
        <v>4.5</v>
      </c>
      <c r="I152" s="514">
        <v>6</v>
      </c>
      <c r="J152" s="514"/>
      <c r="K152" s="694">
        <f>TRUNC(H152*I152*F152,2)</f>
        <v>54</v>
      </c>
      <c r="L152" s="503"/>
    </row>
    <row r="153" spans="2:12" hidden="1">
      <c r="B153" s="501"/>
      <c r="C153" s="1191" t="s">
        <v>151</v>
      </c>
      <c r="D153" s="1191"/>
      <c r="E153" s="1191"/>
      <c r="F153" s="514">
        <v>1</v>
      </c>
      <c r="G153" s="514"/>
      <c r="H153" s="514">
        <v>4.45</v>
      </c>
      <c r="I153" s="514">
        <v>4.5</v>
      </c>
      <c r="J153" s="514"/>
      <c r="K153" s="694">
        <f>TRUNC(H153*I153*F153,2)</f>
        <v>20.02</v>
      </c>
      <c r="L153" s="503"/>
    </row>
    <row r="154" spans="2:12" hidden="1">
      <c r="B154" s="501"/>
      <c r="C154" s="1192" t="s">
        <v>116</v>
      </c>
      <c r="D154" s="1192"/>
      <c r="E154" s="1192"/>
      <c r="F154" s="1192"/>
      <c r="G154" s="1192"/>
      <c r="H154" s="1192"/>
      <c r="I154" s="1192"/>
      <c r="J154" s="1192"/>
      <c r="K154" s="513">
        <f>SUM(K152:K153)</f>
        <v>74.02</v>
      </c>
      <c r="L154" s="503"/>
    </row>
    <row r="155" spans="2:12" hidden="1">
      <c r="B155" s="493"/>
      <c r="C155" s="493"/>
      <c r="D155" s="493"/>
      <c r="E155" s="493"/>
      <c r="F155" s="493"/>
      <c r="G155" s="493"/>
      <c r="H155" s="493"/>
      <c r="I155" s="493"/>
      <c r="J155" s="493"/>
      <c r="K155" s="493"/>
      <c r="L155" s="493"/>
    </row>
    <row r="156" spans="2:12" ht="22.5" hidden="1" customHeight="1">
      <c r="B156" s="497" t="str">
        <f>'[6]PLANILHA ORÇAMENTÁRIA'!D36</f>
        <v>5.8</v>
      </c>
      <c r="C156" s="1186" t="str">
        <f>'[6]PLANILHA ORÇAMENTÁRIA'!E36</f>
        <v>IMPERMEABILIZAÇÃO DE PISO COM ARGAMASSA DE CIMENTO E AREIA, COM ADITIVO IMPERMEABILIZANTE, E = 2CM. AF_06/2018</v>
      </c>
      <c r="D156" s="1186"/>
      <c r="E156" s="1186"/>
      <c r="F156" s="1186"/>
      <c r="G156" s="1186"/>
      <c r="H156" s="1186"/>
      <c r="I156" s="1186"/>
      <c r="J156" s="1186"/>
      <c r="K156" s="510" t="str">
        <f>'[6]PLANILHA ORÇAMENTÁRIA'!F36</f>
        <v>M2</v>
      </c>
      <c r="L156" s="511">
        <f>K159</f>
        <v>27</v>
      </c>
    </row>
    <row r="157" spans="2:12" hidden="1">
      <c r="B157" s="501"/>
      <c r="C157" s="1190" t="s">
        <v>20</v>
      </c>
      <c r="D157" s="1190"/>
      <c r="E157" s="1190"/>
      <c r="F157" s="512" t="s">
        <v>22</v>
      </c>
      <c r="G157" s="693" t="s">
        <v>111</v>
      </c>
      <c r="H157" s="512" t="s">
        <v>112</v>
      </c>
      <c r="I157" s="693" t="s">
        <v>113</v>
      </c>
      <c r="J157" s="693" t="s">
        <v>114</v>
      </c>
      <c r="K157" s="513" t="s">
        <v>25</v>
      </c>
      <c r="L157" s="503"/>
    </row>
    <row r="158" spans="2:12" hidden="1">
      <c r="B158" s="501"/>
      <c r="C158" s="1191" t="s">
        <v>152</v>
      </c>
      <c r="D158" s="1191"/>
      <c r="E158" s="1191"/>
      <c r="F158" s="514">
        <v>1</v>
      </c>
      <c r="G158" s="514"/>
      <c r="H158" s="514">
        <v>4.5</v>
      </c>
      <c r="I158" s="514">
        <v>6</v>
      </c>
      <c r="J158" s="514"/>
      <c r="K158" s="694">
        <f>TRUNC(H158*I158*F158,2)</f>
        <v>27</v>
      </c>
      <c r="L158" s="503"/>
    </row>
    <row r="159" spans="2:12" hidden="1">
      <c r="B159" s="501"/>
      <c r="C159" s="1192" t="s">
        <v>116</v>
      </c>
      <c r="D159" s="1192"/>
      <c r="E159" s="1192"/>
      <c r="F159" s="1192"/>
      <c r="G159" s="1192"/>
      <c r="H159" s="1192"/>
      <c r="I159" s="1192"/>
      <c r="J159" s="1192"/>
      <c r="K159" s="513">
        <f>SUM(K158:K158)</f>
        <v>27</v>
      </c>
      <c r="L159" s="503"/>
    </row>
    <row r="160" spans="2:12" hidden="1">
      <c r="B160" s="493"/>
      <c r="C160" s="493"/>
      <c r="D160" s="493"/>
      <c r="E160" s="493"/>
      <c r="F160" s="493"/>
      <c r="G160" s="493"/>
      <c r="H160" s="493"/>
      <c r="I160" s="493"/>
      <c r="J160" s="493"/>
      <c r="K160" s="493"/>
      <c r="L160" s="493"/>
    </row>
    <row r="161" spans="2:12" ht="20.25" hidden="1" customHeight="1">
      <c r="B161" s="497" t="str">
        <f>'[6]PLANILHA ORÇAMENTÁRIA'!D37</f>
        <v>5.9</v>
      </c>
      <c r="C161" s="1186" t="str">
        <f>'[6]PLANILHA ORÇAMENTÁRIA'!E37</f>
        <v>TAMPA DE CONCRETO ARMADO 60X60X5CM PARA CAIXA</v>
      </c>
      <c r="D161" s="1186"/>
      <c r="E161" s="1186"/>
      <c r="F161" s="1186"/>
      <c r="G161" s="1186"/>
      <c r="H161" s="1186"/>
      <c r="I161" s="1186"/>
      <c r="J161" s="1186"/>
      <c r="K161" s="510" t="str">
        <f>'[6]PLANILHA ORÇAMENTÁRIA'!F37</f>
        <v>UND</v>
      </c>
      <c r="L161" s="511">
        <f>K164</f>
        <v>1</v>
      </c>
    </row>
    <row r="162" spans="2:12" hidden="1">
      <c r="B162" s="501"/>
      <c r="C162" s="1190" t="s">
        <v>20</v>
      </c>
      <c r="D162" s="1190"/>
      <c r="E162" s="1190"/>
      <c r="F162" s="512" t="s">
        <v>22</v>
      </c>
      <c r="G162" s="693" t="s">
        <v>111</v>
      </c>
      <c r="H162" s="512" t="s">
        <v>112</v>
      </c>
      <c r="I162" s="693" t="s">
        <v>113</v>
      </c>
      <c r="J162" s="693" t="s">
        <v>114</v>
      </c>
      <c r="K162" s="513" t="s">
        <v>25</v>
      </c>
      <c r="L162" s="503"/>
    </row>
    <row r="163" spans="2:12" hidden="1">
      <c r="B163" s="501"/>
      <c r="C163" s="1191" t="s">
        <v>153</v>
      </c>
      <c r="D163" s="1191"/>
      <c r="E163" s="1191"/>
      <c r="F163" s="514">
        <v>1</v>
      </c>
      <c r="G163" s="514"/>
      <c r="H163" s="514"/>
      <c r="I163" s="514"/>
      <c r="J163" s="514"/>
      <c r="K163" s="694">
        <f>F163</f>
        <v>1</v>
      </c>
      <c r="L163" s="503"/>
    </row>
    <row r="164" spans="2:12" hidden="1">
      <c r="B164" s="501"/>
      <c r="C164" s="1192" t="s">
        <v>116</v>
      </c>
      <c r="D164" s="1192"/>
      <c r="E164" s="1192"/>
      <c r="F164" s="1192"/>
      <c r="G164" s="1192"/>
      <c r="H164" s="1192"/>
      <c r="I164" s="1192"/>
      <c r="J164" s="1192"/>
      <c r="K164" s="513">
        <f>SUM(K163:K163)</f>
        <v>1</v>
      </c>
      <c r="L164" s="503"/>
    </row>
    <row r="165" spans="2:12" hidden="1">
      <c r="B165" s="501"/>
      <c r="C165" s="517"/>
      <c r="D165" s="517"/>
      <c r="E165" s="517"/>
      <c r="F165" s="517"/>
      <c r="G165" s="517"/>
      <c r="H165" s="517"/>
      <c r="I165" s="517"/>
      <c r="J165" s="517"/>
      <c r="K165" s="519"/>
      <c r="L165" s="503"/>
    </row>
    <row r="166" spans="2:12" hidden="1">
      <c r="B166" s="497" t="str">
        <f>'[6]PLANILHA ORÇAMENTÁRIA'!D38</f>
        <v>5.10</v>
      </c>
      <c r="C166" s="1186" t="str">
        <f>'[6]PLANILHA ORÇAMENTÁRIA'!E38</f>
        <v>VERGA PRÉ-MOLDADA PARA JANELAS COM ATÉ 1,5 M DE VÃO. AF_03/2016</v>
      </c>
      <c r="D166" s="1186"/>
      <c r="E166" s="1186"/>
      <c r="F166" s="1186"/>
      <c r="G166" s="1186"/>
      <c r="H166" s="1186"/>
      <c r="I166" s="1186"/>
      <c r="J166" s="1186"/>
      <c r="K166" s="510" t="str">
        <f>'[6]PLANILHA ORÇAMENTÁRIA'!F38</f>
        <v>M</v>
      </c>
      <c r="L166" s="511">
        <f>K169</f>
        <v>3.3000000000000003</v>
      </c>
    </row>
    <row r="167" spans="2:12" hidden="1">
      <c r="B167" s="501"/>
      <c r="C167" s="1190" t="s">
        <v>20</v>
      </c>
      <c r="D167" s="1190"/>
      <c r="E167" s="1190"/>
      <c r="F167" s="512" t="s">
        <v>22</v>
      </c>
      <c r="G167" s="693" t="s">
        <v>111</v>
      </c>
      <c r="H167" s="512" t="s">
        <v>112</v>
      </c>
      <c r="I167" s="693" t="s">
        <v>113</v>
      </c>
      <c r="J167" s="693" t="s">
        <v>114</v>
      </c>
      <c r="K167" s="513" t="s">
        <v>25</v>
      </c>
      <c r="L167" s="503"/>
    </row>
    <row r="168" spans="2:12" hidden="1">
      <c r="B168" s="501"/>
      <c r="C168" s="1191"/>
      <c r="D168" s="1191"/>
      <c r="E168" s="1191"/>
      <c r="F168" s="514">
        <v>3</v>
      </c>
      <c r="G168" s="514"/>
      <c r="H168" s="514"/>
      <c r="I168" s="514">
        <v>1.1000000000000001</v>
      </c>
      <c r="J168" s="514"/>
      <c r="K168" s="694">
        <f>F168*I168</f>
        <v>3.3000000000000003</v>
      </c>
      <c r="L168" s="503"/>
    </row>
    <row r="169" spans="2:12" hidden="1">
      <c r="B169" s="501"/>
      <c r="C169" s="1192" t="s">
        <v>116</v>
      </c>
      <c r="D169" s="1192"/>
      <c r="E169" s="1192"/>
      <c r="F169" s="1192"/>
      <c r="G169" s="1192"/>
      <c r="H169" s="1192"/>
      <c r="I169" s="1192"/>
      <c r="J169" s="1192"/>
      <c r="K169" s="513">
        <f>SUM(K168:K168)</f>
        <v>3.3000000000000003</v>
      </c>
      <c r="L169" s="503"/>
    </row>
    <row r="170" spans="2:12" hidden="1">
      <c r="B170" s="501"/>
      <c r="C170" s="517"/>
      <c r="D170" s="517"/>
      <c r="E170" s="517"/>
      <c r="F170" s="517"/>
      <c r="G170" s="517"/>
      <c r="H170" s="517"/>
      <c r="I170" s="517"/>
      <c r="J170" s="517"/>
      <c r="K170" s="519"/>
      <c r="L170" s="503"/>
    </row>
    <row r="171" spans="2:12" hidden="1">
      <c r="B171" s="497" t="str">
        <f>'[6]PLANILHA ORÇAMENTÁRIA'!D39</f>
        <v>5.11</v>
      </c>
      <c r="C171" s="1186" t="str">
        <f>'[6]PLANILHA ORÇAMENTÁRIA'!E39</f>
        <v>VERGA PRÉ-MOLDADA PARA PORTAS COM ATÉ 1,5 M DE VÃO. AF_03/2016</v>
      </c>
      <c r="D171" s="1186"/>
      <c r="E171" s="1186"/>
      <c r="F171" s="1186"/>
      <c r="G171" s="1186"/>
      <c r="H171" s="1186"/>
      <c r="I171" s="1186"/>
      <c r="J171" s="1186"/>
      <c r="K171" s="510" t="str">
        <f>'[6]PLANILHA ORÇAMENTÁRIA'!F39</f>
        <v>M</v>
      </c>
      <c r="L171" s="511">
        <f>K174</f>
        <v>3.3000000000000003</v>
      </c>
    </row>
    <row r="172" spans="2:12" hidden="1">
      <c r="B172" s="501"/>
      <c r="C172" s="1190" t="s">
        <v>20</v>
      </c>
      <c r="D172" s="1190"/>
      <c r="E172" s="1190"/>
      <c r="F172" s="512" t="s">
        <v>22</v>
      </c>
      <c r="G172" s="693" t="s">
        <v>111</v>
      </c>
      <c r="H172" s="512" t="s">
        <v>112</v>
      </c>
      <c r="I172" s="693" t="s">
        <v>113</v>
      </c>
      <c r="J172" s="693" t="s">
        <v>114</v>
      </c>
      <c r="K172" s="513" t="s">
        <v>25</v>
      </c>
      <c r="L172" s="503"/>
    </row>
    <row r="173" spans="2:12" ht="15" hidden="1" customHeight="1">
      <c r="B173" s="501"/>
      <c r="C173" s="1191"/>
      <c r="D173" s="1191"/>
      <c r="E173" s="1191"/>
      <c r="F173" s="514">
        <v>3</v>
      </c>
      <c r="G173" s="514"/>
      <c r="H173" s="514"/>
      <c r="I173" s="514">
        <v>1.1000000000000001</v>
      </c>
      <c r="J173" s="514"/>
      <c r="K173" s="694">
        <f>F173*I173</f>
        <v>3.3000000000000003</v>
      </c>
      <c r="L173" s="503"/>
    </row>
    <row r="174" spans="2:12" hidden="1">
      <c r="B174" s="501"/>
      <c r="C174" s="1192" t="s">
        <v>116</v>
      </c>
      <c r="D174" s="1192"/>
      <c r="E174" s="1192"/>
      <c r="F174" s="1192"/>
      <c r="G174" s="1192"/>
      <c r="H174" s="1192"/>
      <c r="I174" s="1192"/>
      <c r="J174" s="1192"/>
      <c r="K174" s="513">
        <f>SUM(K173:K173)</f>
        <v>3.3000000000000003</v>
      </c>
      <c r="L174" s="503"/>
    </row>
    <row r="175" spans="2:12" hidden="1">
      <c r="B175" s="501"/>
      <c r="C175" s="517"/>
      <c r="D175" s="517"/>
      <c r="E175" s="517"/>
      <c r="F175" s="517"/>
      <c r="G175" s="517"/>
      <c r="H175" s="517"/>
      <c r="I175" s="517"/>
      <c r="J175" s="517"/>
      <c r="K175" s="519"/>
      <c r="L175" s="503"/>
    </row>
    <row r="176" spans="2:12" hidden="1">
      <c r="B176" s="497" t="str">
        <f>'[6]PLANILHA ORÇAMENTÁRIA'!D40</f>
        <v>5.12</v>
      </c>
      <c r="C176" s="1186" t="str">
        <f>'[6]PLANILHA ORÇAMENTÁRIA'!E40</f>
        <v>CONTRAVERGA PRÉ-MOLDADA PARA VÃOS DE ATÉ 1,5 M DE COMPRIMENTO. AF_03/2016</v>
      </c>
      <c r="D176" s="1186"/>
      <c r="E176" s="1186"/>
      <c r="F176" s="1186"/>
      <c r="G176" s="1186"/>
      <c r="H176" s="1186"/>
      <c r="I176" s="1186"/>
      <c r="J176" s="1186"/>
      <c r="K176" s="510" t="str">
        <f>'[6]PLANILHA ORÇAMENTÁRIA'!F40</f>
        <v>M</v>
      </c>
      <c r="L176" s="511">
        <f>K179</f>
        <v>3.3000000000000003</v>
      </c>
    </row>
    <row r="177" spans="2:12" hidden="1">
      <c r="B177" s="501"/>
      <c r="C177" s="1190" t="s">
        <v>20</v>
      </c>
      <c r="D177" s="1190"/>
      <c r="E177" s="1190"/>
      <c r="F177" s="512" t="s">
        <v>22</v>
      </c>
      <c r="G177" s="693" t="s">
        <v>111</v>
      </c>
      <c r="H177" s="512" t="s">
        <v>112</v>
      </c>
      <c r="I177" s="693" t="s">
        <v>113</v>
      </c>
      <c r="J177" s="693" t="s">
        <v>114</v>
      </c>
      <c r="K177" s="513" t="s">
        <v>25</v>
      </c>
      <c r="L177" s="503"/>
    </row>
    <row r="178" spans="2:12" ht="15" hidden="1" customHeight="1">
      <c r="B178" s="501"/>
      <c r="C178" s="1191"/>
      <c r="D178" s="1191"/>
      <c r="E178" s="1191"/>
      <c r="F178" s="514">
        <v>3</v>
      </c>
      <c r="G178" s="514"/>
      <c r="H178" s="514"/>
      <c r="I178" s="514">
        <v>1.1000000000000001</v>
      </c>
      <c r="J178" s="514"/>
      <c r="K178" s="694">
        <f>F178*I178</f>
        <v>3.3000000000000003</v>
      </c>
      <c r="L178" s="503"/>
    </row>
    <row r="179" spans="2:12" hidden="1">
      <c r="B179" s="501"/>
      <c r="C179" s="1192" t="s">
        <v>116</v>
      </c>
      <c r="D179" s="1192"/>
      <c r="E179" s="1192"/>
      <c r="F179" s="1192"/>
      <c r="G179" s="1192"/>
      <c r="H179" s="1192"/>
      <c r="I179" s="1192"/>
      <c r="J179" s="1192"/>
      <c r="K179" s="513">
        <f>SUM(K178:K178)</f>
        <v>3.3000000000000003</v>
      </c>
      <c r="L179" s="503"/>
    </row>
    <row r="180" spans="2:12" hidden="1">
      <c r="B180" s="501"/>
      <c r="C180" s="517"/>
      <c r="D180" s="517"/>
      <c r="E180" s="517"/>
      <c r="F180" s="517"/>
      <c r="G180" s="517"/>
      <c r="H180" s="517"/>
      <c r="I180" s="517"/>
      <c r="J180" s="517"/>
      <c r="K180" s="519"/>
      <c r="L180" s="503"/>
    </row>
    <row r="181" spans="2:12" hidden="1">
      <c r="B181" s="501" t="str">
        <f>'[6]PLANILHA ORÇAMENTÁRIA'!D41</f>
        <v>6.0</v>
      </c>
      <c r="C181" s="1193" t="str">
        <f>'[6]PLANILHA ORÇAMENTÁRIA'!E41</f>
        <v>ALVENARIA DE VEDAÇÃO</v>
      </c>
      <c r="D181" s="1193"/>
      <c r="E181" s="1193"/>
      <c r="F181" s="1193"/>
      <c r="G181" s="1193"/>
      <c r="H181" s="1193"/>
      <c r="I181" s="1193"/>
      <c r="J181" s="1193"/>
      <c r="K181" s="497"/>
      <c r="L181" s="497"/>
    </row>
    <row r="182" spans="2:12" ht="23.25" hidden="1" customHeight="1">
      <c r="B182" s="497" t="str">
        <f>'[6]PLANILHA ORÇAMENTÁRIA'!D42</f>
        <v>6.1</v>
      </c>
      <c r="C182" s="1186" t="str">
        <f>'[6]PLANILHA ORÇAMENTÁRIA'!E42</f>
        <v>ALVENARIA DE BLOCO CERÂMICO FURADO (9x19x19)cm C/ARGAMASSA MISTA DE CAL HIDRATADA, ESP=9 cm</v>
      </c>
      <c r="D182" s="1186"/>
      <c r="E182" s="1186"/>
      <c r="F182" s="1186"/>
      <c r="G182" s="1186"/>
      <c r="H182" s="1186"/>
      <c r="I182" s="1186"/>
      <c r="J182" s="1186"/>
      <c r="K182" s="510" t="str">
        <f>'[6]PLANILHA ORÇAMENTÁRIA'!F42</f>
        <v>M2</v>
      </c>
      <c r="L182" s="511">
        <f>K187</f>
        <v>133.51999999999998</v>
      </c>
    </row>
    <row r="183" spans="2:12" hidden="1">
      <c r="B183" s="501"/>
      <c r="C183" s="1190" t="s">
        <v>20</v>
      </c>
      <c r="D183" s="1190"/>
      <c r="E183" s="1190"/>
      <c r="F183" s="512" t="s">
        <v>22</v>
      </c>
      <c r="G183" s="693" t="s">
        <v>111</v>
      </c>
      <c r="H183" s="512" t="s">
        <v>112</v>
      </c>
      <c r="I183" s="693" t="s">
        <v>154</v>
      </c>
      <c r="J183" s="693" t="s">
        <v>114</v>
      </c>
      <c r="K183" s="513" t="s">
        <v>25</v>
      </c>
      <c r="L183" s="503"/>
    </row>
    <row r="184" spans="2:12" hidden="1">
      <c r="B184" s="501"/>
      <c r="C184" s="1191" t="s">
        <v>155</v>
      </c>
      <c r="D184" s="1191"/>
      <c r="E184" s="1191"/>
      <c r="F184" s="514"/>
      <c r="G184" s="514">
        <v>2.6</v>
      </c>
      <c r="H184" s="514"/>
      <c r="I184" s="514">
        <f>(6.6*2)+(4.2*3)+3.15+2.16+(1.05*2)</f>
        <v>33.21</v>
      </c>
      <c r="J184" s="514">
        <v>3.88</v>
      </c>
      <c r="K184" s="694">
        <f>TRUNC((G184*I184)-J184,2)</f>
        <v>82.46</v>
      </c>
      <c r="L184" s="503"/>
    </row>
    <row r="185" spans="2:12" hidden="1">
      <c r="B185" s="501"/>
      <c r="C185" s="1191" t="s">
        <v>156</v>
      </c>
      <c r="D185" s="1191"/>
      <c r="E185" s="1191"/>
      <c r="F185" s="514"/>
      <c r="G185" s="514">
        <v>2.15</v>
      </c>
      <c r="H185" s="514"/>
      <c r="I185" s="514">
        <f>(6.6*2)+(4.2*2)</f>
        <v>21.6</v>
      </c>
      <c r="J185" s="514"/>
      <c r="K185" s="694">
        <f>TRUNC((G185*I185),2)</f>
        <v>46.44</v>
      </c>
      <c r="L185" s="503"/>
    </row>
    <row r="186" spans="2:12" hidden="1">
      <c r="B186" s="501"/>
      <c r="C186" s="1191" t="s">
        <v>157</v>
      </c>
      <c r="D186" s="1191"/>
      <c r="E186" s="1191"/>
      <c r="F186" s="514"/>
      <c r="G186" s="514">
        <v>2.1</v>
      </c>
      <c r="H186" s="514"/>
      <c r="I186" s="514">
        <v>2.2000000000000002</v>
      </c>
      <c r="J186" s="514"/>
      <c r="K186" s="694">
        <f>TRUNC((G186*I186),2)</f>
        <v>4.62</v>
      </c>
      <c r="L186" s="503"/>
    </row>
    <row r="187" spans="2:12" hidden="1">
      <c r="B187" s="501"/>
      <c r="C187" s="1192" t="s">
        <v>116</v>
      </c>
      <c r="D187" s="1192"/>
      <c r="E187" s="1192"/>
      <c r="F187" s="1192"/>
      <c r="G187" s="1192"/>
      <c r="H187" s="1192"/>
      <c r="I187" s="1192"/>
      <c r="J187" s="1192"/>
      <c r="K187" s="513">
        <f>SUM(K184:K186)</f>
        <v>133.51999999999998</v>
      </c>
      <c r="L187" s="503"/>
    </row>
    <row r="188" spans="2:12">
      <c r="B188" s="501"/>
      <c r="C188" s="517"/>
      <c r="D188" s="517"/>
      <c r="E188" s="517"/>
      <c r="F188" s="517"/>
      <c r="G188" s="517"/>
      <c r="H188" s="517"/>
      <c r="I188" s="517"/>
      <c r="J188" s="517"/>
      <c r="K188" s="519"/>
      <c r="L188" s="503"/>
    </row>
    <row r="189" spans="2:12">
      <c r="B189" s="692" t="s">
        <v>4</v>
      </c>
      <c r="C189" s="1242" t="s">
        <v>5</v>
      </c>
      <c r="D189" s="1242"/>
      <c r="E189" s="1242"/>
      <c r="F189" s="1242"/>
      <c r="G189" s="1242"/>
      <c r="H189" s="1242"/>
      <c r="I189" s="1242"/>
      <c r="J189" s="1242"/>
      <c r="K189" s="520"/>
      <c r="L189" s="520"/>
    </row>
    <row r="190" spans="2:12">
      <c r="B190" s="692"/>
      <c r="C190" s="575"/>
      <c r="D190" s="575"/>
      <c r="E190" s="575"/>
      <c r="F190" s="575"/>
      <c r="G190" s="575"/>
      <c r="H190" s="575"/>
      <c r="I190" s="575"/>
      <c r="J190" s="575"/>
      <c r="K190" s="520"/>
      <c r="L190" s="520"/>
    </row>
    <row r="191" spans="2:12" ht="28.5" customHeight="1">
      <c r="B191" s="692" t="s">
        <v>6</v>
      </c>
      <c r="C191" s="1157" t="str">
        <f>'[8]ESC. JULIO MARIA'!C16</f>
        <v>PLACA DE OBRA (PARA CONSTRUCAO CIVIL) EM CHAPA GALVANIZADA *N. 22*, ADESIVADA, DE *2,0 X 1,125* M</v>
      </c>
      <c r="D191" s="1158"/>
      <c r="E191" s="1158"/>
      <c r="F191" s="1158"/>
      <c r="G191" s="1158"/>
      <c r="H191" s="1158"/>
      <c r="I191" s="1158"/>
      <c r="J191" s="1159"/>
      <c r="K191" s="521" t="s">
        <v>7</v>
      </c>
      <c r="L191" s="522">
        <f>K194</f>
        <v>2.25</v>
      </c>
    </row>
    <row r="192" spans="2:12">
      <c r="B192" s="692"/>
      <c r="C192" s="1173" t="s">
        <v>20</v>
      </c>
      <c r="D192" s="1174"/>
      <c r="E192" s="1175"/>
      <c r="F192" s="523" t="s">
        <v>22</v>
      </c>
      <c r="G192" s="688" t="s">
        <v>111</v>
      </c>
      <c r="H192" s="523" t="s">
        <v>112</v>
      </c>
      <c r="I192" s="688" t="s">
        <v>113</v>
      </c>
      <c r="J192" s="688" t="s">
        <v>114</v>
      </c>
      <c r="K192" s="524" t="s">
        <v>25</v>
      </c>
      <c r="L192" s="1169" t="s">
        <v>30</v>
      </c>
    </row>
    <row r="193" spans="2:12">
      <c r="B193" s="692"/>
      <c r="C193" s="1164" t="s">
        <v>849</v>
      </c>
      <c r="D193" s="1165"/>
      <c r="E193" s="1166"/>
      <c r="F193" s="525">
        <v>1</v>
      </c>
      <c r="G193" s="525">
        <v>1.125</v>
      </c>
      <c r="H193" s="525">
        <v>2</v>
      </c>
      <c r="I193" s="525">
        <v>1</v>
      </c>
      <c r="J193" s="525">
        <v>0</v>
      </c>
      <c r="K193" s="689">
        <f>G193*H193</f>
        <v>2.25</v>
      </c>
      <c r="L193" s="1169"/>
    </row>
    <row r="194" spans="2:12">
      <c r="B194" s="692"/>
      <c r="C194" s="1170" t="s">
        <v>116</v>
      </c>
      <c r="D194" s="1171"/>
      <c r="E194" s="1171"/>
      <c r="F194" s="1171"/>
      <c r="G194" s="1171"/>
      <c r="H194" s="1171"/>
      <c r="I194" s="1171"/>
      <c r="J194" s="1172"/>
      <c r="K194" s="524">
        <f>SUM(K193:K193)</f>
        <v>2.25</v>
      </c>
      <c r="L194" s="1169"/>
    </row>
    <row r="195" spans="2:12">
      <c r="B195" s="692"/>
      <c r="C195" s="575"/>
      <c r="D195" s="575"/>
      <c r="E195" s="575"/>
      <c r="F195" s="575"/>
      <c r="G195" s="575"/>
      <c r="H195" s="575"/>
      <c r="I195" s="575"/>
      <c r="J195" s="575"/>
      <c r="K195" s="520"/>
      <c r="L195" s="520"/>
    </row>
    <row r="196" spans="2:12" ht="24.75" customHeight="1">
      <c r="B196" s="692" t="s">
        <v>29</v>
      </c>
      <c r="C196" s="1157" t="str">
        <f>'[8]ESC. JULIO MARIA'!C17</f>
        <v>DEMOLIÇÃO DE ALVENARIA DE BLOCO FURADO, DE FORMA MANUAL, SEM REAPROVEITAMENTO. AF_12/2017</v>
      </c>
      <c r="D196" s="1158"/>
      <c r="E196" s="1158"/>
      <c r="F196" s="1158"/>
      <c r="G196" s="1158"/>
      <c r="H196" s="1158"/>
      <c r="I196" s="1158"/>
      <c r="J196" s="1159"/>
      <c r="K196" s="521" t="s">
        <v>15</v>
      </c>
      <c r="L196" s="522">
        <f>K199</f>
        <v>4.8000000000000007</v>
      </c>
    </row>
    <row r="197" spans="2:12" ht="15" customHeight="1">
      <c r="B197" s="692"/>
      <c r="C197" s="1173" t="s">
        <v>20</v>
      </c>
      <c r="D197" s="1174"/>
      <c r="E197" s="1175"/>
      <c r="F197" s="523" t="s">
        <v>22</v>
      </c>
      <c r="G197" s="688" t="s">
        <v>111</v>
      </c>
      <c r="H197" s="523" t="s">
        <v>112</v>
      </c>
      <c r="I197" s="688" t="s">
        <v>113</v>
      </c>
      <c r="J197" s="688" t="s">
        <v>114</v>
      </c>
      <c r="K197" s="524" t="s">
        <v>25</v>
      </c>
      <c r="L197" s="1169" t="s">
        <v>708</v>
      </c>
    </row>
    <row r="198" spans="2:12">
      <c r="B198" s="692"/>
      <c r="C198" s="1164" t="s">
        <v>1216</v>
      </c>
      <c r="D198" s="1165"/>
      <c r="E198" s="1166"/>
      <c r="F198" s="525">
        <v>1</v>
      </c>
      <c r="G198" s="525">
        <v>3</v>
      </c>
      <c r="H198" s="525">
        <v>0.2</v>
      </c>
      <c r="I198" s="525">
        <v>8</v>
      </c>
      <c r="J198" s="525">
        <v>0</v>
      </c>
      <c r="K198" s="689">
        <f>G198*H198*I198</f>
        <v>4.8000000000000007</v>
      </c>
      <c r="L198" s="1169"/>
    </row>
    <row r="199" spans="2:12">
      <c r="B199" s="692"/>
      <c r="C199" s="1170" t="s">
        <v>116</v>
      </c>
      <c r="D199" s="1171"/>
      <c r="E199" s="1171"/>
      <c r="F199" s="1171"/>
      <c r="G199" s="1171"/>
      <c r="H199" s="1171"/>
      <c r="I199" s="1171"/>
      <c r="J199" s="1172"/>
      <c r="K199" s="524">
        <f>SUM(K198:K198)</f>
        <v>4.8000000000000007</v>
      </c>
      <c r="L199" s="1169"/>
    </row>
    <row r="200" spans="2:12">
      <c r="B200" s="692"/>
      <c r="C200" s="575"/>
      <c r="D200" s="575"/>
      <c r="E200" s="575"/>
      <c r="F200" s="575"/>
      <c r="G200" s="575"/>
      <c r="H200" s="575"/>
      <c r="I200" s="575"/>
      <c r="J200" s="575"/>
      <c r="K200" s="520"/>
      <c r="L200" s="520"/>
    </row>
    <row r="201" spans="2:12">
      <c r="B201" s="692" t="s">
        <v>11</v>
      </c>
      <c r="C201" s="575" t="s">
        <v>57</v>
      </c>
      <c r="D201" s="575"/>
      <c r="E201" s="575"/>
      <c r="F201" s="575"/>
      <c r="G201" s="575"/>
      <c r="H201" s="575"/>
      <c r="I201" s="575"/>
      <c r="J201" s="575"/>
      <c r="K201" s="520"/>
      <c r="L201" s="520"/>
    </row>
    <row r="202" spans="2:12" ht="29.25" customHeight="1">
      <c r="B202" s="692" t="s">
        <v>29</v>
      </c>
      <c r="C202" s="1157" t="str">
        <f>'[8]ESC. JULIO MARIA'!C19</f>
        <v>RETIRADA E RECOLOCAÇÃO DE TELHA CERÂMICA CAPA-CANAL, COM ATÉ DUAS ÁGUAS, INCLUSO IÇAMENTO. AF_07/2019</v>
      </c>
      <c r="D202" s="1158"/>
      <c r="E202" s="1158"/>
      <c r="F202" s="1158"/>
      <c r="G202" s="1158"/>
      <c r="H202" s="1158"/>
      <c r="I202" s="1158"/>
      <c r="J202" s="1159"/>
      <c r="K202" s="521" t="s">
        <v>7</v>
      </c>
      <c r="L202" s="522">
        <f>K205</f>
        <v>724.91</v>
      </c>
    </row>
    <row r="203" spans="2:12">
      <c r="B203" s="692"/>
      <c r="C203" s="1173" t="s">
        <v>20</v>
      </c>
      <c r="D203" s="1174"/>
      <c r="E203" s="1175"/>
      <c r="F203" s="523" t="s">
        <v>22</v>
      </c>
      <c r="G203" s="688" t="s">
        <v>111</v>
      </c>
      <c r="H203" s="523" t="s">
        <v>112</v>
      </c>
      <c r="I203" s="688" t="s">
        <v>113</v>
      </c>
      <c r="J203" s="688" t="s">
        <v>114</v>
      </c>
      <c r="K203" s="524" t="s">
        <v>25</v>
      </c>
      <c r="L203" s="1161" t="s">
        <v>30</v>
      </c>
    </row>
    <row r="204" spans="2:12">
      <c r="B204" s="692"/>
      <c r="C204" s="1164" t="s">
        <v>510</v>
      </c>
      <c r="D204" s="1165"/>
      <c r="E204" s="1166"/>
      <c r="F204" s="525">
        <f>'[8]ESC. JULIO MARIA'!E19</f>
        <v>724.91</v>
      </c>
      <c r="G204" s="525">
        <v>1</v>
      </c>
      <c r="H204" s="525">
        <v>1</v>
      </c>
      <c r="I204" s="525">
        <v>1</v>
      </c>
      <c r="J204" s="525">
        <v>0</v>
      </c>
      <c r="K204" s="689">
        <f>I204*H204*F204</f>
        <v>724.91</v>
      </c>
      <c r="L204" s="1162"/>
    </row>
    <row r="205" spans="2:12">
      <c r="B205" s="692"/>
      <c r="C205" s="1170" t="s">
        <v>116</v>
      </c>
      <c r="D205" s="1171"/>
      <c r="E205" s="1171"/>
      <c r="F205" s="1171"/>
      <c r="G205" s="1171"/>
      <c r="H205" s="1171"/>
      <c r="I205" s="1171"/>
      <c r="J205" s="1172"/>
      <c r="K205" s="524">
        <f>SUM(K204:K204)</f>
        <v>724.91</v>
      </c>
      <c r="L205" s="1163"/>
    </row>
    <row r="206" spans="2:12">
      <c r="B206" s="692"/>
      <c r="C206" s="575"/>
      <c r="D206" s="575"/>
      <c r="E206" s="575"/>
      <c r="F206" s="575"/>
      <c r="G206" s="575"/>
      <c r="H206" s="575"/>
      <c r="I206" s="575"/>
      <c r="J206" s="575"/>
      <c r="K206" s="520"/>
      <c r="L206" s="520"/>
    </row>
    <row r="207" spans="2:12" hidden="1">
      <c r="B207" s="501"/>
      <c r="C207" s="1190" t="s">
        <v>20</v>
      </c>
      <c r="D207" s="1190"/>
      <c r="E207" s="1190"/>
      <c r="F207" s="512" t="s">
        <v>22</v>
      </c>
      <c r="G207" s="693" t="s">
        <v>111</v>
      </c>
      <c r="H207" s="512" t="s">
        <v>112</v>
      </c>
      <c r="I207" s="693" t="s">
        <v>154</v>
      </c>
      <c r="J207" s="693" t="s">
        <v>114</v>
      </c>
      <c r="K207" s="513" t="s">
        <v>25</v>
      </c>
      <c r="L207" s="503"/>
    </row>
    <row r="208" spans="2:12" hidden="1">
      <c r="B208" s="501"/>
      <c r="C208" s="1191" t="s">
        <v>159</v>
      </c>
      <c r="D208" s="1191"/>
      <c r="E208" s="1191"/>
      <c r="F208" s="514">
        <v>1</v>
      </c>
      <c r="G208" s="514">
        <v>5.05</v>
      </c>
      <c r="H208" s="514"/>
      <c r="I208" s="514">
        <f>6.6*2</f>
        <v>13.2</v>
      </c>
      <c r="J208" s="514">
        <v>3.88</v>
      </c>
      <c r="K208" s="694">
        <f>TRUNC(((G208*I208)*F208)-J208,2)</f>
        <v>62.78</v>
      </c>
      <c r="L208" s="503"/>
    </row>
    <row r="209" spans="2:12" hidden="1">
      <c r="B209" s="501"/>
      <c r="C209" s="1191" t="s">
        <v>156</v>
      </c>
      <c r="D209" s="1191"/>
      <c r="E209" s="1191"/>
      <c r="F209" s="514">
        <v>1</v>
      </c>
      <c r="G209" s="514">
        <v>5.05</v>
      </c>
      <c r="H209" s="514"/>
      <c r="I209" s="514">
        <v>9</v>
      </c>
      <c r="J209" s="514"/>
      <c r="K209" s="694">
        <f>TRUNC(((G209*I209)*F209),2)</f>
        <v>45.45</v>
      </c>
      <c r="L209" s="503"/>
    </row>
    <row r="210" spans="2:12" hidden="1">
      <c r="B210" s="501"/>
      <c r="C210" s="1191" t="s">
        <v>160</v>
      </c>
      <c r="D210" s="1191"/>
      <c r="E210" s="1191"/>
      <c r="F210" s="514">
        <v>2</v>
      </c>
      <c r="G210" s="514">
        <v>2.6</v>
      </c>
      <c r="H210" s="514"/>
      <c r="I210" s="514">
        <f>4.2+3.15+2.15+(1.05*2)</f>
        <v>11.6</v>
      </c>
      <c r="J210" s="514"/>
      <c r="K210" s="694">
        <f>TRUNC(((G210*I210)*F210),2)</f>
        <v>60.32</v>
      </c>
      <c r="L210" s="503"/>
    </row>
    <row r="211" spans="2:12" hidden="1">
      <c r="B211" s="501"/>
      <c r="C211" s="1191" t="s">
        <v>161</v>
      </c>
      <c r="D211" s="1191"/>
      <c r="E211" s="1191"/>
      <c r="F211" s="514">
        <v>2</v>
      </c>
      <c r="G211" s="514">
        <v>2.1</v>
      </c>
      <c r="H211" s="514"/>
      <c r="I211" s="514">
        <v>2.2000000000000002</v>
      </c>
      <c r="J211" s="514"/>
      <c r="K211" s="694">
        <f>TRUNC(((G211*I211)*F211),2)</f>
        <v>9.24</v>
      </c>
      <c r="L211" s="503"/>
    </row>
    <row r="212" spans="2:12" hidden="1">
      <c r="B212" s="501"/>
      <c r="C212" s="1192" t="s">
        <v>116</v>
      </c>
      <c r="D212" s="1192"/>
      <c r="E212" s="1192"/>
      <c r="F212" s="1192"/>
      <c r="G212" s="1192"/>
      <c r="H212" s="1192"/>
      <c r="I212" s="1192"/>
      <c r="J212" s="1192"/>
      <c r="K212" s="513">
        <f>SUM(K208:K211)</f>
        <v>177.79000000000002</v>
      </c>
      <c r="L212" s="503"/>
    </row>
    <row r="213" spans="2:12" hidden="1">
      <c r="B213" s="493"/>
      <c r="C213" s="493"/>
      <c r="D213" s="493"/>
      <c r="E213" s="493"/>
      <c r="F213" s="493"/>
      <c r="G213" s="493"/>
      <c r="H213" s="493"/>
      <c r="I213" s="493"/>
      <c r="J213" s="493"/>
      <c r="K213" s="493"/>
      <c r="L213" s="493"/>
    </row>
    <row r="214" spans="2:12" ht="24" hidden="1" customHeight="1">
      <c r="B214" s="497" t="str">
        <f>'[6]PLANILHA ORÇAMENTÁRIA'!D49</f>
        <v>8.2</v>
      </c>
      <c r="C214" s="1186" t="str">
        <f>'[6]PLANILHA ORÇAMENTÁRIA'!E49</f>
        <v>EMBOÇO, PARA RECEBIMENTO DE CERÂMICA, EM ARGAMASSA TRAÇO 1:2:8, PREPARO MECÂNICO COM BETONEIRA 400L, APLICADO MANUALMENTE EM FACES INTERNAS DE PAREDES, PARA AMBIENTE COM ÁREA MAIOR QUE 10M2, ESPESSURA DE 10MM, COM EXECUÇÃO DE TALISCAS. AF_06/2014</v>
      </c>
      <c r="D214" s="1186"/>
      <c r="E214" s="1186"/>
      <c r="F214" s="1186"/>
      <c r="G214" s="1186"/>
      <c r="H214" s="1186"/>
      <c r="I214" s="1186"/>
      <c r="J214" s="1186"/>
      <c r="K214" s="510" t="str">
        <f>'[6]PLANILHA ORÇAMENTÁRIA'!F49</f>
        <v>M2</v>
      </c>
      <c r="L214" s="511">
        <f>K220</f>
        <v>177.79000000000002</v>
      </c>
    </row>
    <row r="215" spans="2:12" hidden="1">
      <c r="B215" s="501"/>
      <c r="C215" s="1190" t="s">
        <v>20</v>
      </c>
      <c r="D215" s="1190"/>
      <c r="E215" s="1190"/>
      <c r="F215" s="512" t="s">
        <v>22</v>
      </c>
      <c r="G215" s="693" t="s">
        <v>111</v>
      </c>
      <c r="H215" s="512" t="s">
        <v>112</v>
      </c>
      <c r="I215" s="693" t="s">
        <v>154</v>
      </c>
      <c r="J215" s="693" t="s">
        <v>114</v>
      </c>
      <c r="K215" s="513" t="s">
        <v>25</v>
      </c>
      <c r="L215" s="503"/>
    </row>
    <row r="216" spans="2:12" ht="15" hidden="1" customHeight="1">
      <c r="B216" s="501"/>
      <c r="C216" s="1191" t="s">
        <v>159</v>
      </c>
      <c r="D216" s="1191"/>
      <c r="E216" s="1191"/>
      <c r="F216" s="514">
        <v>1</v>
      </c>
      <c r="G216" s="514">
        <v>5.05</v>
      </c>
      <c r="H216" s="514"/>
      <c r="I216" s="514">
        <f>6.6*2</f>
        <v>13.2</v>
      </c>
      <c r="J216" s="514">
        <v>3.88</v>
      </c>
      <c r="K216" s="694">
        <f>TRUNC(((G216*I216)*F216)-J216,2)</f>
        <v>62.78</v>
      </c>
      <c r="L216" s="503"/>
    </row>
    <row r="217" spans="2:12" hidden="1">
      <c r="B217" s="501"/>
      <c r="C217" s="1191" t="s">
        <v>156</v>
      </c>
      <c r="D217" s="1191"/>
      <c r="E217" s="1191"/>
      <c r="F217" s="514">
        <v>1</v>
      </c>
      <c r="G217" s="514">
        <v>5.05</v>
      </c>
      <c r="H217" s="514"/>
      <c r="I217" s="514">
        <v>9</v>
      </c>
      <c r="J217" s="514"/>
      <c r="K217" s="694">
        <f>TRUNC(((G217*I217)*F217),2)</f>
        <v>45.45</v>
      </c>
      <c r="L217" s="503"/>
    </row>
    <row r="218" spans="2:12" ht="15" hidden="1" customHeight="1">
      <c r="B218" s="501"/>
      <c r="C218" s="1191" t="s">
        <v>160</v>
      </c>
      <c r="D218" s="1191"/>
      <c r="E218" s="1191"/>
      <c r="F218" s="514">
        <v>2</v>
      </c>
      <c r="G218" s="514">
        <v>2.6</v>
      </c>
      <c r="H218" s="514"/>
      <c r="I218" s="514">
        <f>4.2+3.15+2.15+(1.05*2)</f>
        <v>11.6</v>
      </c>
      <c r="J218" s="514"/>
      <c r="K218" s="694">
        <f>TRUNC(((G218*I218)*F218),2)</f>
        <v>60.32</v>
      </c>
      <c r="L218" s="503"/>
    </row>
    <row r="219" spans="2:12" ht="15" hidden="1" customHeight="1">
      <c r="B219" s="501"/>
      <c r="C219" s="1191" t="s">
        <v>161</v>
      </c>
      <c r="D219" s="1191"/>
      <c r="E219" s="1191"/>
      <c r="F219" s="514">
        <v>2</v>
      </c>
      <c r="G219" s="514">
        <v>2.1</v>
      </c>
      <c r="H219" s="514"/>
      <c r="I219" s="514">
        <v>2.2000000000000002</v>
      </c>
      <c r="J219" s="514"/>
      <c r="K219" s="694">
        <f>TRUNC(((G219*I219)*F219),2)</f>
        <v>9.24</v>
      </c>
      <c r="L219" s="503"/>
    </row>
    <row r="220" spans="2:12" hidden="1">
      <c r="B220" s="501"/>
      <c r="C220" s="1192" t="s">
        <v>116</v>
      </c>
      <c r="D220" s="1192"/>
      <c r="E220" s="1192"/>
      <c r="F220" s="1192"/>
      <c r="G220" s="1192"/>
      <c r="H220" s="1192"/>
      <c r="I220" s="1192"/>
      <c r="J220" s="1192"/>
      <c r="K220" s="513">
        <f>SUM(K216:K219)</f>
        <v>177.79000000000002</v>
      </c>
      <c r="L220" s="503"/>
    </row>
    <row r="221" spans="2:12" hidden="1">
      <c r="B221" s="493"/>
      <c r="C221" s="493"/>
      <c r="D221" s="493"/>
      <c r="E221" s="493"/>
      <c r="F221" s="493"/>
      <c r="G221" s="493"/>
      <c r="H221" s="493"/>
      <c r="I221" s="493"/>
      <c r="J221" s="493"/>
      <c r="K221" s="493"/>
      <c r="L221" s="493"/>
    </row>
    <row r="222" spans="2:12" hidden="1">
      <c r="B222" s="501"/>
      <c r="C222" s="1192" t="s">
        <v>116</v>
      </c>
      <c r="D222" s="1192"/>
      <c r="E222" s="1192"/>
      <c r="F222" s="1192"/>
      <c r="G222" s="1192"/>
      <c r="H222" s="1192"/>
      <c r="I222" s="1192"/>
      <c r="J222" s="1192"/>
      <c r="K222" s="513" t="e">
        <f>SUM(#REF!)</f>
        <v>#REF!</v>
      </c>
      <c r="L222" s="503"/>
    </row>
    <row r="223" spans="2:12" hidden="1">
      <c r="B223" s="493"/>
      <c r="C223" s="493"/>
      <c r="D223" s="493"/>
      <c r="E223" s="493"/>
      <c r="F223" s="493"/>
      <c r="G223" s="493"/>
      <c r="H223" s="493"/>
      <c r="I223" s="493"/>
      <c r="J223" s="493"/>
      <c r="K223" s="493"/>
      <c r="L223" s="493"/>
    </row>
    <row r="224" spans="2:12" ht="15" hidden="1" customHeight="1">
      <c r="B224" s="501"/>
      <c r="C224" s="1180" t="s">
        <v>162</v>
      </c>
      <c r="D224" s="1181"/>
      <c r="E224" s="1182"/>
      <c r="F224" s="514"/>
      <c r="G224" s="514"/>
      <c r="H224" s="514">
        <v>1.8</v>
      </c>
      <c r="I224" s="514">
        <v>14.3</v>
      </c>
      <c r="J224" s="514"/>
      <c r="K224" s="515">
        <f>H224*I224</f>
        <v>25.740000000000002</v>
      </c>
      <c r="L224" s="503"/>
    </row>
    <row r="225" spans="2:12" ht="15" hidden="1" customHeight="1">
      <c r="B225" s="501"/>
      <c r="C225" s="1180" t="s">
        <v>162</v>
      </c>
      <c r="D225" s="1181"/>
      <c r="E225" s="1182"/>
      <c r="F225" s="514">
        <v>2</v>
      </c>
      <c r="G225" s="514"/>
      <c r="H225" s="514">
        <v>1.6</v>
      </c>
      <c r="I225" s="514">
        <v>4</v>
      </c>
      <c r="J225" s="514"/>
      <c r="K225" s="515">
        <f>F225*H225*I225</f>
        <v>12.8</v>
      </c>
      <c r="L225" s="503"/>
    </row>
    <row r="226" spans="2:12" ht="15" hidden="1" customHeight="1">
      <c r="B226" s="501"/>
      <c r="C226" s="1180" t="s">
        <v>163</v>
      </c>
      <c r="D226" s="1181"/>
      <c r="E226" s="1182"/>
      <c r="F226" s="514"/>
      <c r="G226" s="514"/>
      <c r="H226" s="514"/>
      <c r="I226" s="514"/>
      <c r="J226" s="514">
        <v>109.24</v>
      </c>
      <c r="K226" s="515">
        <f>-J226</f>
        <v>-109.24</v>
      </c>
      <c r="L226" s="503"/>
    </row>
    <row r="227" spans="2:12" hidden="1">
      <c r="B227" s="501"/>
      <c r="C227" s="1191" t="s">
        <v>164</v>
      </c>
      <c r="D227" s="1191"/>
      <c r="E227" s="1191"/>
      <c r="F227" s="514"/>
      <c r="G227" s="514"/>
      <c r="H227" s="514">
        <v>1.05</v>
      </c>
      <c r="I227" s="514">
        <v>1.85</v>
      </c>
      <c r="J227" s="514"/>
      <c r="K227" s="694">
        <f>TRUNC(H227*I227,2)</f>
        <v>1.94</v>
      </c>
      <c r="L227" s="503"/>
    </row>
    <row r="228" spans="2:12" hidden="1">
      <c r="B228" s="501"/>
      <c r="C228" s="1190" t="s">
        <v>20</v>
      </c>
      <c r="D228" s="1190"/>
      <c r="E228" s="1190"/>
      <c r="F228" s="512" t="s">
        <v>22</v>
      </c>
      <c r="G228" s="693" t="s">
        <v>111</v>
      </c>
      <c r="H228" s="512" t="s">
        <v>112</v>
      </c>
      <c r="I228" s="693" t="s">
        <v>113</v>
      </c>
      <c r="J228" s="693" t="s">
        <v>114</v>
      </c>
      <c r="K228" s="513" t="s">
        <v>25</v>
      </c>
      <c r="L228" s="503"/>
    </row>
    <row r="229" spans="2:12" ht="15" hidden="1" customHeight="1">
      <c r="B229" s="501"/>
      <c r="C229" s="1191" t="s">
        <v>165</v>
      </c>
      <c r="D229" s="1191"/>
      <c r="E229" s="1191"/>
      <c r="F229" s="514"/>
      <c r="G229" s="514"/>
      <c r="H229" s="514">
        <v>6.4740000000000002</v>
      </c>
      <c r="I229" s="514">
        <v>7.5</v>
      </c>
      <c r="J229" s="514">
        <v>1.75</v>
      </c>
      <c r="K229" s="694">
        <f>TRUNC(H229*I229-J229,2)</f>
        <v>46.8</v>
      </c>
      <c r="L229" s="503"/>
    </row>
    <row r="230" spans="2:12" ht="22.5" hidden="1" customHeight="1">
      <c r="B230" s="497" t="str">
        <f>'[6]PLANILHA ORÇAMENTÁRIA'!D68</f>
        <v>10.2</v>
      </c>
      <c r="C230" s="1186" t="str">
        <f>'[6]PLANILHA ORÇAMENTÁRIA'!E68</f>
        <v>FECHADURA DE EMBUTIR COM CILINDRO, EXTERNA, COMPLETA, ACABAMENTO PADRÃO POPULAR, INCLUSO EXECUÇÃO DE FURO - FORNECIMENTO E INSTALAÇÃO. AF_08/2015</v>
      </c>
      <c r="D230" s="1186"/>
      <c r="E230" s="1186"/>
      <c r="F230" s="1186"/>
      <c r="G230" s="1186"/>
      <c r="H230" s="1186"/>
      <c r="I230" s="1186"/>
      <c r="J230" s="1186"/>
      <c r="K230" s="510" t="str">
        <f>'[6]PLANILHA ORÇAMENTÁRIA'!F68</f>
        <v>UND</v>
      </c>
      <c r="L230" s="511" t="e">
        <f>#REF!</f>
        <v>#REF!</v>
      </c>
    </row>
    <row r="231" spans="2:12" hidden="1">
      <c r="B231" s="501"/>
      <c r="C231" s="1190" t="s">
        <v>20</v>
      </c>
      <c r="D231" s="1190"/>
      <c r="E231" s="1190"/>
      <c r="F231" s="512" t="s">
        <v>22</v>
      </c>
      <c r="G231" s="693" t="s">
        <v>111</v>
      </c>
      <c r="H231" s="693" t="s">
        <v>114</v>
      </c>
      <c r="I231" s="693" t="s">
        <v>113</v>
      </c>
      <c r="J231" s="693" t="s">
        <v>136</v>
      </c>
      <c r="K231" s="513" t="s">
        <v>25</v>
      </c>
      <c r="L231" s="503"/>
    </row>
    <row r="232" spans="2:12" ht="27" hidden="1" customHeight="1">
      <c r="B232" s="501"/>
      <c r="C232" s="1191" t="s">
        <v>166</v>
      </c>
      <c r="D232" s="1191"/>
      <c r="E232" s="1191"/>
      <c r="F232" s="514">
        <v>3</v>
      </c>
      <c r="G232" s="514"/>
      <c r="H232" s="514"/>
      <c r="I232" s="514"/>
      <c r="J232" s="514"/>
      <c r="K232" s="694"/>
      <c r="L232" s="503"/>
    </row>
    <row r="233" spans="2:12" ht="15" hidden="1" customHeight="1">
      <c r="B233" s="497" t="str">
        <f>'[6]PLANILHA ORÇAMENTÁRIA'!D72</f>
        <v>11.2</v>
      </c>
      <c r="C233" s="1186" t="str">
        <f>'[6]PLANILHA ORÇAMENTÁRIA'!E72</f>
        <v>CAIXA D'ÁGUA EM POLIETILENO, 500 LITROS, COM ACESSÓRIOS.</v>
      </c>
      <c r="D233" s="1186"/>
      <c r="E233" s="1186"/>
      <c r="F233" s="1186"/>
      <c r="G233" s="1186"/>
      <c r="H233" s="1186"/>
      <c r="I233" s="1186"/>
      <c r="J233" s="1186"/>
      <c r="K233" s="510" t="str">
        <f>'[6]PLANILHA ORÇAMENTÁRIA'!F72</f>
        <v>UND</v>
      </c>
      <c r="L233" s="511" t="e">
        <f>#REF!</f>
        <v>#REF!</v>
      </c>
    </row>
    <row r="234" spans="2:12" hidden="1">
      <c r="B234" s="501"/>
      <c r="C234" s="1190" t="s">
        <v>20</v>
      </c>
      <c r="D234" s="1190"/>
      <c r="E234" s="1190"/>
      <c r="F234" s="512" t="s">
        <v>22</v>
      </c>
      <c r="G234" s="693" t="s">
        <v>111</v>
      </c>
      <c r="H234" s="693" t="s">
        <v>114</v>
      </c>
      <c r="I234" s="693" t="s">
        <v>113</v>
      </c>
      <c r="J234" s="693" t="s">
        <v>136</v>
      </c>
      <c r="K234" s="513" t="s">
        <v>25</v>
      </c>
      <c r="L234" s="503"/>
    </row>
    <row r="235" spans="2:12" hidden="1">
      <c r="B235" s="501"/>
      <c r="C235" s="1191"/>
      <c r="D235" s="1191"/>
      <c r="E235" s="1191"/>
      <c r="F235" s="514">
        <v>2</v>
      </c>
      <c r="G235" s="514"/>
      <c r="H235" s="514"/>
      <c r="I235" s="514"/>
      <c r="J235" s="514"/>
      <c r="K235" s="694">
        <f>F235</f>
        <v>2</v>
      </c>
      <c r="L235" s="503"/>
    </row>
    <row r="236" spans="2:12" hidden="1">
      <c r="B236" s="501"/>
      <c r="C236" s="1192" t="s">
        <v>116</v>
      </c>
      <c r="D236" s="1192"/>
      <c r="E236" s="1192"/>
      <c r="F236" s="1192"/>
      <c r="G236" s="1192"/>
      <c r="H236" s="1192"/>
      <c r="I236" s="1192"/>
      <c r="J236" s="1192"/>
      <c r="K236" s="513" t="e">
        <f>SUM(#REF!)</f>
        <v>#REF!</v>
      </c>
      <c r="L236" s="503"/>
    </row>
    <row r="237" spans="2:12" hidden="1">
      <c r="B237" s="501"/>
      <c r="C237" s="517"/>
      <c r="D237" s="517"/>
      <c r="E237" s="517"/>
      <c r="F237" s="517"/>
      <c r="G237" s="517"/>
      <c r="H237" s="517"/>
      <c r="I237" s="517"/>
      <c r="J237" s="517"/>
      <c r="K237" s="519"/>
      <c r="L237" s="503"/>
    </row>
    <row r="238" spans="2:12" ht="22.5" hidden="1" customHeight="1">
      <c r="B238" s="497" t="str">
        <f>'[6]PLANILHA ORÇAMENTÁRIA'!D76</f>
        <v>11.6</v>
      </c>
      <c r="C238" s="1186" t="str">
        <f>'[6]PLANILHA ORÇAMENTÁRIA'!E76</f>
        <v>SIFÃO DO TIPO GARRAFA/COPO EM PVC 1.1/4 X 1.1/2" - FORNECIMENTO E INSTALAÇÃO. AF_12/2013</v>
      </c>
      <c r="D238" s="1186"/>
      <c r="E238" s="1186"/>
      <c r="F238" s="1186"/>
      <c r="G238" s="1186"/>
      <c r="H238" s="1186"/>
      <c r="I238" s="1186"/>
      <c r="J238" s="1186"/>
      <c r="K238" s="510" t="str">
        <f>'[6]PLANILHA ORÇAMENTÁRIA'!F76</f>
        <v>UND</v>
      </c>
      <c r="L238" s="511" t="e">
        <f>#REF!</f>
        <v>#REF!</v>
      </c>
    </row>
    <row r="239" spans="2:12" hidden="1">
      <c r="B239" s="501"/>
      <c r="C239" s="1190" t="s">
        <v>20</v>
      </c>
      <c r="D239" s="1190"/>
      <c r="E239" s="1190"/>
      <c r="F239" s="512" t="s">
        <v>22</v>
      </c>
      <c r="G239" s="693" t="s">
        <v>111</v>
      </c>
      <c r="H239" s="693" t="s">
        <v>114</v>
      </c>
      <c r="I239" s="693" t="s">
        <v>113</v>
      </c>
      <c r="J239" s="693" t="s">
        <v>136</v>
      </c>
      <c r="K239" s="513" t="s">
        <v>25</v>
      </c>
      <c r="L239" s="503"/>
    </row>
    <row r="240" spans="2:12" hidden="1">
      <c r="B240" s="501"/>
      <c r="C240" s="1191"/>
      <c r="D240" s="1191"/>
      <c r="E240" s="1191"/>
      <c r="F240" s="514">
        <v>2</v>
      </c>
      <c r="G240" s="514"/>
      <c r="H240" s="514"/>
      <c r="I240" s="514"/>
      <c r="J240" s="514"/>
      <c r="K240" s="694">
        <f>F240</f>
        <v>2</v>
      </c>
      <c r="L240" s="503"/>
    </row>
    <row r="241" spans="2:12" hidden="1">
      <c r="B241" s="501"/>
      <c r="C241" s="1192" t="s">
        <v>116</v>
      </c>
      <c r="D241" s="1192"/>
      <c r="E241" s="1192"/>
      <c r="F241" s="1192"/>
      <c r="G241" s="1192"/>
      <c r="H241" s="1192"/>
      <c r="I241" s="1192"/>
      <c r="J241" s="1192"/>
      <c r="K241" s="513">
        <f>SUM(K240:K240)</f>
        <v>2</v>
      </c>
      <c r="L241" s="503"/>
    </row>
    <row r="242" spans="2:12" hidden="1">
      <c r="B242" s="501"/>
      <c r="C242" s="517"/>
      <c r="D242" s="517"/>
      <c r="E242" s="517"/>
      <c r="F242" s="517"/>
      <c r="G242" s="517"/>
      <c r="H242" s="517"/>
      <c r="I242" s="517"/>
      <c r="J242" s="517"/>
      <c r="K242" s="519"/>
      <c r="L242" s="503"/>
    </row>
    <row r="243" spans="2:12" ht="27.75" hidden="1" customHeight="1">
      <c r="B243" s="497" t="str">
        <f>'[6]PLANILHA ORÇAMENTÁRIA'!D80</f>
        <v>11.10</v>
      </c>
      <c r="C243" s="1186" t="str">
        <f>'[6]PLANILHA ORÇAMENTÁRIA'!E80</f>
        <v>TORNEIRA CROMADA DE MESA, 1/2" OU 3/4", PARA LAVATÓRIO, PADRÃO POPULAR - FORNECIMENTO E INSTALAÇÃO. AF_12/2013</v>
      </c>
      <c r="D243" s="1186"/>
      <c r="E243" s="1186"/>
      <c r="F243" s="1186"/>
      <c r="G243" s="1186"/>
      <c r="H243" s="1186"/>
      <c r="I243" s="1186"/>
      <c r="J243" s="1186"/>
      <c r="K243" s="510" t="str">
        <f>'[6]PLANILHA ORÇAMENTÁRIA'!F80</f>
        <v>UND</v>
      </c>
      <c r="L243" s="511" t="e">
        <f>#REF!</f>
        <v>#REF!</v>
      </c>
    </row>
    <row r="244" spans="2:12" hidden="1">
      <c r="B244" s="501"/>
      <c r="C244" s="1191"/>
      <c r="D244" s="1191"/>
      <c r="E244" s="1191"/>
      <c r="F244" s="514">
        <v>2</v>
      </c>
      <c r="G244" s="514"/>
      <c r="H244" s="514"/>
      <c r="I244" s="514"/>
      <c r="J244" s="514"/>
      <c r="K244" s="694">
        <f>F244</f>
        <v>2</v>
      </c>
      <c r="L244" s="503"/>
    </row>
    <row r="245" spans="2:12" hidden="1">
      <c r="B245" s="501"/>
      <c r="C245" s="1192" t="s">
        <v>116</v>
      </c>
      <c r="D245" s="1192"/>
      <c r="E245" s="1192"/>
      <c r="F245" s="1192"/>
      <c r="G245" s="1192"/>
      <c r="H245" s="1192"/>
      <c r="I245" s="1192"/>
      <c r="J245" s="1192"/>
      <c r="K245" s="513">
        <f>SUM(K244:K244)</f>
        <v>2</v>
      </c>
      <c r="L245" s="503"/>
    </row>
    <row r="246" spans="2:12" hidden="1">
      <c r="B246" s="501"/>
      <c r="C246" s="1191"/>
      <c r="D246" s="1191"/>
      <c r="E246" s="1191"/>
      <c r="F246" s="514">
        <v>1</v>
      </c>
      <c r="G246" s="514"/>
      <c r="H246" s="514"/>
      <c r="I246" s="514"/>
      <c r="J246" s="514"/>
      <c r="K246" s="694">
        <f>F246</f>
        <v>1</v>
      </c>
      <c r="L246" s="503"/>
    </row>
    <row r="247" spans="2:12" hidden="1">
      <c r="B247" s="501"/>
      <c r="C247" s="1192" t="s">
        <v>116</v>
      </c>
      <c r="D247" s="1192"/>
      <c r="E247" s="1192"/>
      <c r="F247" s="1192"/>
      <c r="G247" s="1192"/>
      <c r="H247" s="1192"/>
      <c r="I247" s="1192"/>
      <c r="J247" s="1192"/>
      <c r="K247" s="513">
        <f>SUM(K246:K246)</f>
        <v>1</v>
      </c>
      <c r="L247" s="503"/>
    </row>
    <row r="248" spans="2:12" hidden="1">
      <c r="B248" s="501"/>
      <c r="C248" s="517"/>
      <c r="D248" s="517"/>
      <c r="E248" s="517"/>
      <c r="F248" s="517"/>
      <c r="G248" s="517"/>
      <c r="H248" s="517"/>
      <c r="I248" s="517"/>
      <c r="J248" s="517"/>
      <c r="K248" s="519"/>
      <c r="L248" s="503"/>
    </row>
    <row r="249" spans="2:12" ht="31.5" hidden="1" customHeight="1">
      <c r="B249" s="497" t="str">
        <f>'[6]PLANILHA ORÇAMENTÁRIA'!D83</f>
        <v>11.13</v>
      </c>
      <c r="C249" s="1186" t="str">
        <f>'[6]PLANILHA ORÇAMENTÁRIA'!E83</f>
        <v>JOELHO 45 GRAUS, PVC, SERIE NORMAL, ESGOTO PREDIAL, DN 40 MM, JUNTA SOLDÁVEL, FORNECIDO E INSTALADO EM RAMAL DE DESCARGA OU RAMAL DE ESGOTO SANITÁRIO. AF_12/2014.</v>
      </c>
      <c r="D249" s="1186"/>
      <c r="E249" s="1186"/>
      <c r="F249" s="1186"/>
      <c r="G249" s="1186"/>
      <c r="H249" s="1186"/>
      <c r="I249" s="1186"/>
      <c r="J249" s="1186"/>
      <c r="K249" s="510" t="str">
        <f>'[6]PLANILHA ORÇAMENTÁRIA'!F83</f>
        <v>UND</v>
      </c>
      <c r="L249" s="511">
        <f>K252</f>
        <v>3</v>
      </c>
    </row>
    <row r="250" spans="2:12" hidden="1">
      <c r="B250" s="501"/>
      <c r="C250" s="1190" t="s">
        <v>20</v>
      </c>
      <c r="D250" s="1190"/>
      <c r="E250" s="1190"/>
      <c r="F250" s="512" t="s">
        <v>22</v>
      </c>
      <c r="G250" s="693" t="s">
        <v>111</v>
      </c>
      <c r="H250" s="693" t="s">
        <v>114</v>
      </c>
      <c r="I250" s="693" t="s">
        <v>113</v>
      </c>
      <c r="J250" s="693" t="s">
        <v>136</v>
      </c>
      <c r="K250" s="513" t="s">
        <v>25</v>
      </c>
      <c r="L250" s="503"/>
    </row>
    <row r="251" spans="2:12" hidden="1">
      <c r="B251" s="501"/>
      <c r="C251" s="1191"/>
      <c r="D251" s="1191"/>
      <c r="E251" s="1191"/>
      <c r="F251" s="514">
        <v>3</v>
      </c>
      <c r="G251" s="514"/>
      <c r="H251" s="514"/>
      <c r="I251" s="514"/>
      <c r="J251" s="514"/>
      <c r="K251" s="694">
        <f>F251</f>
        <v>3</v>
      </c>
      <c r="L251" s="503"/>
    </row>
    <row r="252" spans="2:12" hidden="1">
      <c r="B252" s="501"/>
      <c r="C252" s="1192" t="s">
        <v>116</v>
      </c>
      <c r="D252" s="1192"/>
      <c r="E252" s="1192"/>
      <c r="F252" s="1192"/>
      <c r="G252" s="1192"/>
      <c r="H252" s="1192"/>
      <c r="I252" s="1192"/>
      <c r="J252" s="1192"/>
      <c r="K252" s="513">
        <f>SUM(K251:K251)</f>
        <v>3</v>
      </c>
      <c r="L252" s="503"/>
    </row>
    <row r="253" spans="2:12" hidden="1">
      <c r="B253" s="493"/>
      <c r="C253" s="493"/>
      <c r="D253" s="493"/>
      <c r="E253" s="493"/>
      <c r="F253" s="493"/>
      <c r="G253" s="493"/>
      <c r="H253" s="493"/>
      <c r="I253" s="493"/>
      <c r="J253" s="493"/>
      <c r="K253" s="493"/>
      <c r="L253" s="493"/>
    </row>
    <row r="254" spans="2:12" ht="29.25" hidden="1" customHeight="1">
      <c r="B254" s="497" t="str">
        <f>'[6]PLANILHA ORÇAMENTÁRIA'!D84</f>
        <v>11.14</v>
      </c>
      <c r="C254" s="1186" t="str">
        <f>'[6]PLANILHA ORÇAMENTÁRIA'!E84</f>
        <v>JOELHO 90 GRAUS, PVC, SERIE NORMAL, ESGOTO PREDIAL, DN 40 MM, JUNTA SOLDÁVEL, FORNECIDO E INSTALADO EM RAMAL DE DESCARGA OU RAMAL DE ESGOTO SANITÁRIO. AF_12/2014.</v>
      </c>
      <c r="D254" s="1186"/>
      <c r="E254" s="1186"/>
      <c r="F254" s="1186"/>
      <c r="G254" s="1186"/>
      <c r="H254" s="1186"/>
      <c r="I254" s="1186"/>
      <c r="J254" s="1186"/>
      <c r="K254" s="510" t="str">
        <f>'[6]PLANILHA ORÇAMENTÁRIA'!F84</f>
        <v>UND</v>
      </c>
      <c r="L254" s="511">
        <f>K257</f>
        <v>3</v>
      </c>
    </row>
    <row r="255" spans="2:12" hidden="1">
      <c r="B255" s="501"/>
      <c r="C255" s="1190" t="s">
        <v>20</v>
      </c>
      <c r="D255" s="1190"/>
      <c r="E255" s="1190"/>
      <c r="F255" s="512" t="s">
        <v>22</v>
      </c>
      <c r="G255" s="693" t="s">
        <v>111</v>
      </c>
      <c r="H255" s="693" t="s">
        <v>114</v>
      </c>
      <c r="I255" s="693" t="s">
        <v>113</v>
      </c>
      <c r="J255" s="693" t="s">
        <v>136</v>
      </c>
      <c r="K255" s="513" t="s">
        <v>25</v>
      </c>
      <c r="L255" s="503"/>
    </row>
    <row r="256" spans="2:12" hidden="1">
      <c r="B256" s="501"/>
      <c r="C256" s="1191"/>
      <c r="D256" s="1191"/>
      <c r="E256" s="1191"/>
      <c r="F256" s="514">
        <v>3</v>
      </c>
      <c r="G256" s="514"/>
      <c r="H256" s="514"/>
      <c r="I256" s="514"/>
      <c r="J256" s="514"/>
      <c r="K256" s="694">
        <f>F256</f>
        <v>3</v>
      </c>
      <c r="L256" s="503"/>
    </row>
    <row r="257" spans="2:12" hidden="1">
      <c r="B257" s="501"/>
      <c r="C257" s="1192" t="s">
        <v>116</v>
      </c>
      <c r="D257" s="1192"/>
      <c r="E257" s="1192"/>
      <c r="F257" s="1192"/>
      <c r="G257" s="1192"/>
      <c r="H257" s="1192"/>
      <c r="I257" s="1192"/>
      <c r="J257" s="1192"/>
      <c r="K257" s="513">
        <f>SUM(K256:K256)</f>
        <v>3</v>
      </c>
      <c r="L257" s="503"/>
    </row>
    <row r="258" spans="2:12" hidden="1">
      <c r="B258" s="493"/>
      <c r="C258" s="493"/>
      <c r="D258" s="493"/>
      <c r="E258" s="493"/>
      <c r="F258" s="493"/>
      <c r="G258" s="493"/>
      <c r="H258" s="493"/>
      <c r="I258" s="493"/>
      <c r="J258" s="493"/>
      <c r="K258" s="493"/>
      <c r="L258" s="493"/>
    </row>
    <row r="259" spans="2:12" ht="25.5" hidden="1" customHeight="1">
      <c r="B259" s="497" t="str">
        <f>'[6]PLANILHA ORÇAMENTÁRIA'!D85</f>
        <v>11.15</v>
      </c>
      <c r="C259" s="1186" t="str">
        <f>'[6]PLANILHA ORÇAMENTÁRIA'!E85</f>
        <v>TUBO PVC, SERIE NORMAL, ESGOTO PREDIAL, DN 40 MM, FORNECIDO E INSTALADO EM RAMAL DE DESCARGA OU RAMAL DE ESGOTO SANITÁRIO. AF_12/2014.</v>
      </c>
      <c r="D259" s="1186"/>
      <c r="E259" s="1186"/>
      <c r="F259" s="1186"/>
      <c r="G259" s="1186"/>
      <c r="H259" s="1186"/>
      <c r="I259" s="1186"/>
      <c r="J259" s="1186"/>
      <c r="K259" s="510" t="str">
        <f>'[6]PLANILHA ORÇAMENTÁRIA'!F85</f>
        <v>M</v>
      </c>
      <c r="L259" s="511">
        <f>K262</f>
        <v>6</v>
      </c>
    </row>
    <row r="260" spans="2:12" hidden="1">
      <c r="B260" s="501"/>
      <c r="C260" s="1190" t="s">
        <v>20</v>
      </c>
      <c r="D260" s="1190"/>
      <c r="E260" s="1190"/>
      <c r="F260" s="512" t="s">
        <v>22</v>
      </c>
      <c r="G260" s="693" t="s">
        <v>111</v>
      </c>
      <c r="H260" s="693" t="s">
        <v>114</v>
      </c>
      <c r="I260" s="693" t="s">
        <v>113</v>
      </c>
      <c r="J260" s="693" t="s">
        <v>136</v>
      </c>
      <c r="K260" s="513" t="s">
        <v>25</v>
      </c>
      <c r="L260" s="503"/>
    </row>
    <row r="261" spans="2:12" hidden="1">
      <c r="B261" s="501"/>
      <c r="C261" s="1191"/>
      <c r="D261" s="1191"/>
      <c r="E261" s="1191"/>
      <c r="F261" s="514">
        <v>6</v>
      </c>
      <c r="G261" s="514"/>
      <c r="H261" s="514"/>
      <c r="I261" s="514"/>
      <c r="J261" s="514"/>
      <c r="K261" s="694">
        <f>F261</f>
        <v>6</v>
      </c>
      <c r="L261" s="503"/>
    </row>
    <row r="262" spans="2:12" hidden="1">
      <c r="B262" s="501"/>
      <c r="C262" s="1192" t="s">
        <v>116</v>
      </c>
      <c r="D262" s="1192"/>
      <c r="E262" s="1192"/>
      <c r="F262" s="1192"/>
      <c r="G262" s="1192"/>
      <c r="H262" s="1192"/>
      <c r="I262" s="1192"/>
      <c r="J262" s="1192"/>
      <c r="K262" s="513">
        <f>SUM(K261:K261)</f>
        <v>6</v>
      </c>
      <c r="L262" s="503"/>
    </row>
    <row r="263" spans="2:12" hidden="1">
      <c r="B263" s="493"/>
      <c r="C263" s="493"/>
      <c r="D263" s="493"/>
      <c r="E263" s="493"/>
      <c r="F263" s="493"/>
      <c r="G263" s="493"/>
      <c r="H263" s="493"/>
      <c r="I263" s="493"/>
      <c r="J263" s="493"/>
      <c r="K263" s="493"/>
      <c r="L263" s="493"/>
    </row>
    <row r="264" spans="2:12" ht="25.5" hidden="1" customHeight="1">
      <c r="B264" s="497" t="str">
        <f>'[6]PLANILHA ORÇAMENTÁRIA'!D86</f>
        <v>11.16</v>
      </c>
      <c r="C264" s="1186" t="str">
        <f>'[6]PLANILHA ORÇAMENTÁRIA'!E86</f>
        <v>LUVA SIMPLES, PVC, SERIE NORMAL, ESGOTO PREDIAL, DN 40 MM, JUNTA SOLDÁVEL, FORNECIDO E INSTALADO EM RAMAL DE DESCARGA OU RAMAL DE ESGOTO SANITÁRIO. AF_12/2014</v>
      </c>
      <c r="D264" s="1186"/>
      <c r="E264" s="1186"/>
      <c r="F264" s="1186"/>
      <c r="G264" s="1186"/>
      <c r="H264" s="1186"/>
      <c r="I264" s="1186"/>
      <c r="J264" s="1186"/>
      <c r="K264" s="510" t="str">
        <f>'[6]PLANILHA ORÇAMENTÁRIA'!F86</f>
        <v>UND</v>
      </c>
      <c r="L264" s="511">
        <f>K267</f>
        <v>3</v>
      </c>
    </row>
    <row r="265" spans="2:12" hidden="1">
      <c r="B265" s="501"/>
      <c r="C265" s="1190" t="s">
        <v>20</v>
      </c>
      <c r="D265" s="1190"/>
      <c r="E265" s="1190"/>
      <c r="F265" s="512" t="s">
        <v>22</v>
      </c>
      <c r="G265" s="693" t="s">
        <v>111</v>
      </c>
      <c r="H265" s="693" t="s">
        <v>114</v>
      </c>
      <c r="I265" s="693" t="s">
        <v>113</v>
      </c>
      <c r="J265" s="693" t="s">
        <v>136</v>
      </c>
      <c r="K265" s="513" t="s">
        <v>25</v>
      </c>
      <c r="L265" s="503"/>
    </row>
    <row r="266" spans="2:12" hidden="1">
      <c r="B266" s="501"/>
      <c r="C266" s="1191"/>
      <c r="D266" s="1191"/>
      <c r="E266" s="1191"/>
      <c r="F266" s="514">
        <v>3</v>
      </c>
      <c r="G266" s="514"/>
      <c r="H266" s="514"/>
      <c r="I266" s="514"/>
      <c r="J266" s="514"/>
      <c r="K266" s="694">
        <f>F266</f>
        <v>3</v>
      </c>
      <c r="L266" s="503"/>
    </row>
    <row r="267" spans="2:12" hidden="1">
      <c r="B267" s="501"/>
      <c r="C267" s="1192" t="s">
        <v>116</v>
      </c>
      <c r="D267" s="1192"/>
      <c r="E267" s="1192"/>
      <c r="F267" s="1192"/>
      <c r="G267" s="1192"/>
      <c r="H267" s="1192"/>
      <c r="I267" s="1192"/>
      <c r="J267" s="1192"/>
      <c r="K267" s="513">
        <f>SUM(K266:K266)</f>
        <v>3</v>
      </c>
      <c r="L267" s="503"/>
    </row>
    <row r="268" spans="2:12" hidden="1">
      <c r="B268" s="493"/>
      <c r="C268" s="493"/>
      <c r="D268" s="493"/>
      <c r="E268" s="493"/>
      <c r="F268" s="493"/>
      <c r="G268" s="493"/>
      <c r="H268" s="493"/>
      <c r="I268" s="493"/>
      <c r="J268" s="493"/>
      <c r="K268" s="493"/>
      <c r="L268" s="493"/>
    </row>
    <row r="269" spans="2:12" ht="27.75" hidden="1" customHeight="1">
      <c r="B269" s="497" t="str">
        <f>'[6]PLANILHA ORÇAMENTÁRIA'!D87</f>
        <v>11.17</v>
      </c>
      <c r="C269" s="1186" t="str">
        <f>'[6]PLANILHA ORÇAMENTÁRIA'!E87</f>
        <v>TUBO PVC, SERIE NORMAL, ESGOTO PREDIAL, DN 50 MM, FORNECIDO E INSTALADO EM RAMAL DE DESCARGA OU RAMAL DE ESGOTO SANITÁRIO. AF_12/2014.</v>
      </c>
      <c r="D269" s="1186"/>
      <c r="E269" s="1186"/>
      <c r="F269" s="1186"/>
      <c r="G269" s="1186"/>
      <c r="H269" s="1186"/>
      <c r="I269" s="1186"/>
      <c r="J269" s="1186"/>
      <c r="K269" s="510" t="str">
        <f>'[6]PLANILHA ORÇAMENTÁRIA'!F87</f>
        <v>M</v>
      </c>
      <c r="L269" s="511">
        <f>K272</f>
        <v>6</v>
      </c>
    </row>
    <row r="270" spans="2:12" hidden="1">
      <c r="B270" s="501"/>
      <c r="C270" s="1190" t="s">
        <v>20</v>
      </c>
      <c r="D270" s="1190"/>
      <c r="E270" s="1190"/>
      <c r="F270" s="512" t="s">
        <v>22</v>
      </c>
      <c r="G270" s="693" t="s">
        <v>111</v>
      </c>
      <c r="H270" s="693" t="s">
        <v>114</v>
      </c>
      <c r="I270" s="693" t="s">
        <v>113</v>
      </c>
      <c r="J270" s="693" t="s">
        <v>136</v>
      </c>
      <c r="K270" s="513" t="s">
        <v>25</v>
      </c>
      <c r="L270" s="503"/>
    </row>
    <row r="271" spans="2:12" hidden="1">
      <c r="B271" s="501"/>
      <c r="C271" s="1191"/>
      <c r="D271" s="1191"/>
      <c r="E271" s="1191"/>
      <c r="F271" s="514">
        <v>6</v>
      </c>
      <c r="G271" s="514"/>
      <c r="H271" s="514"/>
      <c r="I271" s="514"/>
      <c r="J271" s="514"/>
      <c r="K271" s="694">
        <f>F271</f>
        <v>6</v>
      </c>
      <c r="L271" s="503"/>
    </row>
    <row r="272" spans="2:12" hidden="1">
      <c r="B272" s="501"/>
      <c r="C272" s="1192" t="s">
        <v>116</v>
      </c>
      <c r="D272" s="1192"/>
      <c r="E272" s="1192"/>
      <c r="F272" s="1192"/>
      <c r="G272" s="1192"/>
      <c r="H272" s="1192"/>
      <c r="I272" s="1192"/>
      <c r="J272" s="1192"/>
      <c r="K272" s="513">
        <f>SUM(K271:K271)</f>
        <v>6</v>
      </c>
      <c r="L272" s="503"/>
    </row>
    <row r="273" spans="2:12" hidden="1">
      <c r="B273" s="493"/>
      <c r="C273" s="493"/>
      <c r="D273" s="493"/>
      <c r="E273" s="493"/>
      <c r="F273" s="493"/>
      <c r="G273" s="493"/>
      <c r="H273" s="493"/>
      <c r="I273" s="493"/>
      <c r="J273" s="493"/>
      <c r="K273" s="493"/>
      <c r="L273" s="493"/>
    </row>
    <row r="274" spans="2:12" ht="27" hidden="1" customHeight="1">
      <c r="B274" s="497" t="str">
        <f>'[6]PLANILHA ORÇAMENTÁRIA'!D88</f>
        <v>11.18</v>
      </c>
      <c r="C274" s="1186" t="str">
        <f>'[6]PLANILHA ORÇAMENTÁRIA'!E88</f>
        <v>JOELHO 45 GRAUS, PVC, SERIE NORMAL, ESGOTO PREDIAL, DN 100 MM, JUNTA ELÁSTICA, FORNECIDO E INSTALADO EM RAMAL DE DESCARGA OU RAMAL DE ESGOTO SANITÁRIO. AF_12/2014.</v>
      </c>
      <c r="D274" s="1186"/>
      <c r="E274" s="1186"/>
      <c r="F274" s="1186"/>
      <c r="G274" s="1186"/>
      <c r="H274" s="1186"/>
      <c r="I274" s="1186"/>
      <c r="J274" s="1186"/>
      <c r="K274" s="510" t="str">
        <f>'[6]PLANILHA ORÇAMENTÁRIA'!F88</f>
        <v>UND</v>
      </c>
      <c r="L274" s="511">
        <f>K277</f>
        <v>2</v>
      </c>
    </row>
    <row r="275" spans="2:12" hidden="1">
      <c r="B275" s="501"/>
      <c r="C275" s="1190" t="s">
        <v>20</v>
      </c>
      <c r="D275" s="1190"/>
      <c r="E275" s="1190"/>
      <c r="F275" s="512" t="s">
        <v>22</v>
      </c>
      <c r="G275" s="693" t="s">
        <v>111</v>
      </c>
      <c r="H275" s="693" t="s">
        <v>114</v>
      </c>
      <c r="I275" s="693" t="s">
        <v>113</v>
      </c>
      <c r="J275" s="693" t="s">
        <v>136</v>
      </c>
      <c r="K275" s="513" t="s">
        <v>25</v>
      </c>
      <c r="L275" s="503"/>
    </row>
    <row r="276" spans="2:12" hidden="1">
      <c r="B276" s="501"/>
      <c r="C276" s="1191"/>
      <c r="D276" s="1191"/>
      <c r="E276" s="1191"/>
      <c r="F276" s="514">
        <v>2</v>
      </c>
      <c r="G276" s="514"/>
      <c r="H276" s="514"/>
      <c r="I276" s="514"/>
      <c r="J276" s="514"/>
      <c r="K276" s="694">
        <f>F276</f>
        <v>2</v>
      </c>
      <c r="L276" s="503"/>
    </row>
    <row r="277" spans="2:12" hidden="1">
      <c r="B277" s="501"/>
      <c r="C277" s="1192" t="s">
        <v>116</v>
      </c>
      <c r="D277" s="1192"/>
      <c r="E277" s="1192"/>
      <c r="F277" s="1192"/>
      <c r="G277" s="1192"/>
      <c r="H277" s="1192"/>
      <c r="I277" s="1192"/>
      <c r="J277" s="1192"/>
      <c r="K277" s="513">
        <f>SUM(K276:K276)</f>
        <v>2</v>
      </c>
      <c r="L277" s="503"/>
    </row>
    <row r="278" spans="2:12" hidden="1">
      <c r="B278" s="493"/>
      <c r="C278" s="493"/>
      <c r="D278" s="493"/>
      <c r="E278" s="493"/>
      <c r="F278" s="493"/>
      <c r="G278" s="493"/>
      <c r="H278" s="493"/>
      <c r="I278" s="493"/>
      <c r="J278" s="493"/>
      <c r="K278" s="493"/>
      <c r="L278" s="493"/>
    </row>
    <row r="279" spans="2:12" ht="25.5" hidden="1" customHeight="1">
      <c r="B279" s="497" t="str">
        <f>'[6]PLANILHA ORÇAMENTÁRIA'!D89</f>
        <v>11.19</v>
      </c>
      <c r="C279" s="1186" t="str">
        <f>'[6]PLANILHA ORÇAMENTÁRIA'!E89</f>
        <v>JOELHO 90 GRAUS, PVC, SERIE NORMAL, ESGOTO PREDIAL, DN 100 MM, JUNTA ELÁSTICA, FORNECIDO E INSTALADO EM RAMAL DE DESCARGA OU RAMAL DE ESGOTO SANITÁRIO. AF_12/2014.</v>
      </c>
      <c r="D279" s="1186"/>
      <c r="E279" s="1186"/>
      <c r="F279" s="1186"/>
      <c r="G279" s="1186"/>
      <c r="H279" s="1186"/>
      <c r="I279" s="1186"/>
      <c r="J279" s="1186"/>
      <c r="K279" s="510" t="str">
        <f>'[6]PLANILHA ORÇAMENTÁRIA'!F89</f>
        <v>UND</v>
      </c>
      <c r="L279" s="511">
        <f>K282</f>
        <v>2</v>
      </c>
    </row>
    <row r="280" spans="2:12" hidden="1">
      <c r="B280" s="501"/>
      <c r="C280" s="1190" t="s">
        <v>20</v>
      </c>
      <c r="D280" s="1190"/>
      <c r="E280" s="1190"/>
      <c r="F280" s="512" t="s">
        <v>22</v>
      </c>
      <c r="G280" s="693" t="s">
        <v>111</v>
      </c>
      <c r="H280" s="693" t="s">
        <v>114</v>
      </c>
      <c r="I280" s="693" t="s">
        <v>113</v>
      </c>
      <c r="J280" s="693" t="s">
        <v>136</v>
      </c>
      <c r="K280" s="513" t="s">
        <v>25</v>
      </c>
      <c r="L280" s="503"/>
    </row>
    <row r="281" spans="2:12" hidden="1">
      <c r="B281" s="501"/>
      <c r="C281" s="1191"/>
      <c r="D281" s="1191"/>
      <c r="E281" s="1191"/>
      <c r="F281" s="514">
        <v>2</v>
      </c>
      <c r="G281" s="514"/>
      <c r="H281" s="514"/>
      <c r="I281" s="514"/>
      <c r="J281" s="514"/>
      <c r="K281" s="694">
        <f>F281</f>
        <v>2</v>
      </c>
      <c r="L281" s="503"/>
    </row>
    <row r="282" spans="2:12" hidden="1">
      <c r="B282" s="501"/>
      <c r="C282" s="1192" t="s">
        <v>116</v>
      </c>
      <c r="D282" s="1192"/>
      <c r="E282" s="1192"/>
      <c r="F282" s="1192"/>
      <c r="G282" s="1192"/>
      <c r="H282" s="1192"/>
      <c r="I282" s="1192"/>
      <c r="J282" s="1192"/>
      <c r="K282" s="513">
        <f>SUM(K281:K281)</f>
        <v>2</v>
      </c>
      <c r="L282" s="503"/>
    </row>
    <row r="283" spans="2:12" hidden="1">
      <c r="B283" s="493"/>
      <c r="C283" s="493"/>
      <c r="D283" s="493"/>
      <c r="E283" s="493"/>
      <c r="F283" s="493"/>
      <c r="G283" s="493"/>
      <c r="H283" s="493"/>
      <c r="I283" s="493"/>
      <c r="J283" s="493"/>
      <c r="K283" s="493"/>
      <c r="L283" s="493"/>
    </row>
    <row r="284" spans="2:12" ht="25.5" hidden="1" customHeight="1">
      <c r="B284" s="497" t="str">
        <f>'[6]PLANILHA ORÇAMENTÁRIA'!D90</f>
        <v>11.20</v>
      </c>
      <c r="C284" s="1186" t="str">
        <f>'[6]PLANILHA ORÇAMENTÁRIA'!E90</f>
        <v>TUBO PVC, SERIE NORMAL, ESGOTO PREDIAL, DN 100 MM, FORNECIDO E INSTALADO EM RAMAL DE DESCARGA OU RAMAL DE ESGOTO SANITÁRIO. AF_12/2014</v>
      </c>
      <c r="D284" s="1186"/>
      <c r="E284" s="1186"/>
      <c r="F284" s="1186"/>
      <c r="G284" s="1186"/>
      <c r="H284" s="1186"/>
      <c r="I284" s="1186"/>
      <c r="J284" s="1186"/>
      <c r="K284" s="510" t="str">
        <f>'[6]PLANILHA ORÇAMENTÁRIA'!F90</f>
        <v>M</v>
      </c>
      <c r="L284" s="511">
        <f>K287</f>
        <v>12</v>
      </c>
    </row>
    <row r="285" spans="2:12" hidden="1">
      <c r="B285" s="501"/>
      <c r="C285" s="1190" t="s">
        <v>20</v>
      </c>
      <c r="D285" s="1190"/>
      <c r="E285" s="1190"/>
      <c r="F285" s="512" t="s">
        <v>22</v>
      </c>
      <c r="G285" s="693" t="s">
        <v>111</v>
      </c>
      <c r="H285" s="693" t="s">
        <v>114</v>
      </c>
      <c r="I285" s="693" t="s">
        <v>113</v>
      </c>
      <c r="J285" s="693" t="s">
        <v>136</v>
      </c>
      <c r="K285" s="513" t="s">
        <v>25</v>
      </c>
      <c r="L285" s="503"/>
    </row>
    <row r="286" spans="2:12" hidden="1">
      <c r="B286" s="501"/>
      <c r="C286" s="1191"/>
      <c r="D286" s="1191"/>
      <c r="E286" s="1191"/>
      <c r="F286" s="514">
        <v>12</v>
      </c>
      <c r="G286" s="514"/>
      <c r="H286" s="514"/>
      <c r="I286" s="514"/>
      <c r="J286" s="514"/>
      <c r="K286" s="694">
        <f>F286</f>
        <v>12</v>
      </c>
      <c r="L286" s="503"/>
    </row>
    <row r="287" spans="2:12" hidden="1">
      <c r="B287" s="501"/>
      <c r="C287" s="1192" t="s">
        <v>116</v>
      </c>
      <c r="D287" s="1192"/>
      <c r="E287" s="1192"/>
      <c r="F287" s="1192"/>
      <c r="G287" s="1192"/>
      <c r="H287" s="1192"/>
      <c r="I287" s="1192"/>
      <c r="J287" s="1192"/>
      <c r="K287" s="513">
        <f>SUM(K286:K286)</f>
        <v>12</v>
      </c>
      <c r="L287" s="503"/>
    </row>
    <row r="288" spans="2:12" hidden="1">
      <c r="B288" s="493"/>
      <c r="C288" s="493"/>
      <c r="D288" s="493"/>
      <c r="E288" s="493"/>
      <c r="F288" s="493"/>
      <c r="G288" s="493"/>
      <c r="H288" s="493"/>
      <c r="I288" s="493"/>
      <c r="J288" s="493"/>
      <c r="K288" s="493"/>
      <c r="L288" s="493"/>
    </row>
    <row r="289" spans="2:12" ht="24" hidden="1" customHeight="1">
      <c r="B289" s="497" t="str">
        <f>'[6]PLANILHA ORÇAMENTÁRIA'!D91</f>
        <v>11.21</v>
      </c>
      <c r="C289" s="1186" t="str">
        <f>'[6]PLANILHA ORÇAMENTÁRIA'!E91</f>
        <v>LUVA SIMPLES, PVC, SERIE NORMAL, ESGOTO PREDIAL, DN 100 MM, JUNTA ELÁSTICA, FORNECIDO E INSTALADO EM RAMAL DE DESCARGA OU RAMAL DE ESGOTO SANITÁRIO. AF_12/2014</v>
      </c>
      <c r="D289" s="1186"/>
      <c r="E289" s="1186"/>
      <c r="F289" s="1186"/>
      <c r="G289" s="1186"/>
      <c r="H289" s="1186"/>
      <c r="I289" s="1186"/>
      <c r="J289" s="1186"/>
      <c r="K289" s="510" t="str">
        <f>'[6]PLANILHA ORÇAMENTÁRIA'!F91</f>
        <v>UND</v>
      </c>
      <c r="L289" s="511">
        <f>K292</f>
        <v>2</v>
      </c>
    </row>
    <row r="290" spans="2:12" hidden="1">
      <c r="B290" s="501"/>
      <c r="C290" s="1190" t="s">
        <v>20</v>
      </c>
      <c r="D290" s="1190"/>
      <c r="E290" s="1190"/>
      <c r="F290" s="512" t="s">
        <v>22</v>
      </c>
      <c r="G290" s="693" t="s">
        <v>111</v>
      </c>
      <c r="H290" s="693" t="s">
        <v>114</v>
      </c>
      <c r="I290" s="693" t="s">
        <v>113</v>
      </c>
      <c r="J290" s="693" t="s">
        <v>136</v>
      </c>
      <c r="K290" s="513" t="s">
        <v>25</v>
      </c>
      <c r="L290" s="503"/>
    </row>
    <row r="291" spans="2:12" hidden="1">
      <c r="B291" s="501"/>
      <c r="C291" s="1191"/>
      <c r="D291" s="1191"/>
      <c r="E291" s="1191"/>
      <c r="F291" s="514">
        <v>2</v>
      </c>
      <c r="G291" s="514"/>
      <c r="H291" s="514"/>
      <c r="I291" s="514"/>
      <c r="J291" s="514"/>
      <c r="K291" s="694">
        <f>F291</f>
        <v>2</v>
      </c>
      <c r="L291" s="503"/>
    </row>
    <row r="292" spans="2:12" hidden="1">
      <c r="B292" s="501"/>
      <c r="C292" s="1192" t="s">
        <v>116</v>
      </c>
      <c r="D292" s="1192"/>
      <c r="E292" s="1192"/>
      <c r="F292" s="1192"/>
      <c r="G292" s="1192"/>
      <c r="H292" s="1192"/>
      <c r="I292" s="1192"/>
      <c r="J292" s="1192"/>
      <c r="K292" s="513">
        <f>SUM(K291:K291)</f>
        <v>2</v>
      </c>
      <c r="L292" s="503"/>
    </row>
    <row r="293" spans="2:12" hidden="1">
      <c r="B293" s="493"/>
      <c r="C293" s="493"/>
      <c r="D293" s="493"/>
      <c r="E293" s="493"/>
      <c r="F293" s="493"/>
      <c r="G293" s="493"/>
      <c r="H293" s="493"/>
      <c r="I293" s="493"/>
      <c r="J293" s="493"/>
      <c r="K293" s="493"/>
      <c r="L293" s="493"/>
    </row>
    <row r="294" spans="2:12" ht="46.5" hidden="1" customHeight="1">
      <c r="B294" s="497" t="str">
        <f>'[6]PLANILHA ORÇAMENTÁRIA'!D92</f>
        <v>11.22</v>
      </c>
      <c r="C294" s="1186" t="str">
        <f>'[6]PLANILHA ORÇAMENTÁRIA'!E92</f>
        <v>COLETOR PREDIAL DE ESGOTO, DA CAIXA ATÉ A REDE (DISTÂNCIA = 8 M, LARGURA DA VALA = 0,65 M), INCLUINDO ESCAVAÇÃO MECANIZADA, PREPARO DE FUNDO DE VALA E REATERRO COM COMPACTAÇÃO MECANIZADA, TUBO PVC P/ REDE COLETORA ESGOTO JEI DN 100 MM E CONEXÕES - FORNECIMENTO E INSTALAÇÃO. AF_03/2016</v>
      </c>
      <c r="D294" s="1186"/>
      <c r="E294" s="1186"/>
      <c r="F294" s="1186"/>
      <c r="G294" s="1186"/>
      <c r="H294" s="1186"/>
      <c r="I294" s="1186"/>
      <c r="J294" s="1186"/>
      <c r="K294" s="510" t="str">
        <f>'[6]PLANILHA ORÇAMENTÁRIA'!F92</f>
        <v>UND</v>
      </c>
      <c r="L294" s="511">
        <f>K297</f>
        <v>1</v>
      </c>
    </row>
    <row r="295" spans="2:12" hidden="1">
      <c r="B295" s="501"/>
      <c r="C295" s="1190" t="s">
        <v>20</v>
      </c>
      <c r="D295" s="1190"/>
      <c r="E295" s="1190"/>
      <c r="F295" s="512" t="s">
        <v>22</v>
      </c>
      <c r="G295" s="693" t="s">
        <v>111</v>
      </c>
      <c r="H295" s="693" t="s">
        <v>114</v>
      </c>
      <c r="I295" s="693" t="s">
        <v>113</v>
      </c>
      <c r="J295" s="693" t="s">
        <v>136</v>
      </c>
      <c r="K295" s="513" t="s">
        <v>25</v>
      </c>
      <c r="L295" s="503"/>
    </row>
    <row r="296" spans="2:12" hidden="1">
      <c r="B296" s="501"/>
      <c r="C296" s="1191"/>
      <c r="D296" s="1191"/>
      <c r="E296" s="1191"/>
      <c r="F296" s="514">
        <v>1</v>
      </c>
      <c r="G296" s="514"/>
      <c r="H296" s="514"/>
      <c r="I296" s="514"/>
      <c r="J296" s="514"/>
      <c r="K296" s="694">
        <f>F296</f>
        <v>1</v>
      </c>
      <c r="L296" s="503"/>
    </row>
    <row r="297" spans="2:12" hidden="1">
      <c r="B297" s="501"/>
      <c r="C297" s="1192" t="s">
        <v>116</v>
      </c>
      <c r="D297" s="1192"/>
      <c r="E297" s="1192"/>
      <c r="F297" s="1192"/>
      <c r="G297" s="1192"/>
      <c r="H297" s="1192"/>
      <c r="I297" s="1192"/>
      <c r="J297" s="1192"/>
      <c r="K297" s="513">
        <f>SUM(K296:K296)</f>
        <v>1</v>
      </c>
      <c r="L297" s="503"/>
    </row>
    <row r="298" spans="2:12" hidden="1">
      <c r="B298" s="493"/>
      <c r="C298" s="493"/>
      <c r="D298" s="493"/>
      <c r="E298" s="493"/>
      <c r="F298" s="493"/>
      <c r="G298" s="493"/>
      <c r="H298" s="493"/>
      <c r="I298" s="493"/>
      <c r="J298" s="493"/>
      <c r="K298" s="493"/>
      <c r="L298" s="493"/>
    </row>
    <row r="299" spans="2:12" hidden="1">
      <c r="B299" s="501" t="str">
        <f>'[6]PLANILHA ORÇAMENTÁRIA'!D93</f>
        <v>12.0</v>
      </c>
      <c r="C299" s="1193" t="str">
        <f>'[6]PLANILHA ORÇAMENTÁRIA'!E93</f>
        <v>INSTALAÇÕES ELÉTRICAS</v>
      </c>
      <c r="D299" s="1193"/>
      <c r="E299" s="1193"/>
      <c r="F299" s="1193"/>
      <c r="G299" s="1193"/>
      <c r="H299" s="1193"/>
      <c r="I299" s="1193"/>
      <c r="J299" s="1193"/>
      <c r="K299" s="497"/>
      <c r="L299" s="497"/>
    </row>
    <row r="300" spans="2:12" ht="27.75" hidden="1" customHeight="1">
      <c r="B300" s="497" t="str">
        <f>'[6]PLANILHA ORÇAMENTÁRIA'!D94</f>
        <v>12.1</v>
      </c>
      <c r="C300" s="1186" t="str">
        <f>'[6]PLANILHA ORÇAMENTÁRIA'!E94</f>
        <v>PONTO DE ILUMINAÇÃO RESIDENCIAL INCLUINDO INTERRUPTOR SIMPLES, CAIXA ELÉTRICA, ELETRODUTO, CABO, RASGO, QUEBRA E CHUMBAMENTO (EXCLUINDO LUMINÁRIA E LÂMPADA). AF_01/2016</v>
      </c>
      <c r="D300" s="1186"/>
      <c r="E300" s="1186"/>
      <c r="F300" s="1186"/>
      <c r="G300" s="1186"/>
      <c r="H300" s="1186"/>
      <c r="I300" s="1186"/>
      <c r="J300" s="1186"/>
      <c r="K300" s="510" t="str">
        <f>'[6]PLANILHA ORÇAMENTÁRIA'!F94</f>
        <v>UND</v>
      </c>
      <c r="L300" s="511">
        <f>K303</f>
        <v>7</v>
      </c>
    </row>
    <row r="301" spans="2:12" hidden="1">
      <c r="B301" s="501"/>
      <c r="C301" s="1190" t="s">
        <v>20</v>
      </c>
      <c r="D301" s="1190"/>
      <c r="E301" s="1190"/>
      <c r="F301" s="512" t="s">
        <v>22</v>
      </c>
      <c r="G301" s="693" t="s">
        <v>111</v>
      </c>
      <c r="H301" s="693" t="s">
        <v>114</v>
      </c>
      <c r="I301" s="693" t="s">
        <v>113</v>
      </c>
      <c r="J301" s="693" t="s">
        <v>136</v>
      </c>
      <c r="K301" s="513" t="s">
        <v>25</v>
      </c>
      <c r="L301" s="503"/>
    </row>
    <row r="302" spans="2:12" hidden="1">
      <c r="B302" s="501"/>
      <c r="C302" s="1191"/>
      <c r="D302" s="1191"/>
      <c r="E302" s="1191"/>
      <c r="F302" s="514">
        <f>'[6]PLANILHA ORÇAMENTÁRIA'!G94</f>
        <v>7</v>
      </c>
      <c r="G302" s="514"/>
      <c r="H302" s="514"/>
      <c r="I302" s="514"/>
      <c r="J302" s="514"/>
      <c r="K302" s="694">
        <f>F302</f>
        <v>7</v>
      </c>
      <c r="L302" s="503"/>
    </row>
    <row r="303" spans="2:12" hidden="1">
      <c r="B303" s="501"/>
      <c r="C303" s="1192" t="s">
        <v>116</v>
      </c>
      <c r="D303" s="1192"/>
      <c r="E303" s="1192"/>
      <c r="F303" s="1192"/>
      <c r="G303" s="1192"/>
      <c r="H303" s="1192"/>
      <c r="I303" s="1192"/>
      <c r="J303" s="1192"/>
      <c r="K303" s="513">
        <f>SUM(K302:K302)</f>
        <v>7</v>
      </c>
      <c r="L303" s="503"/>
    </row>
    <row r="304" spans="2:12" hidden="1">
      <c r="B304" s="526"/>
      <c r="C304" s="526"/>
      <c r="D304" s="526"/>
      <c r="E304" s="526"/>
      <c r="F304" s="526"/>
      <c r="G304" s="526"/>
      <c r="H304" s="526"/>
      <c r="I304" s="526"/>
      <c r="J304" s="526"/>
      <c r="K304" s="526"/>
      <c r="L304" s="526"/>
    </row>
    <row r="305" spans="2:12" ht="29.25" hidden="1" customHeight="1">
      <c r="B305" s="497" t="str">
        <f>'[6]PLANILHA ORÇAMENTÁRIA'!D95</f>
        <v>12.2</v>
      </c>
      <c r="C305" s="1186" t="str">
        <f>'[6]PLANILHA ORÇAMENTÁRIA'!E95</f>
        <v>PONTO DE TOMADA RESIDENCIAL INCLUINDO TOMADA (2 MÓDULOS) 10A/250V, CAIXA ELÉTRICA, ELETRODUTO, CABO, RASGO, QUEBRA E CHUMBAMENTO. AF_01/2016</v>
      </c>
      <c r="D305" s="1186"/>
      <c r="E305" s="1186"/>
      <c r="F305" s="1186"/>
      <c r="G305" s="1186"/>
      <c r="H305" s="1186"/>
      <c r="I305" s="1186"/>
      <c r="J305" s="1186"/>
      <c r="K305" s="510" t="str">
        <f>'[6]PLANILHA ORÇAMENTÁRIA'!F95</f>
        <v>UND</v>
      </c>
      <c r="L305" s="511">
        <f>K308</f>
        <v>3</v>
      </c>
    </row>
    <row r="306" spans="2:12" hidden="1">
      <c r="B306" s="501"/>
      <c r="C306" s="1190" t="s">
        <v>20</v>
      </c>
      <c r="D306" s="1190"/>
      <c r="E306" s="1190"/>
      <c r="F306" s="512" t="s">
        <v>22</v>
      </c>
      <c r="G306" s="693" t="s">
        <v>111</v>
      </c>
      <c r="H306" s="693" t="s">
        <v>114</v>
      </c>
      <c r="I306" s="693" t="s">
        <v>113</v>
      </c>
      <c r="J306" s="693" t="s">
        <v>136</v>
      </c>
      <c r="K306" s="513" t="s">
        <v>25</v>
      </c>
      <c r="L306" s="503"/>
    </row>
    <row r="307" spans="2:12" hidden="1">
      <c r="B307" s="501"/>
      <c r="C307" s="1191"/>
      <c r="D307" s="1191"/>
      <c r="E307" s="1191"/>
      <c r="F307" s="514">
        <f>'[6]PLANILHA ORÇAMENTÁRIA'!G95</f>
        <v>3</v>
      </c>
      <c r="G307" s="514"/>
      <c r="H307" s="514"/>
      <c r="I307" s="514"/>
      <c r="J307" s="514"/>
      <c r="K307" s="694">
        <f>F307</f>
        <v>3</v>
      </c>
      <c r="L307" s="503"/>
    </row>
    <row r="308" spans="2:12" hidden="1">
      <c r="B308" s="501"/>
      <c r="C308" s="1192" t="s">
        <v>116</v>
      </c>
      <c r="D308" s="1192"/>
      <c r="E308" s="1192"/>
      <c r="F308" s="1192"/>
      <c r="G308" s="1192"/>
      <c r="H308" s="1192"/>
      <c r="I308" s="1192"/>
      <c r="J308" s="1192"/>
      <c r="K308" s="513">
        <f>SUM(K307:K307)</f>
        <v>3</v>
      </c>
      <c r="L308" s="503"/>
    </row>
    <row r="309" spans="2:12" hidden="1">
      <c r="B309" s="526"/>
      <c r="C309" s="526"/>
      <c r="D309" s="526"/>
      <c r="E309" s="526"/>
      <c r="F309" s="526"/>
      <c r="G309" s="526"/>
      <c r="H309" s="526"/>
      <c r="I309" s="526"/>
      <c r="J309" s="526"/>
      <c r="K309" s="526"/>
      <c r="L309" s="526"/>
    </row>
    <row r="310" spans="2:12" ht="27.75" hidden="1" customHeight="1">
      <c r="B310" s="497" t="str">
        <f>'[6]PLANILHA ORÇAMENTÁRIA'!D96</f>
        <v>12.3</v>
      </c>
      <c r="C310" s="1186" t="str">
        <f>'[6]PLANILHA ORÇAMENTÁRIA'!E96</f>
        <v>POSTE DE ACO CONICO CONTINUO CURVO DUPLO, FLANGEADO, COM JANELA DE INSPECAO H=9M - FORNECIMENTO E INSTALACAO</v>
      </c>
      <c r="D310" s="1186"/>
      <c r="E310" s="1186"/>
      <c r="F310" s="1186"/>
      <c r="G310" s="1186"/>
      <c r="H310" s="1186"/>
      <c r="I310" s="1186"/>
      <c r="J310" s="1186"/>
      <c r="K310" s="510" t="str">
        <f>'[6]PLANILHA ORÇAMENTÁRIA'!F96</f>
        <v>UND</v>
      </c>
      <c r="L310" s="511">
        <f>K313</f>
        <v>4</v>
      </c>
    </row>
    <row r="311" spans="2:12" hidden="1">
      <c r="B311" s="501"/>
      <c r="C311" s="1190" t="s">
        <v>20</v>
      </c>
      <c r="D311" s="1190"/>
      <c r="E311" s="1190"/>
      <c r="F311" s="512" t="s">
        <v>22</v>
      </c>
      <c r="G311" s="693" t="s">
        <v>111</v>
      </c>
      <c r="H311" s="693" t="s">
        <v>114</v>
      </c>
      <c r="I311" s="693" t="s">
        <v>113</v>
      </c>
      <c r="J311" s="693" t="s">
        <v>136</v>
      </c>
      <c r="K311" s="513" t="s">
        <v>25</v>
      </c>
      <c r="L311" s="503"/>
    </row>
    <row r="312" spans="2:12" hidden="1">
      <c r="B312" s="501"/>
      <c r="C312" s="1191"/>
      <c r="D312" s="1191"/>
      <c r="E312" s="1191"/>
      <c r="F312" s="514">
        <f>'[6]PLANILHA ORÇAMENTÁRIA'!G96</f>
        <v>4</v>
      </c>
      <c r="G312" s="514"/>
      <c r="H312" s="514"/>
      <c r="I312" s="514"/>
      <c r="J312" s="514"/>
      <c r="K312" s="694">
        <f>F312</f>
        <v>4</v>
      </c>
      <c r="L312" s="503"/>
    </row>
    <row r="313" spans="2:12" hidden="1">
      <c r="B313" s="501"/>
      <c r="C313" s="1192" t="s">
        <v>116</v>
      </c>
      <c r="D313" s="1192"/>
      <c r="E313" s="1192"/>
      <c r="F313" s="1192"/>
      <c r="G313" s="1192"/>
      <c r="H313" s="1192"/>
      <c r="I313" s="1192"/>
      <c r="J313" s="1192"/>
      <c r="K313" s="513">
        <f>SUM(K312:K312)</f>
        <v>4</v>
      </c>
      <c r="L313" s="503"/>
    </row>
    <row r="314" spans="2:12" hidden="1">
      <c r="B314" s="526"/>
      <c r="C314" s="526"/>
      <c r="D314" s="526"/>
      <c r="E314" s="526"/>
      <c r="F314" s="526"/>
      <c r="G314" s="526"/>
      <c r="H314" s="526"/>
      <c r="I314" s="526"/>
      <c r="J314" s="526"/>
      <c r="K314" s="526"/>
      <c r="L314" s="526"/>
    </row>
    <row r="315" spans="2:12" ht="42.75" hidden="1" customHeight="1">
      <c r="B315" s="497" t="str">
        <f>'[6]PLANILHA ORÇAMENTÁRIA'!D97</f>
        <v>12.4</v>
      </c>
      <c r="C315" s="1186" t="str">
        <f>'[6]PLANILHA ORÇAMENTÁRIA'!E97</f>
        <v>QUADRO DE DISTRIBUICAO DE ENERGIA DE EMBUTIR, EM CHAPA METALICA, PARA 18 DISJUNTORES TERMOMAGNETICOS MONOPOLARES, COM BARRAMENTO TRIFASICO E NEUTRO, FORNECIMENTO E INSTALACAO</v>
      </c>
      <c r="D315" s="1186"/>
      <c r="E315" s="1186"/>
      <c r="F315" s="1186"/>
      <c r="G315" s="1186"/>
      <c r="H315" s="1186"/>
      <c r="I315" s="1186"/>
      <c r="J315" s="1186"/>
      <c r="K315" s="510" t="str">
        <f>'[6]PLANILHA ORÇAMENTÁRIA'!F97</f>
        <v>UND</v>
      </c>
      <c r="L315" s="511">
        <f>K318</f>
        <v>1</v>
      </c>
    </row>
    <row r="316" spans="2:12" hidden="1">
      <c r="B316" s="501"/>
      <c r="C316" s="1190" t="s">
        <v>20</v>
      </c>
      <c r="D316" s="1190"/>
      <c r="E316" s="1190"/>
      <c r="F316" s="512" t="s">
        <v>22</v>
      </c>
      <c r="G316" s="693" t="s">
        <v>111</v>
      </c>
      <c r="H316" s="693" t="s">
        <v>114</v>
      </c>
      <c r="I316" s="693" t="s">
        <v>113</v>
      </c>
      <c r="J316" s="693" t="s">
        <v>136</v>
      </c>
      <c r="K316" s="513" t="s">
        <v>25</v>
      </c>
      <c r="L316" s="503"/>
    </row>
    <row r="317" spans="2:12" hidden="1">
      <c r="B317" s="501"/>
      <c r="C317" s="1191"/>
      <c r="D317" s="1191"/>
      <c r="E317" s="1191"/>
      <c r="F317" s="514">
        <f>'[6]PLANILHA ORÇAMENTÁRIA'!G97</f>
        <v>1</v>
      </c>
      <c r="G317" s="514"/>
      <c r="H317" s="514"/>
      <c r="I317" s="514"/>
      <c r="J317" s="514"/>
      <c r="K317" s="694">
        <f>F317</f>
        <v>1</v>
      </c>
      <c r="L317" s="503"/>
    </row>
    <row r="318" spans="2:12" hidden="1">
      <c r="B318" s="501"/>
      <c r="C318" s="1192" t="s">
        <v>116</v>
      </c>
      <c r="D318" s="1192"/>
      <c r="E318" s="1192"/>
      <c r="F318" s="1192"/>
      <c r="G318" s="1192"/>
      <c r="H318" s="1192"/>
      <c r="I318" s="1192"/>
      <c r="J318" s="1192"/>
      <c r="K318" s="513">
        <f>SUM(K317:K317)</f>
        <v>1</v>
      </c>
      <c r="L318" s="503"/>
    </row>
    <row r="319" spans="2:12" hidden="1">
      <c r="B319" s="526"/>
      <c r="C319" s="526"/>
      <c r="D319" s="526"/>
      <c r="E319" s="526"/>
      <c r="F319" s="526"/>
      <c r="G319" s="526"/>
      <c r="H319" s="526"/>
      <c r="I319" s="526"/>
      <c r="J319" s="526"/>
      <c r="K319" s="526"/>
      <c r="L319" s="526"/>
    </row>
    <row r="320" spans="2:12" ht="28.5" hidden="1" customHeight="1">
      <c r="B320" s="497" t="str">
        <f>'[6]PLANILHA ORÇAMENTÁRIA'!D98</f>
        <v>12.5</v>
      </c>
      <c r="C320" s="1186" t="str">
        <f>'[6]PLANILHA ORÇAMENTÁRIA'!E98</f>
        <v>DISJUNTOR TERMOMAGNETICO MONOPOLAR PADRAO NEMA (AMERICANO) 10 A 30A 240V, FORNECIMENTO E INSTALACAO</v>
      </c>
      <c r="D320" s="1186"/>
      <c r="E320" s="1186"/>
      <c r="F320" s="1186"/>
      <c r="G320" s="1186"/>
      <c r="H320" s="1186"/>
      <c r="I320" s="1186"/>
      <c r="J320" s="1186"/>
      <c r="K320" s="510" t="str">
        <f>'[6]PLANILHA ORÇAMENTÁRIA'!F98</f>
        <v>UND</v>
      </c>
      <c r="L320" s="511">
        <f>K323</f>
        <v>3</v>
      </c>
    </row>
    <row r="321" spans="2:12" hidden="1">
      <c r="B321" s="501"/>
      <c r="C321" s="1190" t="s">
        <v>20</v>
      </c>
      <c r="D321" s="1190"/>
      <c r="E321" s="1190"/>
      <c r="F321" s="512" t="s">
        <v>22</v>
      </c>
      <c r="G321" s="693" t="s">
        <v>111</v>
      </c>
      <c r="H321" s="693" t="s">
        <v>114</v>
      </c>
      <c r="I321" s="693" t="s">
        <v>113</v>
      </c>
      <c r="J321" s="693" t="s">
        <v>136</v>
      </c>
      <c r="K321" s="513" t="s">
        <v>25</v>
      </c>
      <c r="L321" s="503"/>
    </row>
    <row r="322" spans="2:12" hidden="1">
      <c r="B322" s="501"/>
      <c r="C322" s="1191"/>
      <c r="D322" s="1191"/>
      <c r="E322" s="1191"/>
      <c r="F322" s="514">
        <f>'[6]PLANILHA ORÇAMENTÁRIA'!G98</f>
        <v>3</v>
      </c>
      <c r="G322" s="514"/>
      <c r="H322" s="514"/>
      <c r="I322" s="514"/>
      <c r="J322" s="514"/>
      <c r="K322" s="694">
        <f>F322</f>
        <v>3</v>
      </c>
      <c r="L322" s="503"/>
    </row>
    <row r="323" spans="2:12" hidden="1">
      <c r="B323" s="501"/>
      <c r="C323" s="1192" t="s">
        <v>116</v>
      </c>
      <c r="D323" s="1192"/>
      <c r="E323" s="1192"/>
      <c r="F323" s="1192"/>
      <c r="G323" s="1192"/>
      <c r="H323" s="1192"/>
      <c r="I323" s="1192"/>
      <c r="J323" s="1192"/>
      <c r="K323" s="513">
        <f>SUM(K322:K322)</f>
        <v>3</v>
      </c>
      <c r="L323" s="503"/>
    </row>
    <row r="324" spans="2:12" hidden="1">
      <c r="B324" s="501"/>
      <c r="C324" s="517"/>
      <c r="D324" s="517"/>
      <c r="E324" s="517"/>
      <c r="F324" s="517"/>
      <c r="G324" s="517"/>
      <c r="H324" s="517"/>
      <c r="I324" s="517"/>
      <c r="J324" s="517"/>
      <c r="K324" s="519"/>
      <c r="L324" s="503"/>
    </row>
    <row r="325" spans="2:12" ht="15" hidden="1" customHeight="1">
      <c r="B325" s="497" t="str">
        <f>'[6]PLANILHA ORÇAMENTÁRIA'!D99</f>
        <v>12.6</v>
      </c>
      <c r="C325" s="1186" t="str">
        <f>'[6]PLANILHA ORÇAMENTÁRIA'!E99</f>
        <v>DISJUNTOR TERMOMAGNETICO BIPOLAR PADRAO NEMA (AMERICANO) 10 A 50A 240V, FORNECIMENTO E INSTALACAO</v>
      </c>
      <c r="D325" s="1186"/>
      <c r="E325" s="1186"/>
      <c r="F325" s="1186"/>
      <c r="G325" s="1186"/>
      <c r="H325" s="1186"/>
      <c r="I325" s="1186"/>
      <c r="J325" s="1186"/>
      <c r="K325" s="510" t="str">
        <f>'[6]PLANILHA ORÇAMENTÁRIA'!F99</f>
        <v>UND</v>
      </c>
      <c r="L325" s="511">
        <f>K328</f>
        <v>1</v>
      </c>
    </row>
    <row r="326" spans="2:12" hidden="1">
      <c r="B326" s="501"/>
      <c r="C326" s="1190" t="s">
        <v>20</v>
      </c>
      <c r="D326" s="1190"/>
      <c r="E326" s="1190"/>
      <c r="F326" s="512" t="s">
        <v>22</v>
      </c>
      <c r="G326" s="693" t="s">
        <v>111</v>
      </c>
      <c r="H326" s="693" t="s">
        <v>114</v>
      </c>
      <c r="I326" s="693" t="s">
        <v>113</v>
      </c>
      <c r="J326" s="693" t="s">
        <v>136</v>
      </c>
      <c r="K326" s="513" t="s">
        <v>25</v>
      </c>
      <c r="L326" s="503"/>
    </row>
    <row r="327" spans="2:12" hidden="1">
      <c r="B327" s="501"/>
      <c r="C327" s="1191"/>
      <c r="D327" s="1191"/>
      <c r="E327" s="1191"/>
      <c r="F327" s="514">
        <f>'[6]PLANILHA ORÇAMENTÁRIA'!G99</f>
        <v>1</v>
      </c>
      <c r="G327" s="514"/>
      <c r="H327" s="514"/>
      <c r="I327" s="514"/>
      <c r="J327" s="514"/>
      <c r="K327" s="694">
        <f>F327</f>
        <v>1</v>
      </c>
      <c r="L327" s="503"/>
    </row>
    <row r="328" spans="2:12" hidden="1">
      <c r="B328" s="501"/>
      <c r="C328" s="1192" t="s">
        <v>116</v>
      </c>
      <c r="D328" s="1192"/>
      <c r="E328" s="1192"/>
      <c r="F328" s="1192"/>
      <c r="G328" s="1192"/>
      <c r="H328" s="1192"/>
      <c r="I328" s="1192"/>
      <c r="J328" s="1192"/>
      <c r="K328" s="513">
        <f>SUM(K327:K327)</f>
        <v>1</v>
      </c>
      <c r="L328" s="503"/>
    </row>
    <row r="329" spans="2:12" hidden="1">
      <c r="B329" s="501"/>
      <c r="C329" s="517"/>
      <c r="D329" s="517"/>
      <c r="E329" s="517"/>
      <c r="F329" s="517"/>
      <c r="G329" s="517"/>
      <c r="H329" s="517"/>
      <c r="I329" s="517"/>
      <c r="J329" s="517"/>
      <c r="K329" s="519"/>
      <c r="L329" s="503"/>
    </row>
    <row r="330" spans="2:12" ht="30.75" hidden="1" customHeight="1">
      <c r="B330" s="497" t="str">
        <f>'[6]PLANILHA ORÇAMENTÁRIA'!D100</f>
        <v>12.7</v>
      </c>
      <c r="C330" s="1186" t="str">
        <f>'[6]PLANILHA ORÇAMENTÁRIA'!E100</f>
        <v>DISJUNTOR TERMOMAGNETICO TRIPOLAR PADRAO NEMA (AMERICANO) 10 A 50A 240V, FORNECIMENTO E INSTALACAO</v>
      </c>
      <c r="D330" s="1186"/>
      <c r="E330" s="1186"/>
      <c r="F330" s="1186"/>
      <c r="G330" s="1186"/>
      <c r="H330" s="1186"/>
      <c r="I330" s="1186"/>
      <c r="J330" s="1186"/>
      <c r="K330" s="510" t="str">
        <f>'[6]PLANILHA ORÇAMENTÁRIA'!F100</f>
        <v>UND</v>
      </c>
      <c r="L330" s="511">
        <f>K333</f>
        <v>1</v>
      </c>
    </row>
    <row r="331" spans="2:12" hidden="1">
      <c r="B331" s="501"/>
      <c r="C331" s="1190" t="s">
        <v>20</v>
      </c>
      <c r="D331" s="1190"/>
      <c r="E331" s="1190"/>
      <c r="F331" s="512" t="s">
        <v>22</v>
      </c>
      <c r="G331" s="693" t="s">
        <v>111</v>
      </c>
      <c r="H331" s="693" t="s">
        <v>114</v>
      </c>
      <c r="I331" s="693" t="s">
        <v>113</v>
      </c>
      <c r="J331" s="693" t="s">
        <v>136</v>
      </c>
      <c r="K331" s="513" t="s">
        <v>25</v>
      </c>
      <c r="L331" s="503"/>
    </row>
    <row r="332" spans="2:12" hidden="1">
      <c r="B332" s="501"/>
      <c r="C332" s="1191"/>
      <c r="D332" s="1191"/>
      <c r="E332" s="1191"/>
      <c r="F332" s="514">
        <f>'[6]PLANILHA ORÇAMENTÁRIA'!G100</f>
        <v>1</v>
      </c>
      <c r="G332" s="514"/>
      <c r="H332" s="514"/>
      <c r="I332" s="514"/>
      <c r="J332" s="514"/>
      <c r="K332" s="694">
        <f>F332</f>
        <v>1</v>
      </c>
      <c r="L332" s="503"/>
    </row>
    <row r="333" spans="2:12" hidden="1">
      <c r="B333" s="501"/>
      <c r="C333" s="1192" t="s">
        <v>116</v>
      </c>
      <c r="D333" s="1192"/>
      <c r="E333" s="1192"/>
      <c r="F333" s="1192"/>
      <c r="G333" s="1192"/>
      <c r="H333" s="1192"/>
      <c r="I333" s="1192"/>
      <c r="J333" s="1192"/>
      <c r="K333" s="513">
        <f>SUM(K332:K332)</f>
        <v>1</v>
      </c>
      <c r="L333" s="503"/>
    </row>
    <row r="334" spans="2:12" hidden="1">
      <c r="B334" s="501"/>
      <c r="C334" s="517"/>
      <c r="D334" s="517"/>
      <c r="E334" s="517"/>
      <c r="F334" s="517"/>
      <c r="G334" s="517"/>
      <c r="H334" s="517"/>
      <c r="I334" s="517"/>
      <c r="J334" s="517"/>
      <c r="K334" s="519"/>
      <c r="L334" s="503"/>
    </row>
    <row r="335" spans="2:12" ht="15" hidden="1" customHeight="1">
      <c r="B335" s="497" t="str">
        <f>'[6]PLANILHA ORÇAMENTÁRIA'!D101</f>
        <v>12.8</v>
      </c>
      <c r="C335" s="1186" t="str">
        <f>'[6]PLANILHA ORÇAMENTÁRIA'!E101</f>
        <v>LUMINÁRIA TIPO PLAFON, DE SOBREPOR, COM 1 LÂMPADA LED - FORNECIMENTO E INSTALAÇÃO. AF_11/2017</v>
      </c>
      <c r="D335" s="1186"/>
      <c r="E335" s="1186"/>
      <c r="F335" s="1186"/>
      <c r="G335" s="1186"/>
      <c r="H335" s="1186"/>
      <c r="I335" s="1186"/>
      <c r="J335" s="1186"/>
      <c r="K335" s="510" t="str">
        <f>'[6]PLANILHA ORÇAMENTÁRIA'!F101</f>
        <v>UND</v>
      </c>
      <c r="L335" s="511">
        <f>K338</f>
        <v>3</v>
      </c>
    </row>
    <row r="336" spans="2:12" hidden="1">
      <c r="B336" s="501"/>
      <c r="C336" s="1190" t="s">
        <v>20</v>
      </c>
      <c r="D336" s="1190"/>
      <c r="E336" s="1190"/>
      <c r="F336" s="512" t="s">
        <v>22</v>
      </c>
      <c r="G336" s="693" t="s">
        <v>111</v>
      </c>
      <c r="H336" s="693" t="s">
        <v>114</v>
      </c>
      <c r="I336" s="693" t="s">
        <v>113</v>
      </c>
      <c r="J336" s="693" t="s">
        <v>136</v>
      </c>
      <c r="K336" s="513" t="s">
        <v>25</v>
      </c>
      <c r="L336" s="503"/>
    </row>
    <row r="337" spans="2:12" hidden="1">
      <c r="B337" s="501"/>
      <c r="C337" s="1191"/>
      <c r="D337" s="1191"/>
      <c r="E337" s="1191"/>
      <c r="F337" s="514">
        <f>'[6]PLANILHA ORÇAMENTÁRIA'!G101</f>
        <v>3</v>
      </c>
      <c r="G337" s="514"/>
      <c r="H337" s="514"/>
      <c r="I337" s="514"/>
      <c r="J337" s="514"/>
      <c r="K337" s="694">
        <f>F337</f>
        <v>3</v>
      </c>
      <c r="L337" s="503"/>
    </row>
    <row r="338" spans="2:12" hidden="1">
      <c r="B338" s="501"/>
      <c r="C338" s="1192" t="s">
        <v>116</v>
      </c>
      <c r="D338" s="1192"/>
      <c r="E338" s="1192"/>
      <c r="F338" s="1192"/>
      <c r="G338" s="1192"/>
      <c r="H338" s="1192"/>
      <c r="I338" s="1192"/>
      <c r="J338" s="1192"/>
      <c r="K338" s="513">
        <f>SUM(K337:K337)</f>
        <v>3</v>
      </c>
      <c r="L338" s="503"/>
    </row>
    <row r="339" spans="2:12" hidden="1">
      <c r="B339" s="493"/>
      <c r="C339" s="493"/>
      <c r="D339" s="493"/>
      <c r="E339" s="493"/>
      <c r="F339" s="493"/>
      <c r="G339" s="493"/>
      <c r="H339" s="493"/>
      <c r="I339" s="493"/>
      <c r="J339" s="493"/>
      <c r="K339" s="493"/>
      <c r="L339" s="493"/>
    </row>
    <row r="340" spans="2:12" ht="21.75" hidden="1" customHeight="1">
      <c r="B340" s="497" t="str">
        <f>'[6]PLANILHA ORÇAMENTÁRIA'!D102</f>
        <v>12.9</v>
      </c>
      <c r="C340" s="1186" t="str">
        <f>'[6]PLANILHA ORÇAMENTÁRIA'!E102</f>
        <v>LUMINÁRIAS TIPO CALHA, DE SOBREPOR E LÂMPADAS EM LED 2X2X18W, COMPLETAS, FORNECIMENTO E INSTALAÇÃO</v>
      </c>
      <c r="D340" s="1186"/>
      <c r="E340" s="1186"/>
      <c r="F340" s="1186"/>
      <c r="G340" s="1186"/>
      <c r="H340" s="1186"/>
      <c r="I340" s="1186"/>
      <c r="J340" s="1186"/>
      <c r="K340" s="510" t="str">
        <f>'[6]PLANILHA ORÇAMENTÁRIA'!F102</f>
        <v>UND</v>
      </c>
      <c r="L340" s="511">
        <f>K343</f>
        <v>4</v>
      </c>
    </row>
    <row r="341" spans="2:12" hidden="1">
      <c r="B341" s="501"/>
      <c r="C341" s="1190" t="s">
        <v>20</v>
      </c>
      <c r="D341" s="1190"/>
      <c r="E341" s="1190"/>
      <c r="F341" s="512" t="s">
        <v>22</v>
      </c>
      <c r="G341" s="693" t="s">
        <v>111</v>
      </c>
      <c r="H341" s="693" t="s">
        <v>114</v>
      </c>
      <c r="I341" s="693" t="s">
        <v>113</v>
      </c>
      <c r="J341" s="693" t="s">
        <v>136</v>
      </c>
      <c r="K341" s="513" t="s">
        <v>25</v>
      </c>
      <c r="L341" s="503"/>
    </row>
    <row r="342" spans="2:12" hidden="1">
      <c r="B342" s="501"/>
      <c r="C342" s="1191"/>
      <c r="D342" s="1191"/>
      <c r="E342" s="1191"/>
      <c r="F342" s="514">
        <f>'[6]PLANILHA ORÇAMENTÁRIA'!G102</f>
        <v>4</v>
      </c>
      <c r="G342" s="514"/>
      <c r="H342" s="514"/>
      <c r="I342" s="514"/>
      <c r="J342" s="514"/>
      <c r="K342" s="694">
        <f>F342</f>
        <v>4</v>
      </c>
      <c r="L342" s="503"/>
    </row>
    <row r="343" spans="2:12" hidden="1">
      <c r="B343" s="501"/>
      <c r="C343" s="1192" t="s">
        <v>116</v>
      </c>
      <c r="D343" s="1192"/>
      <c r="E343" s="1192"/>
      <c r="F343" s="1192"/>
      <c r="G343" s="1192"/>
      <c r="H343" s="1192"/>
      <c r="I343" s="1192"/>
      <c r="J343" s="1192"/>
      <c r="K343" s="513">
        <f>SUM(K342:K342)</f>
        <v>4</v>
      </c>
      <c r="L343" s="503"/>
    </row>
    <row r="344" spans="2:12" hidden="1">
      <c r="B344" s="493"/>
      <c r="C344" s="493"/>
      <c r="D344" s="493"/>
      <c r="E344" s="493"/>
      <c r="F344" s="493"/>
      <c r="G344" s="493"/>
      <c r="H344" s="493"/>
      <c r="I344" s="493"/>
      <c r="J344" s="493"/>
      <c r="K344" s="493"/>
      <c r="L344" s="493"/>
    </row>
    <row r="345" spans="2:12" ht="27.75" hidden="1" customHeight="1">
      <c r="B345" s="497" t="str">
        <f>'[6]PLANILHA ORÇAMENTÁRIA'!D103</f>
        <v>12.10</v>
      </c>
      <c r="C345" s="1186" t="str">
        <f>'[6]PLANILHA ORÇAMENTÁRIA'!E103</f>
        <v>RELE FOTOELETRICO P/ COMANDO DE ILUMINACAO EXTERNA 220V/1000W - FORNECIMENTO E INSTALACAO</v>
      </c>
      <c r="D345" s="1186"/>
      <c r="E345" s="1186"/>
      <c r="F345" s="1186"/>
      <c r="G345" s="1186"/>
      <c r="H345" s="1186"/>
      <c r="I345" s="1186"/>
      <c r="J345" s="1186"/>
      <c r="K345" s="510" t="str">
        <f>'[6]PLANILHA ORÇAMENTÁRIA'!F103</f>
        <v>UND</v>
      </c>
      <c r="L345" s="511">
        <f>K348</f>
        <v>1</v>
      </c>
    </row>
    <row r="346" spans="2:12" hidden="1">
      <c r="B346" s="501"/>
      <c r="C346" s="1190" t="s">
        <v>20</v>
      </c>
      <c r="D346" s="1190"/>
      <c r="E346" s="1190"/>
      <c r="F346" s="512" t="s">
        <v>22</v>
      </c>
      <c r="G346" s="693" t="s">
        <v>111</v>
      </c>
      <c r="H346" s="693" t="s">
        <v>114</v>
      </c>
      <c r="I346" s="693" t="s">
        <v>113</v>
      </c>
      <c r="J346" s="693" t="s">
        <v>136</v>
      </c>
      <c r="K346" s="513" t="s">
        <v>25</v>
      </c>
      <c r="L346" s="503"/>
    </row>
    <row r="347" spans="2:12" hidden="1">
      <c r="B347" s="501"/>
      <c r="C347" s="1191"/>
      <c r="D347" s="1191"/>
      <c r="E347" s="1191"/>
      <c r="F347" s="514">
        <f>'[6]PLANILHA ORÇAMENTÁRIA'!G103</f>
        <v>1</v>
      </c>
      <c r="G347" s="514"/>
      <c r="H347" s="514"/>
      <c r="I347" s="514"/>
      <c r="J347" s="514"/>
      <c r="K347" s="694">
        <f>F347</f>
        <v>1</v>
      </c>
      <c r="L347" s="503"/>
    </row>
    <row r="348" spans="2:12" hidden="1">
      <c r="B348" s="501"/>
      <c r="C348" s="1192" t="s">
        <v>116</v>
      </c>
      <c r="D348" s="1192"/>
      <c r="E348" s="1192"/>
      <c r="F348" s="1192"/>
      <c r="G348" s="1192"/>
      <c r="H348" s="1192"/>
      <c r="I348" s="1192"/>
      <c r="J348" s="1192"/>
      <c r="K348" s="513">
        <f>SUM(K347:K347)</f>
        <v>1</v>
      </c>
      <c r="L348" s="503"/>
    </row>
    <row r="349" spans="2:12" hidden="1">
      <c r="B349" s="493"/>
      <c r="C349" s="493"/>
      <c r="D349" s="493"/>
      <c r="E349" s="493"/>
      <c r="F349" s="493"/>
      <c r="G349" s="493"/>
      <c r="H349" s="493"/>
      <c r="I349" s="493"/>
      <c r="J349" s="493"/>
      <c r="K349" s="493"/>
      <c r="L349" s="493"/>
    </row>
    <row r="350" spans="2:12" ht="29.25" hidden="1" customHeight="1">
      <c r="B350" s="497" t="str">
        <f>'[6]PLANILHA ORÇAMENTÁRIA'!D104</f>
        <v>12.11</v>
      </c>
      <c r="C350" s="1186" t="str">
        <f>'[6]PLANILHA ORÇAMENTÁRIA'!E104</f>
        <v>ELETRODUTO RÍGIDO ROSCÁVEL, PVC, DN 32 MM (1"), PARA CIRCUITOS TERMINAIS, INSTALADO EM FORRO - FORNECIMENTO E INSTALAÇÃO. AF_12/2015</v>
      </c>
      <c r="D350" s="1186"/>
      <c r="E350" s="1186"/>
      <c r="F350" s="1186"/>
      <c r="G350" s="1186"/>
      <c r="H350" s="1186"/>
      <c r="I350" s="1186"/>
      <c r="J350" s="1186"/>
      <c r="K350" s="510" t="str">
        <f>'[6]PLANILHA ORÇAMENTÁRIA'!F104</f>
        <v>M</v>
      </c>
      <c r="L350" s="511">
        <f>K353</f>
        <v>70</v>
      </c>
    </row>
    <row r="351" spans="2:12" hidden="1">
      <c r="B351" s="501"/>
      <c r="C351" s="1190" t="s">
        <v>20</v>
      </c>
      <c r="D351" s="1190"/>
      <c r="E351" s="1190"/>
      <c r="F351" s="512" t="s">
        <v>22</v>
      </c>
      <c r="G351" s="693" t="s">
        <v>111</v>
      </c>
      <c r="H351" s="693" t="s">
        <v>114</v>
      </c>
      <c r="I351" s="693" t="s">
        <v>113</v>
      </c>
      <c r="J351" s="693" t="s">
        <v>136</v>
      </c>
      <c r="K351" s="513" t="s">
        <v>25</v>
      </c>
      <c r="L351" s="503"/>
    </row>
    <row r="352" spans="2:12" hidden="1">
      <c r="B352" s="501"/>
      <c r="C352" s="1191"/>
      <c r="D352" s="1191"/>
      <c r="E352" s="1191"/>
      <c r="F352" s="514"/>
      <c r="G352" s="514"/>
      <c r="H352" s="514"/>
      <c r="I352" s="514">
        <f>'[6]PLANILHA ORÇAMENTÁRIA'!G104</f>
        <v>70</v>
      </c>
      <c r="J352" s="514"/>
      <c r="K352" s="694">
        <f>I352</f>
        <v>70</v>
      </c>
      <c r="L352" s="503"/>
    </row>
    <row r="353" spans="2:12" hidden="1">
      <c r="B353" s="501"/>
      <c r="C353" s="1192" t="s">
        <v>116</v>
      </c>
      <c r="D353" s="1192"/>
      <c r="E353" s="1192"/>
      <c r="F353" s="1192"/>
      <c r="G353" s="1192"/>
      <c r="H353" s="1192"/>
      <c r="I353" s="1192"/>
      <c r="J353" s="1192"/>
      <c r="K353" s="513">
        <f>SUM(K352:K352)</f>
        <v>70</v>
      </c>
      <c r="L353" s="503"/>
    </row>
    <row r="354" spans="2:12" hidden="1">
      <c r="B354" s="493"/>
      <c r="C354" s="493"/>
      <c r="D354" s="493"/>
      <c r="E354" s="493"/>
      <c r="F354" s="493"/>
      <c r="G354" s="493"/>
      <c r="H354" s="493"/>
      <c r="I354" s="493"/>
      <c r="J354" s="493"/>
      <c r="K354" s="493"/>
      <c r="L354" s="493"/>
    </row>
    <row r="355" spans="2:12" ht="15" hidden="1" customHeight="1">
      <c r="B355" s="497" t="str">
        <f>'[6]PLANILHA ORÇAMENTÁRIA'!D105</f>
        <v>12.12</v>
      </c>
      <c r="C355" s="1186" t="str">
        <f>'[6]PLANILHA ORÇAMENTÁRIA'!E105</f>
        <v>REFLETOR SIMPLES LED 150W DE POTÊNCIA, BRANCO FRIO, 6500K, AUTOVOLT, MARCA G-LIGHT OU SIMILAR</v>
      </c>
      <c r="D355" s="1186"/>
      <c r="E355" s="1186"/>
      <c r="F355" s="1186"/>
      <c r="G355" s="1186"/>
      <c r="H355" s="1186"/>
      <c r="I355" s="1186"/>
      <c r="J355" s="1186"/>
      <c r="K355" s="510" t="str">
        <f>'[6]PLANILHA ORÇAMENTÁRIA'!F105</f>
        <v>UND</v>
      </c>
      <c r="L355" s="511">
        <f>K358</f>
        <v>8</v>
      </c>
    </row>
    <row r="356" spans="2:12" hidden="1">
      <c r="B356" s="501"/>
      <c r="C356" s="1190" t="s">
        <v>20</v>
      </c>
      <c r="D356" s="1190"/>
      <c r="E356" s="1190"/>
      <c r="F356" s="512" t="s">
        <v>22</v>
      </c>
      <c r="G356" s="693" t="s">
        <v>111</v>
      </c>
      <c r="H356" s="693" t="s">
        <v>114</v>
      </c>
      <c r="I356" s="693" t="s">
        <v>113</v>
      </c>
      <c r="J356" s="693" t="s">
        <v>136</v>
      </c>
      <c r="K356" s="513" t="s">
        <v>25</v>
      </c>
      <c r="L356" s="503"/>
    </row>
    <row r="357" spans="2:12" hidden="1">
      <c r="B357" s="501"/>
      <c r="C357" s="1191"/>
      <c r="D357" s="1191"/>
      <c r="E357" s="1191"/>
      <c r="F357" s="514">
        <f>'[6]PLANILHA ORÇAMENTÁRIA'!G105</f>
        <v>8</v>
      </c>
      <c r="G357" s="514"/>
      <c r="H357" s="514"/>
      <c r="I357" s="514"/>
      <c r="J357" s="514"/>
      <c r="K357" s="694">
        <f>F357</f>
        <v>8</v>
      </c>
      <c r="L357" s="503"/>
    </row>
    <row r="358" spans="2:12" hidden="1">
      <c r="B358" s="501"/>
      <c r="C358" s="1192" t="s">
        <v>116</v>
      </c>
      <c r="D358" s="1192"/>
      <c r="E358" s="1192"/>
      <c r="F358" s="1192"/>
      <c r="G358" s="1192"/>
      <c r="H358" s="1192"/>
      <c r="I358" s="1192"/>
      <c r="J358" s="1192"/>
      <c r="K358" s="513">
        <f>SUM(K357:K357)</f>
        <v>8</v>
      </c>
      <c r="L358" s="503"/>
    </row>
    <row r="359" spans="2:12" hidden="1">
      <c r="B359" s="493"/>
      <c r="C359" s="493"/>
      <c r="D359" s="493"/>
      <c r="E359" s="493"/>
      <c r="F359" s="493"/>
      <c r="G359" s="493"/>
      <c r="H359" s="493"/>
      <c r="I359" s="493"/>
      <c r="J359" s="493"/>
      <c r="K359" s="493"/>
      <c r="L359" s="493"/>
    </row>
    <row r="360" spans="2:12" ht="21.75" hidden="1" customHeight="1">
      <c r="B360" s="497" t="str">
        <f>'[6]PLANILHA ORÇAMENTÁRIA'!D106</f>
        <v>12.13</v>
      </c>
      <c r="C360" s="1186" t="str">
        <f>'[6]PLANILHA ORÇAMENTÁRIA'!E106</f>
        <v>CAIXA ENTERRADA ELÉTRICA RETANGULAR, EM ALVENARIA COM TIJOLOS CERÂMICOS MACIÇOS, FUNDO COM BRITA, DIMENSÕES INTERNAS: 0,3X0,3X0,3 M. AF_05/2018</v>
      </c>
      <c r="D360" s="1186"/>
      <c r="E360" s="1186"/>
      <c r="F360" s="1186"/>
      <c r="G360" s="1186"/>
      <c r="H360" s="1186"/>
      <c r="I360" s="1186"/>
      <c r="J360" s="1186"/>
      <c r="K360" s="510" t="str">
        <f>'[6]PLANILHA ORÇAMENTÁRIA'!F106</f>
        <v>UND</v>
      </c>
      <c r="L360" s="511">
        <f>K363</f>
        <v>0</v>
      </c>
    </row>
    <row r="361" spans="2:12" hidden="1">
      <c r="B361" s="501"/>
      <c r="C361" s="1190" t="s">
        <v>20</v>
      </c>
      <c r="D361" s="1190"/>
      <c r="E361" s="1190"/>
      <c r="F361" s="512" t="s">
        <v>22</v>
      </c>
      <c r="G361" s="693" t="s">
        <v>111</v>
      </c>
      <c r="H361" s="693" t="s">
        <v>114</v>
      </c>
      <c r="I361" s="693" t="s">
        <v>113</v>
      </c>
      <c r="J361" s="693" t="s">
        <v>136</v>
      </c>
      <c r="K361" s="513" t="s">
        <v>25</v>
      </c>
      <c r="L361" s="503"/>
    </row>
    <row r="362" spans="2:12" hidden="1">
      <c r="B362" s="501"/>
      <c r="C362" s="1191"/>
      <c r="D362" s="1191"/>
      <c r="E362" s="1191"/>
      <c r="F362" s="514">
        <f>'[6]PLANILHA ORÇAMENTÁRIA'!G106</f>
        <v>4</v>
      </c>
      <c r="G362" s="514"/>
      <c r="H362" s="514"/>
      <c r="I362" s="514"/>
      <c r="J362" s="514"/>
      <c r="K362" s="694">
        <f>I362</f>
        <v>0</v>
      </c>
      <c r="L362" s="503"/>
    </row>
    <row r="363" spans="2:12" hidden="1">
      <c r="B363" s="501"/>
      <c r="C363" s="1192" t="s">
        <v>116</v>
      </c>
      <c r="D363" s="1192"/>
      <c r="E363" s="1192"/>
      <c r="F363" s="1192"/>
      <c r="G363" s="1192"/>
      <c r="H363" s="1192"/>
      <c r="I363" s="1192"/>
      <c r="J363" s="1192"/>
      <c r="K363" s="513">
        <f>SUM(K362:K362)</f>
        <v>0</v>
      </c>
      <c r="L363" s="503"/>
    </row>
    <row r="364" spans="2:12" hidden="1">
      <c r="B364" s="493"/>
      <c r="C364" s="493"/>
      <c r="D364" s="493"/>
      <c r="E364" s="493"/>
      <c r="F364" s="493"/>
      <c r="G364" s="493"/>
      <c r="H364" s="493"/>
      <c r="I364" s="493"/>
      <c r="J364" s="493"/>
      <c r="K364" s="493"/>
      <c r="L364" s="493"/>
    </row>
    <row r="365" spans="2:12" ht="24.75" hidden="1" customHeight="1">
      <c r="B365" s="497" t="str">
        <f>'[6]PLANILHA ORÇAMENTÁRIA'!D107</f>
        <v>12.14</v>
      </c>
      <c r="C365" s="1186" t="str">
        <f>'[6]PLANILHA ORÇAMENTÁRIA'!E107</f>
        <v>CABO DE COBRE FLEXÍVEL ISOLADO, 4 MM², ANTI-CHAMA 450/750 V, PARA CIRCUITOS TERMINAIS - FORNECIMENTO E INSTALAÇÃO. AF_12/2015</v>
      </c>
      <c r="D365" s="1186"/>
      <c r="E365" s="1186"/>
      <c r="F365" s="1186"/>
      <c r="G365" s="1186"/>
      <c r="H365" s="1186"/>
      <c r="I365" s="1186"/>
      <c r="J365" s="1186"/>
      <c r="K365" s="510" t="str">
        <f>'[6]PLANILHA ORÇAMENTÁRIA'!F107</f>
        <v>M</v>
      </c>
      <c r="L365" s="511">
        <f>K368</f>
        <v>160</v>
      </c>
    </row>
    <row r="366" spans="2:12" hidden="1">
      <c r="B366" s="501"/>
      <c r="C366" s="1190" t="s">
        <v>20</v>
      </c>
      <c r="D366" s="1190"/>
      <c r="E366" s="1190"/>
      <c r="F366" s="512" t="s">
        <v>22</v>
      </c>
      <c r="G366" s="693" t="s">
        <v>111</v>
      </c>
      <c r="H366" s="693" t="s">
        <v>114</v>
      </c>
      <c r="I366" s="693" t="s">
        <v>113</v>
      </c>
      <c r="J366" s="693" t="s">
        <v>136</v>
      </c>
      <c r="K366" s="513" t="s">
        <v>25</v>
      </c>
      <c r="L366" s="503"/>
    </row>
    <row r="367" spans="2:12" hidden="1">
      <c r="B367" s="501"/>
      <c r="C367" s="1191"/>
      <c r="D367" s="1191"/>
      <c r="E367" s="1191"/>
      <c r="F367" s="514"/>
      <c r="G367" s="514"/>
      <c r="H367" s="514"/>
      <c r="I367" s="514">
        <f>'[6]PLANILHA ORÇAMENTÁRIA'!G107</f>
        <v>160</v>
      </c>
      <c r="J367" s="514"/>
      <c r="K367" s="694">
        <f>I367</f>
        <v>160</v>
      </c>
      <c r="L367" s="503"/>
    </row>
    <row r="368" spans="2:12" hidden="1">
      <c r="B368" s="501"/>
      <c r="C368" s="1192" t="s">
        <v>116</v>
      </c>
      <c r="D368" s="1192"/>
      <c r="E368" s="1192"/>
      <c r="F368" s="1192"/>
      <c r="G368" s="1192"/>
      <c r="H368" s="1192"/>
      <c r="I368" s="1192"/>
      <c r="J368" s="1192"/>
      <c r="K368" s="513">
        <f>SUM(K367:K367)</f>
        <v>160</v>
      </c>
      <c r="L368" s="503"/>
    </row>
    <row r="369" spans="2:12" hidden="1">
      <c r="B369" s="501"/>
      <c r="C369" s="517"/>
      <c r="D369" s="517"/>
      <c r="E369" s="517"/>
      <c r="F369" s="517"/>
      <c r="G369" s="517"/>
      <c r="H369" s="517"/>
      <c r="I369" s="517"/>
      <c r="J369" s="517"/>
      <c r="K369" s="519"/>
      <c r="L369" s="503"/>
    </row>
    <row r="370" spans="2:12" ht="32.25" hidden="1" customHeight="1">
      <c r="B370" s="497" t="str">
        <f>'[6]PLANILHA ORÇAMENTÁRIA'!D108</f>
        <v>12.15</v>
      </c>
      <c r="C370" s="1186" t="str">
        <f>'[6]PLANILHA ORÇAMENTÁRIA'!E108</f>
        <v>CABO DE COBRE FLEXÍVEL ISOLADO, 2,5 MM², ANTI-CHAMA 450/750 V, PARA CIRCUITOS TERMINAIS - FORNECIMENTO E INSTALAÇÃO. AF_12/2015</v>
      </c>
      <c r="D370" s="1186"/>
      <c r="E370" s="1186"/>
      <c r="F370" s="1186"/>
      <c r="G370" s="1186"/>
      <c r="H370" s="1186"/>
      <c r="I370" s="1186"/>
      <c r="J370" s="1186"/>
      <c r="K370" s="510" t="str">
        <f>'[6]PLANILHA ORÇAMENTÁRIA'!F108</f>
        <v>M</v>
      </c>
      <c r="L370" s="511">
        <f>K373</f>
        <v>160</v>
      </c>
    </row>
    <row r="371" spans="2:12" hidden="1">
      <c r="B371" s="501"/>
      <c r="C371" s="1190" t="s">
        <v>20</v>
      </c>
      <c r="D371" s="1190"/>
      <c r="E371" s="1190"/>
      <c r="F371" s="512" t="s">
        <v>22</v>
      </c>
      <c r="G371" s="693" t="s">
        <v>111</v>
      </c>
      <c r="H371" s="693" t="s">
        <v>114</v>
      </c>
      <c r="I371" s="693" t="s">
        <v>113</v>
      </c>
      <c r="J371" s="693" t="s">
        <v>136</v>
      </c>
      <c r="K371" s="513" t="s">
        <v>25</v>
      </c>
      <c r="L371" s="503"/>
    </row>
    <row r="372" spans="2:12" hidden="1">
      <c r="B372" s="501"/>
      <c r="C372" s="1191"/>
      <c r="D372" s="1191"/>
      <c r="E372" s="1191"/>
      <c r="F372" s="514"/>
      <c r="G372" s="514"/>
      <c r="H372" s="514"/>
      <c r="I372" s="514">
        <f>'[6]PLANILHA ORÇAMENTÁRIA'!G108</f>
        <v>160</v>
      </c>
      <c r="J372" s="514"/>
      <c r="K372" s="694">
        <f>I372</f>
        <v>160</v>
      </c>
      <c r="L372" s="503"/>
    </row>
    <row r="373" spans="2:12" hidden="1">
      <c r="B373" s="501"/>
      <c r="C373" s="1192" t="s">
        <v>116</v>
      </c>
      <c r="D373" s="1192"/>
      <c r="E373" s="1192"/>
      <c r="F373" s="1192"/>
      <c r="G373" s="1192"/>
      <c r="H373" s="1192"/>
      <c r="I373" s="1192"/>
      <c r="J373" s="1192"/>
      <c r="K373" s="513">
        <f>SUM(K372:K372)</f>
        <v>160</v>
      </c>
      <c r="L373" s="503"/>
    </row>
    <row r="374" spans="2:12" hidden="1">
      <c r="B374" s="493"/>
      <c r="C374" s="493"/>
      <c r="D374" s="493"/>
      <c r="E374" s="493"/>
      <c r="F374" s="493"/>
      <c r="G374" s="493"/>
      <c r="H374" s="493"/>
      <c r="I374" s="493"/>
      <c r="J374" s="493"/>
      <c r="K374" s="493"/>
      <c r="L374" s="493"/>
    </row>
    <row r="375" spans="2:12" hidden="1">
      <c r="B375" s="501" t="str">
        <f>'[6]PLANILHA ORÇAMENTÁRIA'!D109</f>
        <v>13.0</v>
      </c>
      <c r="C375" s="1193" t="str">
        <f>'[6]PLANILHA ORÇAMENTÁRIA'!E109</f>
        <v>PINTURA</v>
      </c>
      <c r="D375" s="1193"/>
      <c r="E375" s="1193"/>
      <c r="F375" s="1193"/>
      <c r="G375" s="1193"/>
      <c r="H375" s="1193"/>
      <c r="I375" s="1193"/>
      <c r="J375" s="1193"/>
      <c r="K375" s="497"/>
      <c r="L375" s="497"/>
    </row>
    <row r="376" spans="2:12" ht="15" hidden="1" customHeight="1">
      <c r="B376" s="497" t="str">
        <f>'[6]PLANILHA ORÇAMENTÁRIA'!D110</f>
        <v>13.1</v>
      </c>
      <c r="C376" s="1186" t="str">
        <f>'[6]PLANILHA ORÇAMENTÁRIA'!E110</f>
        <v>APLICAÇÃO DE FUNDO SELADOR LÁTEX PVA EM TETO, UMA DEMÃO. AF_06/2014</v>
      </c>
      <c r="D376" s="1186"/>
      <c r="E376" s="1186"/>
      <c r="F376" s="1186"/>
      <c r="G376" s="1186"/>
      <c r="H376" s="1186"/>
      <c r="I376" s="1186"/>
      <c r="J376" s="1186"/>
      <c r="K376" s="510" t="str">
        <f>'[6]PLANILHA ORÇAMENTÁRIA'!F110</f>
        <v>M2</v>
      </c>
      <c r="L376" s="511">
        <f>K383</f>
        <v>23.02</v>
      </c>
    </row>
    <row r="377" spans="2:12" hidden="1">
      <c r="B377" s="501"/>
      <c r="C377" s="1190" t="s">
        <v>20</v>
      </c>
      <c r="D377" s="1190"/>
      <c r="E377" s="1190"/>
      <c r="F377" s="512" t="s">
        <v>22</v>
      </c>
      <c r="G377" s="693" t="s">
        <v>111</v>
      </c>
      <c r="H377" s="512" t="s">
        <v>112</v>
      </c>
      <c r="I377" s="693" t="s">
        <v>113</v>
      </c>
      <c r="J377" s="693" t="s">
        <v>114</v>
      </c>
      <c r="K377" s="513" t="s">
        <v>25</v>
      </c>
      <c r="L377" s="503"/>
    </row>
    <row r="378" spans="2:12" hidden="1">
      <c r="B378" s="501"/>
      <c r="C378" s="1191" t="s">
        <v>167</v>
      </c>
      <c r="D378" s="1191"/>
      <c r="E378" s="1191"/>
      <c r="F378" s="514"/>
      <c r="G378" s="514"/>
      <c r="H378" s="514">
        <v>2</v>
      </c>
      <c r="I378" s="514">
        <v>4.2</v>
      </c>
      <c r="J378" s="514"/>
      <c r="K378" s="694">
        <f>TRUNC(H378*I378,2)</f>
        <v>8.4</v>
      </c>
      <c r="L378" s="503"/>
    </row>
    <row r="379" spans="2:12" hidden="1">
      <c r="B379" s="501"/>
      <c r="C379" s="1191" t="s">
        <v>168</v>
      </c>
      <c r="D379" s="1191"/>
      <c r="E379" s="1191"/>
      <c r="F379" s="514"/>
      <c r="G379" s="514"/>
      <c r="H379" s="514">
        <v>2</v>
      </c>
      <c r="I379" s="514">
        <v>3.13</v>
      </c>
      <c r="J379" s="514"/>
      <c r="K379" s="694">
        <f>TRUNC(H379*I379,2)</f>
        <v>6.26</v>
      </c>
      <c r="L379" s="503"/>
    </row>
    <row r="380" spans="2:12" hidden="1">
      <c r="B380" s="501"/>
      <c r="C380" s="1191" t="s">
        <v>169</v>
      </c>
      <c r="D380" s="1191"/>
      <c r="E380" s="1191"/>
      <c r="F380" s="514"/>
      <c r="G380" s="514"/>
      <c r="H380" s="514">
        <v>1</v>
      </c>
      <c r="I380" s="514">
        <v>1.05</v>
      </c>
      <c r="J380" s="514"/>
      <c r="K380" s="694">
        <f>TRUNC(H380*I380,2)</f>
        <v>1.05</v>
      </c>
      <c r="L380" s="503"/>
    </row>
    <row r="381" spans="2:12" hidden="1">
      <c r="B381" s="501"/>
      <c r="C381" s="1191" t="s">
        <v>170</v>
      </c>
      <c r="D381" s="1191"/>
      <c r="E381" s="1191"/>
      <c r="F381" s="514"/>
      <c r="G381" s="514"/>
      <c r="H381" s="514">
        <v>2</v>
      </c>
      <c r="I381" s="514">
        <v>3.13</v>
      </c>
      <c r="J381" s="514"/>
      <c r="K381" s="694">
        <f>TRUNC(H381*I381,2)</f>
        <v>6.26</v>
      </c>
      <c r="L381" s="503"/>
    </row>
    <row r="382" spans="2:12" hidden="1">
      <c r="B382" s="501"/>
      <c r="C382" s="1191" t="s">
        <v>171</v>
      </c>
      <c r="D382" s="1191"/>
      <c r="E382" s="1191"/>
      <c r="F382" s="514"/>
      <c r="G382" s="514"/>
      <c r="H382" s="514">
        <v>1</v>
      </c>
      <c r="I382" s="514">
        <v>1.05</v>
      </c>
      <c r="J382" s="514"/>
      <c r="K382" s="694">
        <f>TRUNC(H382*I382,2)</f>
        <v>1.05</v>
      </c>
      <c r="L382" s="503"/>
    </row>
    <row r="383" spans="2:12" hidden="1">
      <c r="B383" s="501"/>
      <c r="C383" s="1192" t="s">
        <v>116</v>
      </c>
      <c r="D383" s="1192"/>
      <c r="E383" s="1192"/>
      <c r="F383" s="1192"/>
      <c r="G383" s="1192"/>
      <c r="H383" s="1192"/>
      <c r="I383" s="1192"/>
      <c r="J383" s="1192"/>
      <c r="K383" s="513">
        <f>SUM(K378:K382)</f>
        <v>23.02</v>
      </c>
      <c r="L383" s="503"/>
    </row>
    <row r="384" spans="2:12" hidden="1">
      <c r="B384" s="493"/>
      <c r="C384" s="493"/>
      <c r="D384" s="493"/>
      <c r="E384" s="493"/>
      <c r="F384" s="493"/>
      <c r="G384" s="493"/>
      <c r="H384" s="493"/>
      <c r="I384" s="493"/>
      <c r="J384" s="493"/>
      <c r="K384" s="493"/>
      <c r="L384" s="493"/>
    </row>
    <row r="385" spans="2:12" ht="15" hidden="1" customHeight="1">
      <c r="B385" s="497" t="str">
        <f>'[6]PLANILHA ORÇAMENTÁRIA'!D111</f>
        <v>13.2</v>
      </c>
      <c r="C385" s="1186" t="str">
        <f>'[6]PLANILHA ORÇAMENTÁRIA'!E111</f>
        <v>APLICAÇÃO E LIXAMENTO DE MASSA LÁTEX EM TETO, DUAS DEMÃOS. AF_06/2014</v>
      </c>
      <c r="D385" s="1186"/>
      <c r="E385" s="1186"/>
      <c r="F385" s="1186"/>
      <c r="G385" s="1186"/>
      <c r="H385" s="1186"/>
      <c r="I385" s="1186"/>
      <c r="J385" s="1186"/>
      <c r="K385" s="510" t="str">
        <f>'[6]PLANILHA ORÇAMENTÁRIA'!F111</f>
        <v>M2</v>
      </c>
      <c r="L385" s="511">
        <f>K392</f>
        <v>23.02</v>
      </c>
    </row>
    <row r="386" spans="2:12" hidden="1">
      <c r="B386" s="501"/>
      <c r="C386" s="1190" t="s">
        <v>20</v>
      </c>
      <c r="D386" s="1190"/>
      <c r="E386" s="1190"/>
      <c r="F386" s="512" t="s">
        <v>22</v>
      </c>
      <c r="G386" s="693" t="s">
        <v>111</v>
      </c>
      <c r="H386" s="512" t="s">
        <v>112</v>
      </c>
      <c r="I386" s="693" t="s">
        <v>113</v>
      </c>
      <c r="J386" s="693" t="s">
        <v>114</v>
      </c>
      <c r="K386" s="513" t="s">
        <v>25</v>
      </c>
      <c r="L386" s="503"/>
    </row>
    <row r="387" spans="2:12" hidden="1">
      <c r="B387" s="501"/>
      <c r="C387" s="1191" t="s">
        <v>167</v>
      </c>
      <c r="D387" s="1191"/>
      <c r="E387" s="1191"/>
      <c r="F387" s="514"/>
      <c r="G387" s="514"/>
      <c r="H387" s="514">
        <v>2</v>
      </c>
      <c r="I387" s="514">
        <v>4.2</v>
      </c>
      <c r="J387" s="514"/>
      <c r="K387" s="694">
        <f>TRUNC(H387*I387,2)</f>
        <v>8.4</v>
      </c>
      <c r="L387" s="503"/>
    </row>
    <row r="388" spans="2:12" hidden="1">
      <c r="B388" s="501"/>
      <c r="C388" s="1191" t="s">
        <v>168</v>
      </c>
      <c r="D388" s="1191"/>
      <c r="E388" s="1191"/>
      <c r="F388" s="514"/>
      <c r="G388" s="514"/>
      <c r="H388" s="514">
        <v>2</v>
      </c>
      <c r="I388" s="514">
        <v>3.13</v>
      </c>
      <c r="J388" s="514"/>
      <c r="K388" s="694">
        <f>TRUNC(H388*I388,2)</f>
        <v>6.26</v>
      </c>
      <c r="L388" s="503"/>
    </row>
    <row r="389" spans="2:12" hidden="1">
      <c r="B389" s="501"/>
      <c r="C389" s="1191" t="s">
        <v>169</v>
      </c>
      <c r="D389" s="1191"/>
      <c r="E389" s="1191"/>
      <c r="F389" s="514"/>
      <c r="G389" s="514"/>
      <c r="H389" s="514">
        <v>1</v>
      </c>
      <c r="I389" s="514">
        <v>1.05</v>
      </c>
      <c r="J389" s="514"/>
      <c r="K389" s="694">
        <f>TRUNC(H389*I389,2)</f>
        <v>1.05</v>
      </c>
      <c r="L389" s="503"/>
    </row>
    <row r="390" spans="2:12" hidden="1">
      <c r="B390" s="501"/>
      <c r="C390" s="1191" t="s">
        <v>170</v>
      </c>
      <c r="D390" s="1191"/>
      <c r="E390" s="1191"/>
      <c r="F390" s="514"/>
      <c r="G390" s="514"/>
      <c r="H390" s="514">
        <v>2</v>
      </c>
      <c r="I390" s="514">
        <v>3.13</v>
      </c>
      <c r="J390" s="514"/>
      <c r="K390" s="694">
        <f>TRUNC(H390*I390,2)</f>
        <v>6.26</v>
      </c>
      <c r="L390" s="503"/>
    </row>
    <row r="391" spans="2:12" hidden="1">
      <c r="B391" s="501"/>
      <c r="C391" s="1191" t="s">
        <v>171</v>
      </c>
      <c r="D391" s="1191"/>
      <c r="E391" s="1191"/>
      <c r="F391" s="514"/>
      <c r="G391" s="514"/>
      <c r="H391" s="514">
        <v>1</v>
      </c>
      <c r="I391" s="514">
        <v>1.05</v>
      </c>
      <c r="J391" s="514"/>
      <c r="K391" s="694">
        <f>TRUNC(H391*I391,2)</f>
        <v>1.05</v>
      </c>
      <c r="L391" s="503"/>
    </row>
    <row r="392" spans="2:12" hidden="1">
      <c r="B392" s="501"/>
      <c r="C392" s="1192" t="s">
        <v>116</v>
      </c>
      <c r="D392" s="1192"/>
      <c r="E392" s="1192"/>
      <c r="F392" s="1192"/>
      <c r="G392" s="1192"/>
      <c r="H392" s="1192"/>
      <c r="I392" s="1192"/>
      <c r="J392" s="1192"/>
      <c r="K392" s="513">
        <f>SUM(K387:K391)</f>
        <v>23.02</v>
      </c>
      <c r="L392" s="503"/>
    </row>
    <row r="393" spans="2:12" hidden="1">
      <c r="B393" s="493"/>
      <c r="C393" s="493"/>
      <c r="D393" s="493"/>
      <c r="E393" s="493"/>
      <c r="F393" s="493"/>
      <c r="G393" s="493"/>
      <c r="H393" s="493"/>
      <c r="I393" s="493"/>
      <c r="J393" s="493"/>
      <c r="K393" s="493"/>
      <c r="L393" s="493"/>
    </row>
    <row r="394" spans="2:12" ht="15" hidden="1" customHeight="1">
      <c r="B394" s="497" t="str">
        <f>'[6]PLANILHA ORÇAMENTÁRIA'!D112</f>
        <v>13.3</v>
      </c>
      <c r="C394" s="1186" t="str">
        <f>'[6]PLANILHA ORÇAMENTÁRIA'!E112</f>
        <v>APLICAÇÃO MANUAL DE PINTURA COM TINTA LÁTEX PVA EM TETO, DUAS DEMÃOS. AF_06/2014</v>
      </c>
      <c r="D394" s="1186"/>
      <c r="E394" s="1186"/>
      <c r="F394" s="1186"/>
      <c r="G394" s="1186"/>
      <c r="H394" s="1186"/>
      <c r="I394" s="1186"/>
      <c r="J394" s="1186"/>
      <c r="K394" s="510" t="str">
        <f>'[6]PLANILHA ORÇAMENTÁRIA'!F112</f>
        <v>M2</v>
      </c>
      <c r="L394" s="511">
        <f>K401</f>
        <v>23.02</v>
      </c>
    </row>
    <row r="395" spans="2:12" hidden="1">
      <c r="B395" s="501"/>
      <c r="C395" s="1190" t="s">
        <v>20</v>
      </c>
      <c r="D395" s="1190"/>
      <c r="E395" s="1190"/>
      <c r="F395" s="512" t="s">
        <v>22</v>
      </c>
      <c r="G395" s="693" t="s">
        <v>111</v>
      </c>
      <c r="H395" s="512" t="s">
        <v>112</v>
      </c>
      <c r="I395" s="693" t="s">
        <v>113</v>
      </c>
      <c r="J395" s="693" t="s">
        <v>114</v>
      </c>
      <c r="K395" s="513" t="s">
        <v>25</v>
      </c>
      <c r="L395" s="503"/>
    </row>
    <row r="396" spans="2:12" hidden="1">
      <c r="B396" s="501"/>
      <c r="C396" s="1191" t="s">
        <v>167</v>
      </c>
      <c r="D396" s="1191"/>
      <c r="E396" s="1191"/>
      <c r="F396" s="514"/>
      <c r="G396" s="514"/>
      <c r="H396" s="514">
        <v>2</v>
      </c>
      <c r="I396" s="514">
        <v>4.2</v>
      </c>
      <c r="J396" s="514"/>
      <c r="K396" s="694">
        <f>TRUNC(H396*I396,2)</f>
        <v>8.4</v>
      </c>
      <c r="L396" s="503"/>
    </row>
    <row r="397" spans="2:12" hidden="1">
      <c r="B397" s="501"/>
      <c r="C397" s="1191" t="s">
        <v>168</v>
      </c>
      <c r="D397" s="1191"/>
      <c r="E397" s="1191"/>
      <c r="F397" s="514"/>
      <c r="G397" s="514"/>
      <c r="H397" s="514">
        <v>2</v>
      </c>
      <c r="I397" s="514">
        <v>3.13</v>
      </c>
      <c r="J397" s="514"/>
      <c r="K397" s="694">
        <f>TRUNC(H397*I397,2)</f>
        <v>6.26</v>
      </c>
      <c r="L397" s="503"/>
    </row>
    <row r="398" spans="2:12" hidden="1">
      <c r="B398" s="501"/>
      <c r="C398" s="1191" t="s">
        <v>169</v>
      </c>
      <c r="D398" s="1191"/>
      <c r="E398" s="1191"/>
      <c r="F398" s="514"/>
      <c r="G398" s="514"/>
      <c r="H398" s="514">
        <v>1</v>
      </c>
      <c r="I398" s="514">
        <v>1.05</v>
      </c>
      <c r="J398" s="514"/>
      <c r="K398" s="694">
        <f>TRUNC(H398*I398,2)</f>
        <v>1.05</v>
      </c>
      <c r="L398" s="503"/>
    </row>
    <row r="399" spans="2:12" hidden="1">
      <c r="B399" s="501"/>
      <c r="C399" s="1191" t="s">
        <v>170</v>
      </c>
      <c r="D399" s="1191"/>
      <c r="E399" s="1191"/>
      <c r="F399" s="514"/>
      <c r="G399" s="514"/>
      <c r="H399" s="514">
        <v>2</v>
      </c>
      <c r="I399" s="514">
        <v>3.13</v>
      </c>
      <c r="J399" s="514"/>
      <c r="K399" s="694">
        <f>TRUNC(H399*I399,2)</f>
        <v>6.26</v>
      </c>
      <c r="L399" s="503"/>
    </row>
    <row r="400" spans="2:12" hidden="1">
      <c r="B400" s="501"/>
      <c r="C400" s="1191" t="s">
        <v>171</v>
      </c>
      <c r="D400" s="1191"/>
      <c r="E400" s="1191"/>
      <c r="F400" s="514"/>
      <c r="G400" s="514"/>
      <c r="H400" s="514">
        <v>1</v>
      </c>
      <c r="I400" s="514">
        <v>1.05</v>
      </c>
      <c r="J400" s="514"/>
      <c r="K400" s="694">
        <f>TRUNC(H400*I400,2)</f>
        <v>1.05</v>
      </c>
      <c r="L400" s="503"/>
    </row>
    <row r="401" spans="2:12" hidden="1">
      <c r="B401" s="501"/>
      <c r="C401" s="1192" t="s">
        <v>116</v>
      </c>
      <c r="D401" s="1192"/>
      <c r="E401" s="1192"/>
      <c r="F401" s="1192"/>
      <c r="G401" s="1192"/>
      <c r="H401" s="1192"/>
      <c r="I401" s="1192"/>
      <c r="J401" s="1192"/>
      <c r="K401" s="513">
        <f>SUM(K396:K400)</f>
        <v>23.02</v>
      </c>
      <c r="L401" s="503"/>
    </row>
    <row r="402" spans="2:12" hidden="1">
      <c r="B402" s="493"/>
      <c r="C402" s="493"/>
      <c r="D402" s="493"/>
      <c r="E402" s="493"/>
      <c r="F402" s="493"/>
      <c r="G402" s="493"/>
      <c r="H402" s="493"/>
      <c r="I402" s="493"/>
      <c r="J402" s="493"/>
      <c r="K402" s="493"/>
      <c r="L402" s="493"/>
    </row>
    <row r="403" spans="2:12" hidden="1">
      <c r="B403" s="497" t="str">
        <f>'[6]PLANILHA ORÇAMENTÁRIA'!D113</f>
        <v>13.4</v>
      </c>
      <c r="C403" s="1186" t="str">
        <f>'[6]PLANILHA ORÇAMENTÁRIA'!E113</f>
        <v>APLICAÇÃO DE FUNDO SELADOR ACRÍLICO EM PAREDES, UMA DEMÃO. AF_06/2014</v>
      </c>
      <c r="D403" s="1186"/>
      <c r="E403" s="1186"/>
      <c r="F403" s="1186"/>
      <c r="G403" s="1186"/>
      <c r="H403" s="1186"/>
      <c r="I403" s="1186"/>
      <c r="J403" s="1186"/>
      <c r="K403" s="510" t="str">
        <f>'[6]PLANILHA ORÇAMENTÁRIA'!F113</f>
        <v>M2</v>
      </c>
      <c r="L403" s="511">
        <f>K407</f>
        <v>50.4</v>
      </c>
    </row>
    <row r="404" spans="2:12" hidden="1">
      <c r="B404" s="501"/>
      <c r="C404" s="1190" t="s">
        <v>20</v>
      </c>
      <c r="D404" s="1190"/>
      <c r="E404" s="1190"/>
      <c r="F404" s="512" t="s">
        <v>22</v>
      </c>
      <c r="G404" s="693" t="s">
        <v>111</v>
      </c>
      <c r="H404" s="512" t="s">
        <v>112</v>
      </c>
      <c r="I404" s="693" t="s">
        <v>154</v>
      </c>
      <c r="J404" s="693" t="s">
        <v>114</v>
      </c>
      <c r="K404" s="513" t="s">
        <v>25</v>
      </c>
      <c r="L404" s="503"/>
    </row>
    <row r="405" spans="2:12" ht="25.5" hidden="1" customHeight="1">
      <c r="B405" s="501"/>
      <c r="C405" s="1191" t="s">
        <v>172</v>
      </c>
      <c r="D405" s="1191"/>
      <c r="E405" s="1191"/>
      <c r="F405" s="514">
        <v>1</v>
      </c>
      <c r="G405" s="514">
        <v>2.4</v>
      </c>
      <c r="H405" s="514"/>
      <c r="I405" s="514">
        <v>12.6</v>
      </c>
      <c r="J405" s="514"/>
      <c r="K405" s="694">
        <f>TRUNC(((G405*I405)*F405)-J405,2)</f>
        <v>30.24</v>
      </c>
      <c r="L405" s="503"/>
    </row>
    <row r="406" spans="2:12" hidden="1">
      <c r="B406" s="501"/>
      <c r="C406" s="1191" t="s">
        <v>173</v>
      </c>
      <c r="D406" s="1191"/>
      <c r="E406" s="1191"/>
      <c r="F406" s="514">
        <v>1</v>
      </c>
      <c r="G406" s="514">
        <v>2.4</v>
      </c>
      <c r="H406" s="514"/>
      <c r="I406" s="514">
        <v>8.4</v>
      </c>
      <c r="J406" s="514"/>
      <c r="K406" s="694">
        <f>TRUNC(((G406*I406)*F406),2)</f>
        <v>20.16</v>
      </c>
      <c r="L406" s="503"/>
    </row>
    <row r="407" spans="2:12" hidden="1">
      <c r="B407" s="493"/>
      <c r="C407" s="1192" t="s">
        <v>116</v>
      </c>
      <c r="D407" s="1192"/>
      <c r="E407" s="1192"/>
      <c r="F407" s="1192"/>
      <c r="G407" s="1192"/>
      <c r="H407" s="1192"/>
      <c r="I407" s="1192"/>
      <c r="J407" s="1192"/>
      <c r="K407" s="513">
        <f>SUM(K405:K406)</f>
        <v>50.4</v>
      </c>
      <c r="L407" s="493"/>
    </row>
    <row r="408" spans="2:12" hidden="1">
      <c r="B408" s="493"/>
      <c r="C408" s="493"/>
      <c r="D408" s="493"/>
      <c r="E408" s="493"/>
      <c r="F408" s="493"/>
      <c r="G408" s="493"/>
      <c r="H408" s="493"/>
      <c r="I408" s="493"/>
      <c r="J408" s="493"/>
      <c r="K408" s="493"/>
      <c r="L408" s="493"/>
    </row>
    <row r="409" spans="2:12" hidden="1">
      <c r="B409" s="497" t="str">
        <f>'[6]PLANILHA ORÇAMENTÁRIA'!D114</f>
        <v>13.5</v>
      </c>
      <c r="C409" s="1186" t="str">
        <f>'[6]PLANILHA ORÇAMENTÁRIA'!E114</f>
        <v>APLICAÇÃO E LIXAMENTO DE MASSA LÁTEX EM PAREDES, UMA DEMÃO. AF_06/2014</v>
      </c>
      <c r="D409" s="1186"/>
      <c r="E409" s="1186"/>
      <c r="F409" s="1186"/>
      <c r="G409" s="1186"/>
      <c r="H409" s="1186"/>
      <c r="I409" s="1186"/>
      <c r="J409" s="1186"/>
      <c r="K409" s="510" t="str">
        <f>'[6]PLANILHA ORÇAMENTÁRIA'!F114</f>
        <v>M2</v>
      </c>
      <c r="L409" s="511">
        <f>K413</f>
        <v>50.4</v>
      </c>
    </row>
    <row r="410" spans="2:12" hidden="1">
      <c r="B410" s="501"/>
      <c r="C410" s="1190" t="s">
        <v>20</v>
      </c>
      <c r="D410" s="1190"/>
      <c r="E410" s="1190"/>
      <c r="F410" s="512" t="s">
        <v>22</v>
      </c>
      <c r="G410" s="693" t="s">
        <v>111</v>
      </c>
      <c r="H410" s="512" t="s">
        <v>112</v>
      </c>
      <c r="I410" s="693" t="s">
        <v>154</v>
      </c>
      <c r="J410" s="693" t="s">
        <v>114</v>
      </c>
      <c r="K410" s="513" t="s">
        <v>25</v>
      </c>
      <c r="L410" s="503"/>
    </row>
    <row r="411" spans="2:12" hidden="1">
      <c r="B411" s="501"/>
      <c r="C411" s="1191" t="s">
        <v>172</v>
      </c>
      <c r="D411" s="1191"/>
      <c r="E411" s="1191"/>
      <c r="F411" s="514">
        <v>1</v>
      </c>
      <c r="G411" s="514">
        <v>2.4</v>
      </c>
      <c r="H411" s="514"/>
      <c r="I411" s="514">
        <v>12.6</v>
      </c>
      <c r="J411" s="514"/>
      <c r="K411" s="694">
        <f>TRUNC(((G411*I411)*F411)-J411,2)</f>
        <v>30.24</v>
      </c>
      <c r="L411" s="503"/>
    </row>
    <row r="412" spans="2:12" hidden="1">
      <c r="B412" s="501"/>
      <c r="C412" s="1191" t="s">
        <v>173</v>
      </c>
      <c r="D412" s="1191"/>
      <c r="E412" s="1191"/>
      <c r="F412" s="514">
        <v>1</v>
      </c>
      <c r="G412" s="514">
        <v>2.4</v>
      </c>
      <c r="H412" s="514"/>
      <c r="I412" s="514">
        <v>8.4</v>
      </c>
      <c r="J412" s="514"/>
      <c r="K412" s="694">
        <f>TRUNC(((G412*I412)*F412),2)</f>
        <v>20.16</v>
      </c>
      <c r="L412" s="503"/>
    </row>
    <row r="413" spans="2:12" hidden="1">
      <c r="B413" s="493"/>
      <c r="C413" s="1192" t="s">
        <v>116</v>
      </c>
      <c r="D413" s="1192"/>
      <c r="E413" s="1192"/>
      <c r="F413" s="1192"/>
      <c r="G413" s="1192"/>
      <c r="H413" s="1192"/>
      <c r="I413" s="1192"/>
      <c r="J413" s="1192"/>
      <c r="K413" s="513">
        <f>SUM(K411:K412)</f>
        <v>50.4</v>
      </c>
      <c r="L413" s="493"/>
    </row>
    <row r="414" spans="2:12" hidden="1">
      <c r="B414" s="493"/>
      <c r="C414" s="493"/>
      <c r="D414" s="493"/>
      <c r="E414" s="493"/>
      <c r="F414" s="493"/>
      <c r="G414" s="493"/>
      <c r="H414" s="493"/>
      <c r="I414" s="493"/>
      <c r="J414" s="493"/>
      <c r="K414" s="493"/>
      <c r="L414" s="493"/>
    </row>
    <row r="415" spans="2:12" hidden="1">
      <c r="B415" s="497" t="str">
        <f>'[6]PLANILHA ORÇAMENTÁRIA'!D115</f>
        <v>13.6</v>
      </c>
      <c r="C415" s="1186" t="str">
        <f>'[6]PLANILHA ORÇAMENTÁRIA'!E115</f>
        <v>APLICAÇÃO MANUAL DE PINTURA COM TINTA LÁTEX ACRÍLICA EM PAREDES, DUAS DEMÃOS. AF_06/2014</v>
      </c>
      <c r="D415" s="1186"/>
      <c r="E415" s="1186"/>
      <c r="F415" s="1186"/>
      <c r="G415" s="1186"/>
      <c r="H415" s="1186"/>
      <c r="I415" s="1186"/>
      <c r="J415" s="1186"/>
      <c r="K415" s="510" t="str">
        <f>'[6]PLANILHA ORÇAMENTÁRIA'!F115</f>
        <v>M2</v>
      </c>
      <c r="L415" s="511">
        <f>K419</f>
        <v>50.4</v>
      </c>
    </row>
    <row r="416" spans="2:12" hidden="1">
      <c r="B416" s="501"/>
      <c r="C416" s="1190" t="s">
        <v>20</v>
      </c>
      <c r="D416" s="1190"/>
      <c r="E416" s="1190"/>
      <c r="F416" s="512" t="s">
        <v>22</v>
      </c>
      <c r="G416" s="693" t="s">
        <v>111</v>
      </c>
      <c r="H416" s="512" t="s">
        <v>112</v>
      </c>
      <c r="I416" s="693" t="s">
        <v>154</v>
      </c>
      <c r="J416" s="693" t="s">
        <v>114</v>
      </c>
      <c r="K416" s="513" t="s">
        <v>25</v>
      </c>
      <c r="L416" s="503"/>
    </row>
    <row r="417" spans="2:12" hidden="1">
      <c r="B417" s="501"/>
      <c r="C417" s="1191" t="s">
        <v>172</v>
      </c>
      <c r="D417" s="1191"/>
      <c r="E417" s="1191"/>
      <c r="F417" s="514">
        <v>1</v>
      </c>
      <c r="G417" s="514">
        <v>2.4</v>
      </c>
      <c r="H417" s="514"/>
      <c r="I417" s="514">
        <v>12.6</v>
      </c>
      <c r="J417" s="514"/>
      <c r="K417" s="694">
        <f>TRUNC(((G417*I417)*F417)-J417,2)</f>
        <v>30.24</v>
      </c>
      <c r="L417" s="503"/>
    </row>
    <row r="418" spans="2:12" hidden="1">
      <c r="B418" s="501"/>
      <c r="C418" s="1191" t="s">
        <v>173</v>
      </c>
      <c r="D418" s="1191"/>
      <c r="E418" s="1191"/>
      <c r="F418" s="514">
        <v>1</v>
      </c>
      <c r="G418" s="514">
        <v>2.4</v>
      </c>
      <c r="H418" s="514"/>
      <c r="I418" s="514">
        <v>8.4</v>
      </c>
      <c r="J418" s="514"/>
      <c r="K418" s="694">
        <f>TRUNC(((G418*I418)*F418),2)</f>
        <v>20.16</v>
      </c>
      <c r="L418" s="503"/>
    </row>
    <row r="419" spans="2:12" hidden="1">
      <c r="B419" s="493"/>
      <c r="C419" s="1192" t="s">
        <v>116</v>
      </c>
      <c r="D419" s="1192"/>
      <c r="E419" s="1192"/>
      <c r="F419" s="1192"/>
      <c r="G419" s="1192"/>
      <c r="H419" s="1192"/>
      <c r="I419" s="1192"/>
      <c r="J419" s="1192"/>
      <c r="K419" s="513">
        <f>SUM(K417:K418)</f>
        <v>50.4</v>
      </c>
      <c r="L419" s="493"/>
    </row>
    <row r="420" spans="2:12" hidden="1">
      <c r="B420" s="493"/>
      <c r="C420" s="493"/>
      <c r="D420" s="493"/>
      <c r="E420" s="493"/>
      <c r="F420" s="493"/>
      <c r="G420" s="493"/>
      <c r="H420" s="493"/>
      <c r="I420" s="493"/>
      <c r="J420" s="493"/>
      <c r="K420" s="493"/>
      <c r="L420" s="493"/>
    </row>
    <row r="421" spans="2:12" hidden="1">
      <c r="B421" s="501" t="str">
        <f>'[6]PLANILHA ORÇAMENTÁRIA'!D116</f>
        <v>14.0</v>
      </c>
      <c r="C421" s="1193" t="str">
        <f>'[6]PLANILHA ORÇAMENTÁRIA'!E116</f>
        <v>APARELHOS DA ACADEMIA</v>
      </c>
      <c r="D421" s="1193"/>
      <c r="E421" s="1193"/>
      <c r="F421" s="1193"/>
      <c r="G421" s="1193"/>
      <c r="H421" s="1193"/>
      <c r="I421" s="1193"/>
      <c r="J421" s="1193"/>
      <c r="K421" s="497"/>
      <c r="L421" s="497"/>
    </row>
    <row r="422" spans="2:12" hidden="1">
      <c r="B422" s="501" t="str">
        <f>'[6]PLANILHA ORÇAMENTÁRIA'!D117</f>
        <v>14.1</v>
      </c>
      <c r="C422" s="1193" t="str">
        <f>'[6]PLANILHA ORÇAMENTÁRIA'!E117</f>
        <v>BARRA PARALELA</v>
      </c>
      <c r="D422" s="1193"/>
      <c r="E422" s="1193"/>
      <c r="F422" s="1193"/>
      <c r="G422" s="1193"/>
      <c r="H422" s="1193"/>
      <c r="I422" s="1193"/>
      <c r="J422" s="1193"/>
      <c r="K422" s="497"/>
      <c r="L422" s="497"/>
    </row>
    <row r="423" spans="2:12" ht="15" hidden="1" customHeight="1">
      <c r="B423" s="497" t="str">
        <f>'[6]PLANILHA ORÇAMENTÁRIA'!D118</f>
        <v>14.1.1</v>
      </c>
      <c r="C423" s="1186" t="str">
        <f>'[6]PLANILHA ORÇAMENTÁRIA'!E118</f>
        <v>ESCAVAÇÃO MANUAL DE VALA COM PROFUNDIDADE MENOR OU IGUAL A 1,30 M</v>
      </c>
      <c r="D423" s="1186"/>
      <c r="E423" s="1186"/>
      <c r="F423" s="1186"/>
      <c r="G423" s="1186"/>
      <c r="H423" s="1186"/>
      <c r="I423" s="1186"/>
      <c r="J423" s="1186"/>
      <c r="K423" s="510" t="str">
        <f>'[6]PLANILHA ORÇAMENTÁRIA'!F118</f>
        <v>M3</v>
      </c>
      <c r="L423" s="511">
        <f>K426</f>
        <v>9.9000000000000005E-2</v>
      </c>
    </row>
    <row r="424" spans="2:12" hidden="1">
      <c r="B424" s="501"/>
      <c r="C424" s="1190" t="s">
        <v>20</v>
      </c>
      <c r="D424" s="1190"/>
      <c r="E424" s="1190"/>
      <c r="F424" s="512" t="s">
        <v>22</v>
      </c>
      <c r="G424" s="693" t="s">
        <v>111</v>
      </c>
      <c r="H424" s="512" t="s">
        <v>112</v>
      </c>
      <c r="I424" s="693" t="s">
        <v>113</v>
      </c>
      <c r="J424" s="693" t="s">
        <v>114</v>
      </c>
      <c r="K424" s="513" t="s">
        <v>25</v>
      </c>
      <c r="L424" s="503"/>
    </row>
    <row r="425" spans="2:12" hidden="1">
      <c r="B425" s="501"/>
      <c r="C425" s="1191" t="s">
        <v>174</v>
      </c>
      <c r="D425" s="1191"/>
      <c r="E425" s="1191"/>
      <c r="F425" s="514">
        <v>8</v>
      </c>
      <c r="G425" s="514">
        <v>0.55000000000000004</v>
      </c>
      <c r="H425" s="514">
        <v>0.15</v>
      </c>
      <c r="I425" s="514">
        <v>0.15</v>
      </c>
      <c r="J425" s="514"/>
      <c r="K425" s="515">
        <f>PRODUCT(F425:I425)</f>
        <v>9.9000000000000005E-2</v>
      </c>
      <c r="L425" s="503"/>
    </row>
    <row r="426" spans="2:12" hidden="1">
      <c r="B426" s="501"/>
      <c r="C426" s="1192" t="s">
        <v>116</v>
      </c>
      <c r="D426" s="1192"/>
      <c r="E426" s="1192"/>
      <c r="F426" s="1192"/>
      <c r="G426" s="1192"/>
      <c r="H426" s="1192"/>
      <c r="I426" s="1192"/>
      <c r="J426" s="1192"/>
      <c r="K426" s="516">
        <f>SUM(K425:K425)</f>
        <v>9.9000000000000005E-2</v>
      </c>
      <c r="L426" s="503"/>
    </row>
    <row r="427" spans="2:12" hidden="1">
      <c r="B427" s="501"/>
      <c r="C427" s="517"/>
      <c r="D427" s="517"/>
      <c r="E427" s="517"/>
      <c r="F427" s="517"/>
      <c r="G427" s="517"/>
      <c r="H427" s="517"/>
      <c r="I427" s="517"/>
      <c r="J427" s="517"/>
      <c r="K427" s="518"/>
      <c r="L427" s="503"/>
    </row>
    <row r="428" spans="2:12" ht="22.5" hidden="1" customHeight="1">
      <c r="B428" s="497" t="str">
        <f>'[6]PLANILHA ORÇAMENTÁRIA'!D119</f>
        <v>14.1.2</v>
      </c>
      <c r="C428" s="1186" t="str">
        <f>'[6]PLANILHA ORÇAMENTÁRIA'!E119</f>
        <v>LASTRO DE CONCRETO MAGRO, APLICADO EM PISOS OU RADIERS, ESPESSURA DE 5CM. AF_07_2016</v>
      </c>
      <c r="D428" s="1186"/>
      <c r="E428" s="1186"/>
      <c r="F428" s="1186"/>
      <c r="G428" s="1186"/>
      <c r="H428" s="1186"/>
      <c r="I428" s="1186"/>
      <c r="J428" s="1186"/>
      <c r="K428" s="510" t="str">
        <f>'[6]PLANILHA ORÇAMENTÁRIA'!F119</f>
        <v>M2</v>
      </c>
      <c r="L428" s="511">
        <f>K431</f>
        <v>0.18</v>
      </c>
    </row>
    <row r="429" spans="2:12" hidden="1">
      <c r="B429" s="501"/>
      <c r="C429" s="1190" t="s">
        <v>20</v>
      </c>
      <c r="D429" s="1190"/>
      <c r="E429" s="1190"/>
      <c r="F429" s="512" t="s">
        <v>22</v>
      </c>
      <c r="G429" s="693" t="s">
        <v>111</v>
      </c>
      <c r="H429" s="512" t="s">
        <v>112</v>
      </c>
      <c r="I429" s="693" t="s">
        <v>113</v>
      </c>
      <c r="J429" s="693" t="s">
        <v>114</v>
      </c>
      <c r="K429" s="513" t="s">
        <v>25</v>
      </c>
      <c r="L429" s="503"/>
    </row>
    <row r="430" spans="2:12" hidden="1">
      <c r="B430" s="501"/>
      <c r="C430" s="1191"/>
      <c r="D430" s="1191"/>
      <c r="E430" s="1191"/>
      <c r="F430" s="514">
        <v>8</v>
      </c>
      <c r="G430" s="514"/>
      <c r="H430" s="514">
        <v>0.15</v>
      </c>
      <c r="I430" s="514">
        <v>0.15</v>
      </c>
      <c r="J430" s="514"/>
      <c r="K430" s="515">
        <f>PRODUCT(F430:I430)</f>
        <v>0.18</v>
      </c>
      <c r="L430" s="503"/>
    </row>
    <row r="431" spans="2:12" hidden="1">
      <c r="B431" s="501"/>
      <c r="C431" s="1192" t="s">
        <v>116</v>
      </c>
      <c r="D431" s="1192"/>
      <c r="E431" s="1192"/>
      <c r="F431" s="1192"/>
      <c r="G431" s="1192"/>
      <c r="H431" s="1192"/>
      <c r="I431" s="1192"/>
      <c r="J431" s="1192"/>
      <c r="K431" s="516">
        <f>SUM(K430:K430)</f>
        <v>0.18</v>
      </c>
      <c r="L431" s="503"/>
    </row>
    <row r="432" spans="2:12" hidden="1">
      <c r="B432" s="501"/>
      <c r="C432" s="517"/>
      <c r="D432" s="517"/>
      <c r="E432" s="517"/>
      <c r="F432" s="517"/>
      <c r="G432" s="517"/>
      <c r="H432" s="517"/>
      <c r="I432" s="517"/>
      <c r="J432" s="517"/>
      <c r="K432" s="518"/>
      <c r="L432" s="503"/>
    </row>
    <row r="433" spans="2:12" ht="24" hidden="1" customHeight="1">
      <c r="B433" s="497" t="str">
        <f>'[6]PLANILHA ORÇAMENTÁRIA'!D120</f>
        <v>14.1.3</v>
      </c>
      <c r="C433" s="1186" t="str">
        <f>'[6]PLANILHA ORÇAMENTÁRIA'!E120</f>
        <v>CONCRETAGEM DE BLOCOS DE COROAMENTO E VIGAS BALDRAMES, FCK 30 MPA, COM USO DE BOMBA LANÇAMENTO, ADENSAMENTO E ACABAMENTO. AF_06/2017</v>
      </c>
      <c r="D433" s="1186"/>
      <c r="E433" s="1186"/>
      <c r="F433" s="1186"/>
      <c r="G433" s="1186"/>
      <c r="H433" s="1186"/>
      <c r="I433" s="1186"/>
      <c r="J433" s="1186"/>
      <c r="K433" s="510" t="str">
        <f>'[6]PLANILHA ORÇAMENTÁRIA'!F120</f>
        <v>M3</v>
      </c>
      <c r="L433" s="511">
        <f>K436</f>
        <v>7.0000000000000007E-2</v>
      </c>
    </row>
    <row r="434" spans="2:12" hidden="1">
      <c r="B434" s="501"/>
      <c r="C434" s="1190" t="s">
        <v>20</v>
      </c>
      <c r="D434" s="1190"/>
      <c r="E434" s="1190"/>
      <c r="F434" s="512" t="s">
        <v>22</v>
      </c>
      <c r="G434" s="693" t="s">
        <v>111</v>
      </c>
      <c r="H434" s="512" t="s">
        <v>112</v>
      </c>
      <c r="I434" s="693" t="s">
        <v>113</v>
      </c>
      <c r="J434" s="693" t="s">
        <v>114</v>
      </c>
      <c r="K434" s="513" t="s">
        <v>25</v>
      </c>
      <c r="L434" s="503"/>
    </row>
    <row r="435" spans="2:12" hidden="1">
      <c r="B435" s="501"/>
      <c r="C435" s="1191" t="s">
        <v>175</v>
      </c>
      <c r="D435" s="1191"/>
      <c r="E435" s="1191"/>
      <c r="F435" s="514">
        <v>8</v>
      </c>
      <c r="G435" s="514">
        <v>0.4</v>
      </c>
      <c r="H435" s="514">
        <v>0.15</v>
      </c>
      <c r="I435" s="514">
        <v>0.15</v>
      </c>
      <c r="J435" s="514"/>
      <c r="K435" s="694">
        <f>TRUNC(G435*H435*F435*I435,2)</f>
        <v>7.0000000000000007E-2</v>
      </c>
      <c r="L435" s="503"/>
    </row>
    <row r="436" spans="2:12" hidden="1">
      <c r="B436" s="501"/>
      <c r="C436" s="1192" t="s">
        <v>116</v>
      </c>
      <c r="D436" s="1192"/>
      <c r="E436" s="1192"/>
      <c r="F436" s="1192"/>
      <c r="G436" s="1192"/>
      <c r="H436" s="1192"/>
      <c r="I436" s="1192"/>
      <c r="J436" s="1192"/>
      <c r="K436" s="513">
        <f>SUM(K435:K435)</f>
        <v>7.0000000000000007E-2</v>
      </c>
      <c r="L436" s="503"/>
    </row>
    <row r="437" spans="2:12" hidden="1">
      <c r="B437" s="493"/>
      <c r="C437" s="493"/>
      <c r="D437" s="493"/>
      <c r="E437" s="493"/>
      <c r="F437" s="493"/>
      <c r="G437" s="493"/>
      <c r="H437" s="493"/>
      <c r="I437" s="493"/>
      <c r="J437" s="493"/>
      <c r="K437" s="493"/>
      <c r="L437" s="493"/>
    </row>
    <row r="438" spans="2:12" ht="15" hidden="1" customHeight="1">
      <c r="B438" s="497" t="str">
        <f>'[6]PLANILHA ORÇAMENTÁRIA'!D121</f>
        <v>14.1.4</v>
      </c>
      <c r="C438" s="1186" t="str">
        <f>'[6]PLANILHA ORÇAMENTÁRIA'!E121</f>
        <v>TUBO DE AÇO GALVANIZADO COM COSTURA 2" - FORNECIMENTO E INSTALACAO.</v>
      </c>
      <c r="D438" s="1186"/>
      <c r="E438" s="1186"/>
      <c r="F438" s="1186"/>
      <c r="G438" s="1186"/>
      <c r="H438" s="1186"/>
      <c r="I438" s="1186"/>
      <c r="J438" s="1186"/>
      <c r="K438" s="510" t="str">
        <f>'[6]PLANILHA ORÇAMENTÁRIA'!F121</f>
        <v>M</v>
      </c>
      <c r="L438" s="511">
        <f>K442</f>
        <v>21.2</v>
      </c>
    </row>
    <row r="439" spans="2:12" hidden="1">
      <c r="B439" s="501"/>
      <c r="C439" s="1190" t="s">
        <v>20</v>
      </c>
      <c r="D439" s="1190"/>
      <c r="E439" s="1190"/>
      <c r="F439" s="512" t="s">
        <v>22</v>
      </c>
      <c r="G439" s="693" t="s">
        <v>111</v>
      </c>
      <c r="H439" s="512" t="s">
        <v>112</v>
      </c>
      <c r="I439" s="693" t="s">
        <v>113</v>
      </c>
      <c r="J439" s="693" t="s">
        <v>114</v>
      </c>
      <c r="K439" s="513" t="s">
        <v>25</v>
      </c>
      <c r="L439" s="503"/>
    </row>
    <row r="440" spans="2:12" hidden="1">
      <c r="B440" s="501"/>
      <c r="C440" s="1191" t="s">
        <v>176</v>
      </c>
      <c r="D440" s="1191"/>
      <c r="E440" s="1191"/>
      <c r="F440" s="514">
        <v>8</v>
      </c>
      <c r="G440" s="514"/>
      <c r="H440" s="514"/>
      <c r="I440" s="514">
        <v>1.65</v>
      </c>
      <c r="J440" s="514"/>
      <c r="K440" s="694">
        <f>F440*I440</f>
        <v>13.2</v>
      </c>
      <c r="L440" s="503"/>
    </row>
    <row r="441" spans="2:12" hidden="1">
      <c r="B441" s="501"/>
      <c r="C441" s="1180" t="s">
        <v>177</v>
      </c>
      <c r="D441" s="1181"/>
      <c r="E441" s="1182"/>
      <c r="F441" s="514">
        <v>4</v>
      </c>
      <c r="G441" s="514"/>
      <c r="H441" s="514"/>
      <c r="I441" s="514">
        <v>2</v>
      </c>
      <c r="J441" s="514"/>
      <c r="K441" s="694">
        <f>F441*I441</f>
        <v>8</v>
      </c>
      <c r="L441" s="503"/>
    </row>
    <row r="442" spans="2:12" hidden="1">
      <c r="B442" s="501"/>
      <c r="C442" s="1192" t="s">
        <v>116</v>
      </c>
      <c r="D442" s="1192"/>
      <c r="E442" s="1192"/>
      <c r="F442" s="1192"/>
      <c r="G442" s="1192"/>
      <c r="H442" s="1192"/>
      <c r="I442" s="1192"/>
      <c r="J442" s="1192"/>
      <c r="K442" s="513">
        <f>SUM(K440:K441)</f>
        <v>21.2</v>
      </c>
      <c r="L442" s="503"/>
    </row>
    <row r="443" spans="2:12" hidden="1">
      <c r="B443" s="501"/>
      <c r="C443" s="517"/>
      <c r="D443" s="517"/>
      <c r="E443" s="517"/>
      <c r="F443" s="517"/>
      <c r="G443" s="517"/>
      <c r="H443" s="517"/>
      <c r="I443" s="517"/>
      <c r="J443" s="517"/>
      <c r="K443" s="519"/>
      <c r="L443" s="503"/>
    </row>
    <row r="444" spans="2:12" ht="15" hidden="1" customHeight="1">
      <c r="B444" s="497" t="str">
        <f>'[6]PLANILHA ORÇAMENTÁRIA'!D122</f>
        <v>14.1.5</v>
      </c>
      <c r="C444" s="1186" t="str">
        <f>'[6]PLANILHA ORÇAMENTÁRIA'!E122</f>
        <v>PINTURA ESMALTE ALTO BRILHO, DUAS DEMAOS, SOBRE SUPERFICIE METALICA</v>
      </c>
      <c r="D444" s="1186"/>
      <c r="E444" s="1186"/>
      <c r="F444" s="1186"/>
      <c r="G444" s="1186"/>
      <c r="H444" s="1186"/>
      <c r="I444" s="1186"/>
      <c r="J444" s="1186"/>
      <c r="K444" s="510" t="str">
        <f>'[6]PLANILHA ORÇAMENTÁRIA'!F122</f>
        <v>M2</v>
      </c>
      <c r="L444" s="511">
        <f>K449</f>
        <v>2.76</v>
      </c>
    </row>
    <row r="445" spans="2:12" hidden="1">
      <c r="B445" s="501"/>
      <c r="C445" s="1190" t="s">
        <v>20</v>
      </c>
      <c r="D445" s="1190"/>
      <c r="E445" s="1190"/>
      <c r="F445" s="512" t="s">
        <v>22</v>
      </c>
      <c r="G445" s="693" t="s">
        <v>111</v>
      </c>
      <c r="H445" s="512" t="s">
        <v>178</v>
      </c>
      <c r="I445" s="693" t="s">
        <v>113</v>
      </c>
      <c r="J445" s="693" t="s">
        <v>114</v>
      </c>
      <c r="K445" s="513" t="s">
        <v>25</v>
      </c>
      <c r="L445" s="503"/>
    </row>
    <row r="446" spans="2:12" hidden="1">
      <c r="B446" s="501"/>
      <c r="C446" s="1191" t="s">
        <v>176</v>
      </c>
      <c r="D446" s="1191"/>
      <c r="E446" s="1191"/>
      <c r="F446" s="514">
        <v>8</v>
      </c>
      <c r="G446" s="514"/>
      <c r="H446" s="527">
        <v>2.5000000000000001E-2</v>
      </c>
      <c r="I446" s="514">
        <v>1.2</v>
      </c>
      <c r="J446" s="514"/>
      <c r="K446" s="694">
        <f>TRUNC((2*3.14*H446*I446)*F446,2)</f>
        <v>1.5</v>
      </c>
      <c r="L446" s="503"/>
    </row>
    <row r="447" spans="2:12" hidden="1">
      <c r="B447" s="501"/>
      <c r="C447" s="1180" t="s">
        <v>177</v>
      </c>
      <c r="D447" s="1181"/>
      <c r="E447" s="1182"/>
      <c r="F447" s="514">
        <v>4</v>
      </c>
      <c r="G447" s="514"/>
      <c r="H447" s="527">
        <v>2.5000000000000001E-2</v>
      </c>
      <c r="I447" s="514">
        <v>2</v>
      </c>
      <c r="J447" s="514"/>
      <c r="K447" s="694">
        <f>TRUNC((2*3.14*H447*I447)*F447,2)</f>
        <v>1.25</v>
      </c>
      <c r="L447" s="503"/>
    </row>
    <row r="448" spans="2:12" hidden="1">
      <c r="B448" s="501"/>
      <c r="C448" s="1180" t="s">
        <v>179</v>
      </c>
      <c r="D448" s="1181"/>
      <c r="E448" s="1182"/>
      <c r="F448" s="514">
        <v>8</v>
      </c>
      <c r="G448" s="514"/>
      <c r="H448" s="527">
        <v>2.5000000000000001E-2</v>
      </c>
      <c r="I448" s="514"/>
      <c r="J448" s="514"/>
      <c r="K448" s="694">
        <f>TRUNC((3.14*H448^2)*F448,2)</f>
        <v>0.01</v>
      </c>
      <c r="L448" s="503"/>
    </row>
    <row r="449" spans="2:12" hidden="1">
      <c r="B449" s="501"/>
      <c r="C449" s="1192" t="s">
        <v>116</v>
      </c>
      <c r="D449" s="1192"/>
      <c r="E449" s="1192"/>
      <c r="F449" s="1192"/>
      <c r="G449" s="1192"/>
      <c r="H449" s="1192"/>
      <c r="I449" s="1192"/>
      <c r="J449" s="1192"/>
      <c r="K449" s="513">
        <f>SUM(K446:K448)</f>
        <v>2.76</v>
      </c>
      <c r="L449" s="503"/>
    </row>
    <row r="450" spans="2:12" hidden="1">
      <c r="B450" s="501"/>
      <c r="C450" s="517"/>
      <c r="D450" s="517"/>
      <c r="E450" s="517"/>
      <c r="F450" s="517"/>
      <c r="G450" s="517"/>
      <c r="H450" s="517"/>
      <c r="I450" s="517"/>
      <c r="J450" s="517"/>
      <c r="K450" s="519"/>
      <c r="L450" s="503"/>
    </row>
    <row r="451" spans="2:12" hidden="1">
      <c r="B451" s="501" t="str">
        <f>'[6]PLANILHA ORÇAMENTÁRIA'!D123</f>
        <v>14.2</v>
      </c>
      <c r="C451" s="1193" t="str">
        <f>'[6]PLANILHA ORÇAMENTÁRIA'!E123</f>
        <v>BARRAS MARINHEIRO</v>
      </c>
      <c r="D451" s="1193"/>
      <c r="E451" s="1193"/>
      <c r="F451" s="1193"/>
      <c r="G451" s="1193"/>
      <c r="H451" s="1193"/>
      <c r="I451" s="1193"/>
      <c r="J451" s="1193"/>
      <c r="K451" s="497"/>
      <c r="L451" s="497"/>
    </row>
    <row r="452" spans="2:12" ht="15" hidden="1" customHeight="1">
      <c r="B452" s="497" t="str">
        <f>'[6]PLANILHA ORÇAMENTÁRIA'!D124</f>
        <v>14.2.1</v>
      </c>
      <c r="C452" s="1186" t="str">
        <f>'[6]PLANILHA ORÇAMENTÁRIA'!E124</f>
        <v>ESCAVAÇÃO MANUAL DE VALA COM PROFUNDIDADE MENOR OU IGUAL A 1,30 M</v>
      </c>
      <c r="D452" s="1186"/>
      <c r="E452" s="1186"/>
      <c r="F452" s="1186"/>
      <c r="G452" s="1186"/>
      <c r="H452" s="1186"/>
      <c r="I452" s="1186"/>
      <c r="J452" s="1186"/>
      <c r="K452" s="510" t="str">
        <f>'[6]PLANILHA ORÇAMENTÁRIA'!F124</f>
        <v>M3</v>
      </c>
      <c r="L452" s="511">
        <f>K455</f>
        <v>0.14849999999999999</v>
      </c>
    </row>
    <row r="453" spans="2:12" hidden="1">
      <c r="B453" s="501"/>
      <c r="C453" s="1190" t="s">
        <v>20</v>
      </c>
      <c r="D453" s="1190"/>
      <c r="E453" s="1190"/>
      <c r="F453" s="512" t="s">
        <v>22</v>
      </c>
      <c r="G453" s="693" t="s">
        <v>111</v>
      </c>
      <c r="H453" s="512" t="s">
        <v>112</v>
      </c>
      <c r="I453" s="693" t="s">
        <v>113</v>
      </c>
      <c r="J453" s="693" t="s">
        <v>114</v>
      </c>
      <c r="K453" s="513" t="s">
        <v>25</v>
      </c>
      <c r="L453" s="503"/>
    </row>
    <row r="454" spans="2:12" hidden="1">
      <c r="B454" s="501"/>
      <c r="C454" s="1191" t="s">
        <v>174</v>
      </c>
      <c r="D454" s="1191"/>
      <c r="E454" s="1191"/>
      <c r="F454" s="514">
        <v>12</v>
      </c>
      <c r="G454" s="514">
        <v>0.55000000000000004</v>
      </c>
      <c r="H454" s="514">
        <v>0.15</v>
      </c>
      <c r="I454" s="514">
        <v>0.15</v>
      </c>
      <c r="J454" s="514"/>
      <c r="K454" s="515">
        <f>PRODUCT(F454:I454)</f>
        <v>0.14849999999999999</v>
      </c>
      <c r="L454" s="503"/>
    </row>
    <row r="455" spans="2:12" hidden="1">
      <c r="B455" s="501"/>
      <c r="C455" s="1192" t="s">
        <v>116</v>
      </c>
      <c r="D455" s="1192"/>
      <c r="E455" s="1192"/>
      <c r="F455" s="1192"/>
      <c r="G455" s="1192"/>
      <c r="H455" s="1192"/>
      <c r="I455" s="1192"/>
      <c r="J455" s="1192"/>
      <c r="K455" s="516">
        <f>SUM(K454:K454)</f>
        <v>0.14849999999999999</v>
      </c>
      <c r="L455" s="503"/>
    </row>
    <row r="456" spans="2:12" hidden="1">
      <c r="B456" s="501"/>
      <c r="C456" s="517"/>
      <c r="D456" s="517"/>
      <c r="E456" s="517"/>
      <c r="F456" s="517"/>
      <c r="G456" s="517"/>
      <c r="H456" s="517"/>
      <c r="I456" s="517"/>
      <c r="J456" s="517"/>
      <c r="K456" s="518"/>
      <c r="L456" s="503"/>
    </row>
    <row r="457" spans="2:12" ht="15" hidden="1" customHeight="1">
      <c r="B457" s="497" t="str">
        <f>'[6]PLANILHA ORÇAMENTÁRIA'!D125</f>
        <v>14.2.2</v>
      </c>
      <c r="C457" s="1186" t="str">
        <f>'[6]PLANILHA ORÇAMENTÁRIA'!E125</f>
        <v>LASTRO DE CONCRETO MAGRO, APLICADO EM PISOS OU RADIERS, ESPESSURA DE 5CM. AF_07_2016</v>
      </c>
      <c r="D457" s="1186"/>
      <c r="E457" s="1186"/>
      <c r="F457" s="1186"/>
      <c r="G457" s="1186"/>
      <c r="H457" s="1186"/>
      <c r="I457" s="1186"/>
      <c r="J457" s="1186"/>
      <c r="K457" s="510" t="str">
        <f>'[6]PLANILHA ORÇAMENTÁRIA'!F125</f>
        <v>M2</v>
      </c>
      <c r="L457" s="511">
        <f>K460</f>
        <v>0.26999999999999996</v>
      </c>
    </row>
    <row r="458" spans="2:12" hidden="1">
      <c r="B458" s="501"/>
      <c r="C458" s="1190" t="s">
        <v>20</v>
      </c>
      <c r="D458" s="1190"/>
      <c r="E458" s="1190"/>
      <c r="F458" s="512" t="s">
        <v>22</v>
      </c>
      <c r="G458" s="693" t="s">
        <v>111</v>
      </c>
      <c r="H458" s="512" t="s">
        <v>112</v>
      </c>
      <c r="I458" s="693" t="s">
        <v>113</v>
      </c>
      <c r="J458" s="693" t="s">
        <v>114</v>
      </c>
      <c r="K458" s="513" t="s">
        <v>25</v>
      </c>
      <c r="L458" s="503"/>
    </row>
    <row r="459" spans="2:12" hidden="1">
      <c r="B459" s="501"/>
      <c r="C459" s="1191"/>
      <c r="D459" s="1191"/>
      <c r="E459" s="1191"/>
      <c r="F459" s="514">
        <v>12</v>
      </c>
      <c r="G459" s="514"/>
      <c r="H459" s="514">
        <v>0.15</v>
      </c>
      <c r="I459" s="514">
        <v>0.15</v>
      </c>
      <c r="J459" s="514"/>
      <c r="K459" s="515">
        <f>PRODUCT(F459:I459)</f>
        <v>0.26999999999999996</v>
      </c>
      <c r="L459" s="503"/>
    </row>
    <row r="460" spans="2:12" hidden="1">
      <c r="B460" s="501"/>
      <c r="C460" s="1192" t="s">
        <v>116</v>
      </c>
      <c r="D460" s="1192"/>
      <c r="E460" s="1192"/>
      <c r="F460" s="1192"/>
      <c r="G460" s="1192"/>
      <c r="H460" s="1192"/>
      <c r="I460" s="1192"/>
      <c r="J460" s="1192"/>
      <c r="K460" s="516">
        <f>SUM(K459:K459)</f>
        <v>0.26999999999999996</v>
      </c>
      <c r="L460" s="503"/>
    </row>
    <row r="461" spans="2:12" hidden="1">
      <c r="B461" s="501"/>
      <c r="C461" s="517"/>
      <c r="D461" s="517"/>
      <c r="E461" s="517"/>
      <c r="F461" s="517"/>
      <c r="G461" s="517"/>
      <c r="H461" s="517"/>
      <c r="I461" s="517"/>
      <c r="J461" s="517"/>
      <c r="K461" s="518"/>
      <c r="L461" s="503"/>
    </row>
    <row r="462" spans="2:12" ht="22.5" hidden="1" customHeight="1">
      <c r="B462" s="497" t="str">
        <f>'[6]PLANILHA ORÇAMENTÁRIA'!D126</f>
        <v>14.2.3</v>
      </c>
      <c r="C462" s="1186" t="str">
        <f>'[6]PLANILHA ORÇAMENTÁRIA'!E126</f>
        <v>CONCRETAGEM DE BLOCOS DE COROAMENTO E VIGAS BALDRAMES, FCK 30 MPA, COM USO DE BOMBA LANÇAMENTO, ADENSAMENTO E ACABAMENTO. AF_06/2017</v>
      </c>
      <c r="D462" s="1186"/>
      <c r="E462" s="1186"/>
      <c r="F462" s="1186"/>
      <c r="G462" s="1186"/>
      <c r="H462" s="1186"/>
      <c r="I462" s="1186"/>
      <c r="J462" s="1186"/>
      <c r="K462" s="510" t="str">
        <f>'[6]PLANILHA ORÇAMENTÁRIA'!F126</f>
        <v>M3</v>
      </c>
      <c r="L462" s="511">
        <f>K465</f>
        <v>0.1</v>
      </c>
    </row>
    <row r="463" spans="2:12" hidden="1">
      <c r="B463" s="501"/>
      <c r="C463" s="1190" t="s">
        <v>20</v>
      </c>
      <c r="D463" s="1190"/>
      <c r="E463" s="1190"/>
      <c r="F463" s="512" t="s">
        <v>22</v>
      </c>
      <c r="G463" s="693" t="s">
        <v>111</v>
      </c>
      <c r="H463" s="512" t="s">
        <v>112</v>
      </c>
      <c r="I463" s="693" t="s">
        <v>113</v>
      </c>
      <c r="J463" s="693" t="s">
        <v>114</v>
      </c>
      <c r="K463" s="513" t="s">
        <v>25</v>
      </c>
      <c r="L463" s="503"/>
    </row>
    <row r="464" spans="2:12" hidden="1">
      <c r="B464" s="501"/>
      <c r="C464" s="1191" t="s">
        <v>175</v>
      </c>
      <c r="D464" s="1191"/>
      <c r="E464" s="1191"/>
      <c r="F464" s="514">
        <v>12</v>
      </c>
      <c r="G464" s="514">
        <v>0.4</v>
      </c>
      <c r="H464" s="514">
        <v>0.15</v>
      </c>
      <c r="I464" s="514">
        <v>0.15</v>
      </c>
      <c r="J464" s="514"/>
      <c r="K464" s="694">
        <f>TRUNC(G464*H464*F464*I464,2)</f>
        <v>0.1</v>
      </c>
      <c r="L464" s="503"/>
    </row>
    <row r="465" spans="2:12" hidden="1">
      <c r="B465" s="501"/>
      <c r="C465" s="1192" t="s">
        <v>116</v>
      </c>
      <c r="D465" s="1192"/>
      <c r="E465" s="1192"/>
      <c r="F465" s="1192"/>
      <c r="G465" s="1192"/>
      <c r="H465" s="1192"/>
      <c r="I465" s="1192"/>
      <c r="J465" s="1192"/>
      <c r="K465" s="513">
        <f>SUM(K464:K464)</f>
        <v>0.1</v>
      </c>
      <c r="L465" s="503"/>
    </row>
    <row r="466" spans="2:12" hidden="1">
      <c r="B466" s="493"/>
      <c r="C466" s="493"/>
      <c r="D466" s="493"/>
      <c r="E466" s="493"/>
      <c r="F466" s="493"/>
      <c r="G466" s="493"/>
      <c r="H466" s="493"/>
      <c r="I466" s="493"/>
      <c r="J466" s="493"/>
      <c r="K466" s="493"/>
      <c r="L466" s="493"/>
    </row>
    <row r="467" spans="2:12" ht="15" hidden="1" customHeight="1">
      <c r="B467" s="497" t="str">
        <f>'[6]PLANILHA ORÇAMENTÁRIA'!D127</f>
        <v>14.2.4</v>
      </c>
      <c r="C467" s="1186" t="str">
        <f>'[6]PLANILHA ORÇAMENTÁRIA'!E127</f>
        <v>TUBO DE AÇO GALVANIZADO COM COSTURA 2" - FORNECIMENTO E INSTALACAO. - M</v>
      </c>
      <c r="D467" s="1186"/>
      <c r="E467" s="1186"/>
      <c r="F467" s="1186"/>
      <c r="G467" s="1186"/>
      <c r="H467" s="1186"/>
      <c r="I467" s="1186"/>
      <c r="J467" s="1186"/>
      <c r="K467" s="510" t="str">
        <f>'[6]PLANILHA ORÇAMENTÁRIA'!F127</f>
        <v>M</v>
      </c>
      <c r="L467" s="511">
        <f>K472</f>
        <v>19.100000000000001</v>
      </c>
    </row>
    <row r="468" spans="2:12" hidden="1">
      <c r="B468" s="501"/>
      <c r="C468" s="1190" t="s">
        <v>20</v>
      </c>
      <c r="D468" s="1190"/>
      <c r="E468" s="1190"/>
      <c r="F468" s="512" t="s">
        <v>22</v>
      </c>
      <c r="G468" s="693" t="s">
        <v>111</v>
      </c>
      <c r="H468" s="512" t="s">
        <v>112</v>
      </c>
      <c r="I468" s="693" t="s">
        <v>113</v>
      </c>
      <c r="J468" s="693" t="s">
        <v>114</v>
      </c>
      <c r="K468" s="513" t="s">
        <v>25</v>
      </c>
      <c r="L468" s="503"/>
    </row>
    <row r="469" spans="2:12" hidden="1">
      <c r="B469" s="501"/>
      <c r="C469" s="1191" t="s">
        <v>180</v>
      </c>
      <c r="D469" s="1191"/>
      <c r="E469" s="1191"/>
      <c r="F469" s="514">
        <v>2</v>
      </c>
      <c r="G469" s="514"/>
      <c r="H469" s="514"/>
      <c r="I469" s="514">
        <v>3.56</v>
      </c>
      <c r="J469" s="514"/>
      <c r="K469" s="694">
        <f>F469*I469</f>
        <v>7.12</v>
      </c>
      <c r="L469" s="503"/>
    </row>
    <row r="470" spans="2:12" hidden="1">
      <c r="B470" s="501"/>
      <c r="C470" s="1180" t="s">
        <v>181</v>
      </c>
      <c r="D470" s="1181"/>
      <c r="E470" s="1182"/>
      <c r="F470" s="514">
        <v>2</v>
      </c>
      <c r="G470" s="514"/>
      <c r="H470" s="514"/>
      <c r="I470" s="514">
        <v>3.16</v>
      </c>
      <c r="J470" s="514"/>
      <c r="K470" s="694">
        <f>F470*I470</f>
        <v>6.32</v>
      </c>
      <c r="L470" s="503"/>
    </row>
    <row r="471" spans="2:12" hidden="1">
      <c r="B471" s="501"/>
      <c r="C471" s="1180" t="s">
        <v>182</v>
      </c>
      <c r="D471" s="1181"/>
      <c r="E471" s="1182"/>
      <c r="F471" s="514">
        <v>2</v>
      </c>
      <c r="G471" s="514"/>
      <c r="H471" s="514"/>
      <c r="I471" s="514">
        <v>2.83</v>
      </c>
      <c r="J471" s="514"/>
      <c r="K471" s="694">
        <f>F471*I471</f>
        <v>5.66</v>
      </c>
      <c r="L471" s="503"/>
    </row>
    <row r="472" spans="2:12" hidden="1">
      <c r="B472" s="501"/>
      <c r="C472" s="1192" t="s">
        <v>116</v>
      </c>
      <c r="D472" s="1192"/>
      <c r="E472" s="1192"/>
      <c r="F472" s="1192"/>
      <c r="G472" s="1192"/>
      <c r="H472" s="1192"/>
      <c r="I472" s="1192"/>
      <c r="J472" s="1192"/>
      <c r="K472" s="513">
        <f>SUM(K469:K471)</f>
        <v>19.100000000000001</v>
      </c>
      <c r="L472" s="503"/>
    </row>
    <row r="473" spans="2:12" hidden="1">
      <c r="B473" s="501"/>
      <c r="C473" s="517"/>
      <c r="D473" s="517"/>
      <c r="E473" s="517"/>
      <c r="F473" s="517"/>
      <c r="G473" s="517"/>
      <c r="H473" s="517"/>
      <c r="I473" s="517"/>
      <c r="J473" s="517"/>
      <c r="K473" s="519"/>
      <c r="L473" s="503"/>
    </row>
    <row r="474" spans="2:12" ht="15" hidden="1" customHeight="1">
      <c r="B474" s="497" t="str">
        <f>'[6]PLANILHA ORÇAMENTÁRIA'!D128</f>
        <v>14.2.5</v>
      </c>
      <c r="C474" s="1186" t="str">
        <f>'[6]PLANILHA ORÇAMENTÁRIA'!E128</f>
        <v>PINTURA ESMALTE ALTO BRILHO, DUAS DEMAOS, SOBRE SUPERFICIE METALICA</v>
      </c>
      <c r="D474" s="1186"/>
      <c r="E474" s="1186"/>
      <c r="F474" s="1186"/>
      <c r="G474" s="1186"/>
      <c r="H474" s="1186"/>
      <c r="I474" s="1186"/>
      <c r="J474" s="1186"/>
      <c r="K474" s="510" t="str">
        <f>'[6]PLANILHA ORÇAMENTÁRIA'!F128</f>
        <v>M2</v>
      </c>
      <c r="L474" s="511">
        <f>K479</f>
        <v>2.13</v>
      </c>
    </row>
    <row r="475" spans="2:12" hidden="1">
      <c r="B475" s="501"/>
      <c r="C475" s="1190" t="s">
        <v>20</v>
      </c>
      <c r="D475" s="1190"/>
      <c r="E475" s="1190"/>
      <c r="F475" s="512" t="s">
        <v>22</v>
      </c>
      <c r="G475" s="693" t="s">
        <v>111</v>
      </c>
      <c r="H475" s="512" t="s">
        <v>178</v>
      </c>
      <c r="I475" s="693" t="s">
        <v>113</v>
      </c>
      <c r="J475" s="693" t="s">
        <v>114</v>
      </c>
      <c r="K475" s="513" t="s">
        <v>25</v>
      </c>
      <c r="L475" s="503"/>
    </row>
    <row r="476" spans="2:12" hidden="1">
      <c r="B476" s="501"/>
      <c r="C476" s="1191" t="s">
        <v>180</v>
      </c>
      <c r="D476" s="1191"/>
      <c r="E476" s="1191"/>
      <c r="F476" s="514">
        <v>2</v>
      </c>
      <c r="G476" s="514"/>
      <c r="H476" s="527">
        <v>2.5000000000000001E-2</v>
      </c>
      <c r="I476" s="514">
        <f>I469-0.9</f>
        <v>2.66</v>
      </c>
      <c r="J476" s="514"/>
      <c r="K476" s="694">
        <f>TRUNC((2*3.14*H476*I476)*F476,2)</f>
        <v>0.83</v>
      </c>
      <c r="L476" s="503"/>
    </row>
    <row r="477" spans="2:12" hidden="1">
      <c r="B477" s="501"/>
      <c r="C477" s="1180" t="s">
        <v>181</v>
      </c>
      <c r="D477" s="1181"/>
      <c r="E477" s="1182"/>
      <c r="F477" s="514">
        <v>2</v>
      </c>
      <c r="G477" s="514"/>
      <c r="H477" s="527">
        <v>2.5000000000000001E-2</v>
      </c>
      <c r="I477" s="514">
        <f>I470-0.9</f>
        <v>2.2600000000000002</v>
      </c>
      <c r="J477" s="514"/>
      <c r="K477" s="694">
        <f>TRUNC((2*3.14*H477*I477)*F477,2)</f>
        <v>0.7</v>
      </c>
      <c r="L477" s="503"/>
    </row>
    <row r="478" spans="2:12" hidden="1">
      <c r="B478" s="501"/>
      <c r="C478" s="1180" t="s">
        <v>182</v>
      </c>
      <c r="D478" s="1181"/>
      <c r="E478" s="1182"/>
      <c r="F478" s="514">
        <v>2</v>
      </c>
      <c r="G478" s="514"/>
      <c r="H478" s="527">
        <v>2.5000000000000001E-2</v>
      </c>
      <c r="I478" s="514">
        <f>I471-0.9</f>
        <v>1.9300000000000002</v>
      </c>
      <c r="J478" s="514"/>
      <c r="K478" s="694">
        <f>TRUNC((2*3.14*H478*I478)*F478,2)</f>
        <v>0.6</v>
      </c>
      <c r="L478" s="503"/>
    </row>
    <row r="479" spans="2:12" hidden="1">
      <c r="B479" s="501"/>
      <c r="C479" s="1192" t="s">
        <v>116</v>
      </c>
      <c r="D479" s="1192"/>
      <c r="E479" s="1192"/>
      <c r="F479" s="1192"/>
      <c r="G479" s="1192"/>
      <c r="H479" s="1192"/>
      <c r="I479" s="1192"/>
      <c r="J479" s="1192"/>
      <c r="K479" s="513">
        <f>SUM(K476:K478)</f>
        <v>2.13</v>
      </c>
      <c r="L479" s="503"/>
    </row>
    <row r="480" spans="2:12" hidden="1">
      <c r="B480" s="493"/>
      <c r="C480" s="493"/>
      <c r="D480" s="493"/>
      <c r="E480" s="493"/>
      <c r="F480" s="493"/>
      <c r="G480" s="493"/>
      <c r="H480" s="493"/>
      <c r="I480" s="493"/>
      <c r="J480" s="493"/>
      <c r="K480" s="493"/>
      <c r="L480" s="493"/>
    </row>
    <row r="481" spans="2:12" hidden="1">
      <c r="B481" s="501" t="str">
        <f>'[6]PLANILHA ORÇAMENTÁRIA'!D129</f>
        <v>14.3</v>
      </c>
      <c r="C481" s="1193" t="str">
        <f>'[6]PLANILHA ORÇAMENTÁRIA'!E129</f>
        <v>BARRA HORIZONTAL TRIPLA</v>
      </c>
      <c r="D481" s="1193"/>
      <c r="E481" s="1193"/>
      <c r="F481" s="1193"/>
      <c r="G481" s="1193"/>
      <c r="H481" s="1193"/>
      <c r="I481" s="1193"/>
      <c r="J481" s="1193"/>
      <c r="K481" s="497"/>
      <c r="L481" s="497"/>
    </row>
    <row r="482" spans="2:12" ht="15" hidden="1" customHeight="1">
      <c r="B482" s="497" t="str">
        <f>'[6]PLANILHA ORÇAMENTÁRIA'!D130</f>
        <v>14.3.1</v>
      </c>
      <c r="C482" s="1186" t="str">
        <f>'[6]PLANILHA ORÇAMENTÁRIA'!E130</f>
        <v>ESCAVAÇÃO MANUAL DE VALA COM PROFUNDIDADE MENOR OU IGUAL A 1,30 M</v>
      </c>
      <c r="D482" s="1186"/>
      <c r="E482" s="1186"/>
      <c r="F482" s="1186"/>
      <c r="G482" s="1186"/>
      <c r="H482" s="1186"/>
      <c r="I482" s="1186"/>
      <c r="J482" s="1186"/>
      <c r="K482" s="510" t="str">
        <f>'[6]PLANILHA ORÇAMENTÁRIA'!F130</f>
        <v>M3</v>
      </c>
      <c r="L482" s="511">
        <f>K487</f>
        <v>7.5374999999999998E-2</v>
      </c>
    </row>
    <row r="483" spans="2:12" hidden="1">
      <c r="B483" s="501"/>
      <c r="C483" s="1190" t="s">
        <v>20</v>
      </c>
      <c r="D483" s="1190"/>
      <c r="E483" s="1190"/>
      <c r="F483" s="512" t="s">
        <v>22</v>
      </c>
      <c r="G483" s="693" t="s">
        <v>111</v>
      </c>
      <c r="H483" s="512" t="s">
        <v>112</v>
      </c>
      <c r="I483" s="693" t="s">
        <v>113</v>
      </c>
      <c r="J483" s="693" t="s">
        <v>114</v>
      </c>
      <c r="K483" s="513" t="s">
        <v>25</v>
      </c>
      <c r="L483" s="503"/>
    </row>
    <row r="484" spans="2:12" hidden="1">
      <c r="B484" s="501"/>
      <c r="C484" s="1191" t="s">
        <v>183</v>
      </c>
      <c r="D484" s="1191"/>
      <c r="E484" s="1191"/>
      <c r="F484" s="514">
        <v>2</v>
      </c>
      <c r="G484" s="514">
        <v>0.9</v>
      </c>
      <c r="H484" s="514">
        <v>0.15</v>
      </c>
      <c r="I484" s="514">
        <v>0.15</v>
      </c>
      <c r="J484" s="514"/>
      <c r="K484" s="515">
        <f>PRODUCT(F484:I484)</f>
        <v>4.0500000000000001E-2</v>
      </c>
      <c r="L484" s="503"/>
    </row>
    <row r="485" spans="2:12" hidden="1">
      <c r="B485" s="501"/>
      <c r="C485" s="1191" t="s">
        <v>184</v>
      </c>
      <c r="D485" s="1191"/>
      <c r="E485" s="1191"/>
      <c r="F485" s="514">
        <v>1</v>
      </c>
      <c r="G485" s="514">
        <v>0.8</v>
      </c>
      <c r="H485" s="514">
        <v>0.15</v>
      </c>
      <c r="I485" s="514">
        <v>0.15</v>
      </c>
      <c r="J485" s="514"/>
      <c r="K485" s="515">
        <f>PRODUCT(F485:I485)</f>
        <v>1.7999999999999999E-2</v>
      </c>
      <c r="L485" s="503"/>
    </row>
    <row r="486" spans="2:12" hidden="1">
      <c r="B486" s="501"/>
      <c r="C486" s="1191" t="s">
        <v>185</v>
      </c>
      <c r="D486" s="1191"/>
      <c r="E486" s="1191"/>
      <c r="F486" s="514">
        <v>1</v>
      </c>
      <c r="G486" s="514">
        <v>0.75</v>
      </c>
      <c r="H486" s="514">
        <v>0.15</v>
      </c>
      <c r="I486" s="514">
        <v>0.15</v>
      </c>
      <c r="J486" s="514"/>
      <c r="K486" s="515">
        <f>PRODUCT(F486:I486)</f>
        <v>1.6874999999999998E-2</v>
      </c>
      <c r="L486" s="503"/>
    </row>
    <row r="487" spans="2:12" hidden="1">
      <c r="B487" s="501"/>
      <c r="C487" s="1192" t="s">
        <v>116</v>
      </c>
      <c r="D487" s="1192"/>
      <c r="E487" s="1192"/>
      <c r="F487" s="1192"/>
      <c r="G487" s="1192"/>
      <c r="H487" s="1192"/>
      <c r="I487" s="1192"/>
      <c r="J487" s="1192"/>
      <c r="K487" s="516">
        <f>SUM(K484:K486)</f>
        <v>7.5374999999999998E-2</v>
      </c>
      <c r="L487" s="503"/>
    </row>
    <row r="488" spans="2:12" hidden="1">
      <c r="B488" s="501"/>
      <c r="C488" s="517"/>
      <c r="D488" s="517"/>
      <c r="E488" s="517"/>
      <c r="F488" s="517"/>
      <c r="G488" s="517"/>
      <c r="H488" s="517"/>
      <c r="I488" s="517"/>
      <c r="J488" s="517"/>
      <c r="K488" s="518"/>
      <c r="L488" s="503"/>
    </row>
    <row r="489" spans="2:12" ht="15" hidden="1" customHeight="1">
      <c r="B489" s="497" t="str">
        <f>'[6]PLANILHA ORÇAMENTÁRIA'!D131</f>
        <v>14.3.2</v>
      </c>
      <c r="C489" s="1186" t="str">
        <f>'[6]PLANILHA ORÇAMENTÁRIA'!E131</f>
        <v>LASTRO DE CONCRETO MAGRO, APLICADO EM PISOS OU RADIERS, ESPESSURA DE 5CM. AF_07_2016</v>
      </c>
      <c r="D489" s="1186"/>
      <c r="E489" s="1186"/>
      <c r="F489" s="1186"/>
      <c r="G489" s="1186"/>
      <c r="H489" s="1186"/>
      <c r="I489" s="1186"/>
      <c r="J489" s="1186"/>
      <c r="K489" s="510" t="str">
        <f>'[6]PLANILHA ORÇAMENTÁRIA'!F131</f>
        <v>M2</v>
      </c>
      <c r="L489" s="511">
        <f>K492</f>
        <v>0.09</v>
      </c>
    </row>
    <row r="490" spans="2:12" hidden="1">
      <c r="B490" s="501"/>
      <c r="C490" s="1190" t="s">
        <v>20</v>
      </c>
      <c r="D490" s="1190"/>
      <c r="E490" s="1190"/>
      <c r="F490" s="512" t="s">
        <v>22</v>
      </c>
      <c r="G490" s="693" t="s">
        <v>111</v>
      </c>
      <c r="H490" s="512" t="s">
        <v>112</v>
      </c>
      <c r="I490" s="693" t="s">
        <v>113</v>
      </c>
      <c r="J490" s="693" t="s">
        <v>114</v>
      </c>
      <c r="K490" s="513" t="s">
        <v>25</v>
      </c>
      <c r="L490" s="503"/>
    </row>
    <row r="491" spans="2:12" hidden="1">
      <c r="B491" s="501"/>
      <c r="C491" s="1191"/>
      <c r="D491" s="1191"/>
      <c r="E491" s="1191"/>
      <c r="F491" s="514">
        <v>4</v>
      </c>
      <c r="G491" s="514"/>
      <c r="H491" s="514">
        <v>0.15</v>
      </c>
      <c r="I491" s="514">
        <v>0.15</v>
      </c>
      <c r="J491" s="514"/>
      <c r="K491" s="515">
        <f>PRODUCT(F491:I491)</f>
        <v>0.09</v>
      </c>
      <c r="L491" s="503"/>
    </row>
    <row r="492" spans="2:12" hidden="1">
      <c r="B492" s="501"/>
      <c r="C492" s="1192" t="s">
        <v>116</v>
      </c>
      <c r="D492" s="1192"/>
      <c r="E492" s="1192"/>
      <c r="F492" s="1192"/>
      <c r="G492" s="1192"/>
      <c r="H492" s="1192"/>
      <c r="I492" s="1192"/>
      <c r="J492" s="1192"/>
      <c r="K492" s="516">
        <f>SUM(K491:K491)</f>
        <v>0.09</v>
      </c>
      <c r="L492" s="503"/>
    </row>
    <row r="493" spans="2:12" hidden="1">
      <c r="B493" s="501"/>
      <c r="C493" s="517"/>
      <c r="D493" s="517"/>
      <c r="E493" s="517"/>
      <c r="F493" s="517"/>
      <c r="G493" s="517"/>
      <c r="H493" s="517"/>
      <c r="I493" s="517"/>
      <c r="J493" s="517"/>
      <c r="K493" s="518"/>
      <c r="L493" s="503"/>
    </row>
    <row r="494" spans="2:12" ht="27" hidden="1" customHeight="1">
      <c r="B494" s="497" t="str">
        <f>'[6]PLANILHA ORÇAMENTÁRIA'!D132</f>
        <v>14.3.3</v>
      </c>
      <c r="C494" s="1186" t="str">
        <f>'[6]PLANILHA ORÇAMENTÁRIA'!E132</f>
        <v>CONCRETAGEM DE BLOCOS DE COROAMENTO E VIGAS BALDRAMES, FCK 30 MPA, COM USO DE BOMBA LANÇAMENTO, ADENSAMENTO E ACABAMENTO. AF_06/2017</v>
      </c>
      <c r="D494" s="1186"/>
      <c r="E494" s="1186"/>
      <c r="F494" s="1186"/>
      <c r="G494" s="1186"/>
      <c r="H494" s="1186"/>
      <c r="I494" s="1186"/>
      <c r="J494" s="1186"/>
      <c r="K494" s="510" t="str">
        <f>'[6]PLANILHA ORÇAMENTÁRIA'!F132</f>
        <v>M3</v>
      </c>
      <c r="L494" s="511">
        <f>K499</f>
        <v>0.05</v>
      </c>
    </row>
    <row r="495" spans="2:12" hidden="1">
      <c r="B495" s="501"/>
      <c r="C495" s="1190" t="s">
        <v>20</v>
      </c>
      <c r="D495" s="1190"/>
      <c r="E495" s="1190"/>
      <c r="F495" s="512" t="s">
        <v>22</v>
      </c>
      <c r="G495" s="693" t="s">
        <v>111</v>
      </c>
      <c r="H495" s="512" t="s">
        <v>112</v>
      </c>
      <c r="I495" s="693" t="s">
        <v>113</v>
      </c>
      <c r="J495" s="693" t="s">
        <v>114</v>
      </c>
      <c r="K495" s="513" t="s">
        <v>25</v>
      </c>
      <c r="L495" s="503"/>
    </row>
    <row r="496" spans="2:12" hidden="1">
      <c r="B496" s="501"/>
      <c r="C496" s="1191" t="s">
        <v>186</v>
      </c>
      <c r="D496" s="1191"/>
      <c r="E496" s="1191"/>
      <c r="F496" s="514">
        <v>2</v>
      </c>
      <c r="G496" s="514">
        <v>0.75</v>
      </c>
      <c r="H496" s="514">
        <v>0.15</v>
      </c>
      <c r="I496" s="514">
        <v>0.15</v>
      </c>
      <c r="J496" s="514"/>
      <c r="K496" s="694">
        <f>TRUNC(G496*H496*F496*I496,2)</f>
        <v>0.03</v>
      </c>
      <c r="L496" s="503"/>
    </row>
    <row r="497" spans="2:12" hidden="1">
      <c r="B497" s="501"/>
      <c r="C497" s="1191" t="s">
        <v>187</v>
      </c>
      <c r="D497" s="1191"/>
      <c r="E497" s="1191"/>
      <c r="F497" s="514">
        <v>1</v>
      </c>
      <c r="G497" s="514">
        <v>0.65</v>
      </c>
      <c r="H497" s="514">
        <v>0.15</v>
      </c>
      <c r="I497" s="514">
        <v>0.15</v>
      </c>
      <c r="J497" s="514"/>
      <c r="K497" s="694">
        <f>TRUNC(G497*H497*F497*I497,2)</f>
        <v>0.01</v>
      </c>
      <c r="L497" s="503"/>
    </row>
    <row r="498" spans="2:12" hidden="1">
      <c r="B498" s="501"/>
      <c r="C498" s="1191" t="s">
        <v>188</v>
      </c>
      <c r="D498" s="1191"/>
      <c r="E498" s="1191"/>
      <c r="F498" s="514">
        <v>1</v>
      </c>
      <c r="G498" s="514">
        <v>0.6</v>
      </c>
      <c r="H498" s="514">
        <v>0.15</v>
      </c>
      <c r="I498" s="514">
        <v>0.15</v>
      </c>
      <c r="J498" s="514"/>
      <c r="K498" s="694">
        <f>TRUNC(G498*H498*F498*I498,2)</f>
        <v>0.01</v>
      </c>
      <c r="L498" s="503"/>
    </row>
    <row r="499" spans="2:12" hidden="1">
      <c r="B499" s="501"/>
      <c r="C499" s="1192" t="s">
        <v>116</v>
      </c>
      <c r="D499" s="1192"/>
      <c r="E499" s="1192"/>
      <c r="F499" s="1192"/>
      <c r="G499" s="1192"/>
      <c r="H499" s="1192"/>
      <c r="I499" s="1192"/>
      <c r="J499" s="1192"/>
      <c r="K499" s="513">
        <f>SUM(K496:K498)</f>
        <v>0.05</v>
      </c>
      <c r="L499" s="503"/>
    </row>
    <row r="500" spans="2:12" hidden="1">
      <c r="B500" s="493"/>
      <c r="C500" s="493"/>
      <c r="D500" s="493"/>
      <c r="E500" s="493"/>
      <c r="F500" s="493"/>
      <c r="G500" s="493"/>
      <c r="H500" s="493"/>
      <c r="I500" s="493"/>
      <c r="J500" s="493"/>
      <c r="K500" s="493"/>
      <c r="L500" s="493"/>
    </row>
    <row r="501" spans="2:12" ht="15" hidden="1" customHeight="1">
      <c r="B501" s="497" t="str">
        <f>'[6]PLANILHA ORÇAMENTÁRIA'!D133</f>
        <v>14.3.4</v>
      </c>
      <c r="C501" s="1186" t="str">
        <f>'[6]PLANILHA ORÇAMENTÁRIA'!E133</f>
        <v>TUBO DE AÇO GALVANIZADO COM COSTURA 2" - FORNECIMENTO E INSTALACAO. - M</v>
      </c>
      <c r="D501" s="1186"/>
      <c r="E501" s="1186"/>
      <c r="F501" s="1186"/>
      <c r="G501" s="1186"/>
      <c r="H501" s="1186"/>
      <c r="I501" s="1186"/>
      <c r="J501" s="1186"/>
      <c r="K501" s="510" t="str">
        <f>'[6]PLANILHA ORÇAMENTÁRIA'!F133</f>
        <v>M</v>
      </c>
      <c r="L501" s="511">
        <f>K505</f>
        <v>13.2</v>
      </c>
    </row>
    <row r="502" spans="2:12" hidden="1">
      <c r="B502" s="501"/>
      <c r="C502" s="1190" t="s">
        <v>20</v>
      </c>
      <c r="D502" s="1190"/>
      <c r="E502" s="1190"/>
      <c r="F502" s="512" t="s">
        <v>22</v>
      </c>
      <c r="G502" s="693" t="s">
        <v>111</v>
      </c>
      <c r="H502" s="512" t="s">
        <v>112</v>
      </c>
      <c r="I502" s="693" t="s">
        <v>113</v>
      </c>
      <c r="J502" s="693" t="s">
        <v>114</v>
      </c>
      <c r="K502" s="513" t="s">
        <v>25</v>
      </c>
      <c r="L502" s="503"/>
    </row>
    <row r="503" spans="2:12" hidden="1">
      <c r="B503" s="501"/>
      <c r="C503" s="1191" t="s">
        <v>189</v>
      </c>
      <c r="D503" s="1191"/>
      <c r="E503" s="1191"/>
      <c r="F503" s="514">
        <v>1</v>
      </c>
      <c r="G503" s="514"/>
      <c r="H503" s="514"/>
      <c r="I503" s="514">
        <v>10.199999999999999</v>
      </c>
      <c r="J503" s="514"/>
      <c r="K503" s="694">
        <f>F503*I503</f>
        <v>10.199999999999999</v>
      </c>
      <c r="L503" s="503"/>
    </row>
    <row r="504" spans="2:12" hidden="1">
      <c r="B504" s="501"/>
      <c r="C504" s="1180" t="s">
        <v>190</v>
      </c>
      <c r="D504" s="1181"/>
      <c r="E504" s="1182"/>
      <c r="F504" s="514">
        <v>3</v>
      </c>
      <c r="G504" s="514"/>
      <c r="H504" s="514"/>
      <c r="I504" s="514">
        <v>1</v>
      </c>
      <c r="J504" s="514"/>
      <c r="K504" s="694">
        <f>F504*I504</f>
        <v>3</v>
      </c>
      <c r="L504" s="503"/>
    </row>
    <row r="505" spans="2:12" hidden="1">
      <c r="B505" s="501"/>
      <c r="C505" s="1192" t="s">
        <v>116</v>
      </c>
      <c r="D505" s="1192"/>
      <c r="E505" s="1192"/>
      <c r="F505" s="1192"/>
      <c r="G505" s="1192"/>
      <c r="H505" s="1192"/>
      <c r="I505" s="1192"/>
      <c r="J505" s="1192"/>
      <c r="K505" s="513">
        <f>SUM(K503:K504)</f>
        <v>13.2</v>
      </c>
      <c r="L505" s="503"/>
    </row>
    <row r="506" spans="2:12" hidden="1">
      <c r="B506" s="501"/>
      <c r="C506" s="517"/>
      <c r="D506" s="517"/>
      <c r="E506" s="517"/>
      <c r="F506" s="517"/>
      <c r="G506" s="517"/>
      <c r="H506" s="517"/>
      <c r="I506" s="517"/>
      <c r="J506" s="517"/>
      <c r="K506" s="519"/>
      <c r="L506" s="503"/>
    </row>
    <row r="507" spans="2:12" ht="15" hidden="1" customHeight="1">
      <c r="B507" s="497" t="str">
        <f>'[6]PLANILHA ORÇAMENTÁRIA'!D134</f>
        <v>14.3.5</v>
      </c>
      <c r="C507" s="1186" t="str">
        <f>'[6]PLANILHA ORÇAMENTÁRIA'!E134</f>
        <v>PINTURA ESMALTE ALTO BRILHO, DUAS DEMAOS, SOBRE SUPERFICIE METALICA</v>
      </c>
      <c r="D507" s="1186"/>
      <c r="E507" s="1186"/>
      <c r="F507" s="1186"/>
      <c r="G507" s="1186"/>
      <c r="H507" s="1186"/>
      <c r="I507" s="1186"/>
      <c r="J507" s="1186"/>
      <c r="K507" s="510" t="str">
        <f>'[6]PLANILHA ORÇAMENTÁRIA'!F134</f>
        <v>M2</v>
      </c>
      <c r="L507" s="511">
        <f>K511</f>
        <v>1.63</v>
      </c>
    </row>
    <row r="508" spans="2:12" hidden="1">
      <c r="B508" s="501"/>
      <c r="C508" s="1190" t="s">
        <v>20</v>
      </c>
      <c r="D508" s="1190"/>
      <c r="E508" s="1190"/>
      <c r="F508" s="512" t="s">
        <v>22</v>
      </c>
      <c r="G508" s="693" t="s">
        <v>111</v>
      </c>
      <c r="H508" s="512" t="s">
        <v>178</v>
      </c>
      <c r="I508" s="693" t="s">
        <v>113</v>
      </c>
      <c r="J508" s="693" t="s">
        <v>114</v>
      </c>
      <c r="K508" s="513" t="s">
        <v>25</v>
      </c>
      <c r="L508" s="503"/>
    </row>
    <row r="509" spans="2:12" hidden="1">
      <c r="B509" s="501"/>
      <c r="C509" s="1191" t="s">
        <v>189</v>
      </c>
      <c r="D509" s="1191"/>
      <c r="E509" s="1191"/>
      <c r="F509" s="514">
        <v>1</v>
      </c>
      <c r="G509" s="514"/>
      <c r="H509" s="527">
        <v>2.5000000000000001E-2</v>
      </c>
      <c r="I509" s="514">
        <v>7.45</v>
      </c>
      <c r="J509" s="514"/>
      <c r="K509" s="694">
        <f>TRUNC((2*3.14*H509*I509)*F509,2)</f>
        <v>1.1599999999999999</v>
      </c>
      <c r="L509" s="503"/>
    </row>
    <row r="510" spans="2:12" hidden="1">
      <c r="B510" s="501"/>
      <c r="C510" s="1180" t="s">
        <v>190</v>
      </c>
      <c r="D510" s="1181"/>
      <c r="E510" s="1182"/>
      <c r="F510" s="514">
        <v>3</v>
      </c>
      <c r="G510" s="514"/>
      <c r="H510" s="527">
        <v>2.5000000000000001E-2</v>
      </c>
      <c r="I510" s="514">
        <v>1</v>
      </c>
      <c r="J510" s="514"/>
      <c r="K510" s="694">
        <f>TRUNC((2*3.14*H510*I510)*F510,2)</f>
        <v>0.47</v>
      </c>
      <c r="L510" s="503"/>
    </row>
    <row r="511" spans="2:12" hidden="1">
      <c r="B511" s="501"/>
      <c r="C511" s="1192" t="s">
        <v>116</v>
      </c>
      <c r="D511" s="1192"/>
      <c r="E511" s="1192"/>
      <c r="F511" s="1192"/>
      <c r="G511" s="1192"/>
      <c r="H511" s="1192"/>
      <c r="I511" s="1192"/>
      <c r="J511" s="1192"/>
      <c r="K511" s="513">
        <f>SUM(K509:K510)</f>
        <v>1.63</v>
      </c>
      <c r="L511" s="503"/>
    </row>
    <row r="512" spans="2:12" hidden="1">
      <c r="B512" s="493"/>
      <c r="C512" s="493"/>
      <c r="D512" s="493"/>
      <c r="E512" s="493"/>
      <c r="F512" s="493"/>
      <c r="G512" s="493"/>
      <c r="H512" s="493"/>
      <c r="I512" s="493"/>
      <c r="J512" s="493"/>
      <c r="K512" s="493"/>
      <c r="L512" s="493"/>
    </row>
    <row r="513" spans="2:12" hidden="1">
      <c r="B513" s="501" t="str">
        <f>'[6]PLANILHA ORÇAMENTÁRIA'!D135</f>
        <v>14.4</v>
      </c>
      <c r="C513" s="1193" t="str">
        <f>'[6]PLANILHA ORÇAMENTÁRIA'!E135</f>
        <v>ESPALDAR SIMPLES</v>
      </c>
      <c r="D513" s="1193"/>
      <c r="E513" s="1193"/>
      <c r="F513" s="1193"/>
      <c r="G513" s="1193"/>
      <c r="H513" s="1193"/>
      <c r="I513" s="1193"/>
      <c r="J513" s="1193"/>
      <c r="K513" s="497"/>
      <c r="L513" s="497"/>
    </row>
    <row r="514" spans="2:12" ht="15" hidden="1" customHeight="1">
      <c r="B514" s="497" t="str">
        <f>'[6]PLANILHA ORÇAMENTÁRIA'!D136</f>
        <v>14.4.1</v>
      </c>
      <c r="C514" s="1186" t="str">
        <f>'[6]PLANILHA ORÇAMENTÁRIA'!E136</f>
        <v>ESCAVAÇÃO MANUAL DE VALA COM PROFUNDIDADE MENOR OU IGUAL A 1,30 M</v>
      </c>
      <c r="D514" s="1186"/>
      <c r="E514" s="1186"/>
      <c r="F514" s="1186"/>
      <c r="G514" s="1186"/>
      <c r="H514" s="1186"/>
      <c r="I514" s="1186"/>
      <c r="J514" s="1186"/>
      <c r="K514" s="510" t="str">
        <f>'[6]PLANILHA ORÇAMENTÁRIA'!F136</f>
        <v>M3</v>
      </c>
      <c r="L514" s="511">
        <f>K517</f>
        <v>3.5999999999999997E-2</v>
      </c>
    </row>
    <row r="515" spans="2:12" hidden="1">
      <c r="B515" s="501"/>
      <c r="C515" s="1190" t="s">
        <v>20</v>
      </c>
      <c r="D515" s="1190"/>
      <c r="E515" s="1190"/>
      <c r="F515" s="512" t="s">
        <v>22</v>
      </c>
      <c r="G515" s="693" t="s">
        <v>111</v>
      </c>
      <c r="H515" s="512" t="s">
        <v>112</v>
      </c>
      <c r="I515" s="693" t="s">
        <v>113</v>
      </c>
      <c r="J515" s="693" t="s">
        <v>114</v>
      </c>
      <c r="K515" s="513" t="s">
        <v>25</v>
      </c>
      <c r="L515" s="503"/>
    </row>
    <row r="516" spans="2:12" hidden="1">
      <c r="B516" s="501"/>
      <c r="C516" s="1191" t="s">
        <v>174</v>
      </c>
      <c r="D516" s="1191"/>
      <c r="E516" s="1191"/>
      <c r="F516" s="514">
        <v>2</v>
      </c>
      <c r="G516" s="514">
        <v>0.8</v>
      </c>
      <c r="H516" s="514">
        <v>0.15</v>
      </c>
      <c r="I516" s="514">
        <v>0.15</v>
      </c>
      <c r="J516" s="514"/>
      <c r="K516" s="515">
        <f>PRODUCT(F516:I516)</f>
        <v>3.5999999999999997E-2</v>
      </c>
      <c r="L516" s="503"/>
    </row>
    <row r="517" spans="2:12" hidden="1">
      <c r="B517" s="501"/>
      <c r="C517" s="1192" t="s">
        <v>116</v>
      </c>
      <c r="D517" s="1192"/>
      <c r="E517" s="1192"/>
      <c r="F517" s="1192"/>
      <c r="G517" s="1192"/>
      <c r="H517" s="1192"/>
      <c r="I517" s="1192"/>
      <c r="J517" s="1192"/>
      <c r="K517" s="516">
        <f>SUM(K516:K516)</f>
        <v>3.5999999999999997E-2</v>
      </c>
      <c r="L517" s="503"/>
    </row>
    <row r="518" spans="2:12" hidden="1">
      <c r="B518" s="501"/>
      <c r="C518" s="517"/>
      <c r="D518" s="517"/>
      <c r="E518" s="517"/>
      <c r="F518" s="517"/>
      <c r="G518" s="517"/>
      <c r="H518" s="517"/>
      <c r="I518" s="517"/>
      <c r="J518" s="517"/>
      <c r="K518" s="518"/>
      <c r="L518" s="503"/>
    </row>
    <row r="519" spans="2:12" ht="15" hidden="1" customHeight="1">
      <c r="B519" s="497" t="str">
        <f>'[6]PLANILHA ORÇAMENTÁRIA'!D137</f>
        <v>14.4.2</v>
      </c>
      <c r="C519" s="1186" t="str">
        <f>'[6]PLANILHA ORÇAMENTÁRIA'!E137</f>
        <v>LASTRO DE CONCRETO MAGRO, APLICADO EM PISOS OU RADIERS, ESPESSURA DE 5CM. AF_07_2016</v>
      </c>
      <c r="D519" s="1186"/>
      <c r="E519" s="1186"/>
      <c r="F519" s="1186"/>
      <c r="G519" s="1186"/>
      <c r="H519" s="1186"/>
      <c r="I519" s="1186"/>
      <c r="J519" s="1186"/>
      <c r="K519" s="510" t="str">
        <f>'[6]PLANILHA ORÇAMENTÁRIA'!F137</f>
        <v>M2</v>
      </c>
      <c r="L519" s="511">
        <f>K522</f>
        <v>4.4999999999999998E-2</v>
      </c>
    </row>
    <row r="520" spans="2:12" hidden="1">
      <c r="B520" s="501"/>
      <c r="C520" s="1190" t="s">
        <v>20</v>
      </c>
      <c r="D520" s="1190"/>
      <c r="E520" s="1190"/>
      <c r="F520" s="512" t="s">
        <v>22</v>
      </c>
      <c r="G520" s="693" t="s">
        <v>111</v>
      </c>
      <c r="H520" s="512" t="s">
        <v>112</v>
      </c>
      <c r="I520" s="693" t="s">
        <v>113</v>
      </c>
      <c r="J520" s="693" t="s">
        <v>114</v>
      </c>
      <c r="K520" s="513" t="s">
        <v>25</v>
      </c>
      <c r="L520" s="503"/>
    </row>
    <row r="521" spans="2:12" hidden="1">
      <c r="B521" s="501"/>
      <c r="C521" s="1191"/>
      <c r="D521" s="1191"/>
      <c r="E521" s="1191"/>
      <c r="F521" s="514">
        <v>2</v>
      </c>
      <c r="G521" s="514"/>
      <c r="H521" s="514">
        <v>0.15</v>
      </c>
      <c r="I521" s="514">
        <v>0.15</v>
      </c>
      <c r="J521" s="514"/>
      <c r="K521" s="515">
        <f>PRODUCT(F521:I521)</f>
        <v>4.4999999999999998E-2</v>
      </c>
      <c r="L521" s="503"/>
    </row>
    <row r="522" spans="2:12" hidden="1">
      <c r="B522" s="501"/>
      <c r="C522" s="1192" t="s">
        <v>116</v>
      </c>
      <c r="D522" s="1192"/>
      <c r="E522" s="1192"/>
      <c r="F522" s="1192"/>
      <c r="G522" s="1192"/>
      <c r="H522" s="1192"/>
      <c r="I522" s="1192"/>
      <c r="J522" s="1192"/>
      <c r="K522" s="516">
        <f>SUM(K521:K521)</f>
        <v>4.4999999999999998E-2</v>
      </c>
      <c r="L522" s="503"/>
    </row>
    <row r="523" spans="2:12" hidden="1">
      <c r="B523" s="501"/>
      <c r="C523" s="517"/>
      <c r="D523" s="517"/>
      <c r="E523" s="517"/>
      <c r="F523" s="517"/>
      <c r="G523" s="517"/>
      <c r="H523" s="517"/>
      <c r="I523" s="517"/>
      <c r="J523" s="517"/>
      <c r="K523" s="518"/>
      <c r="L523" s="503"/>
    </row>
    <row r="524" spans="2:12" ht="21.75" hidden="1" customHeight="1">
      <c r="B524" s="497" t="str">
        <f>'[6]PLANILHA ORÇAMENTÁRIA'!D138</f>
        <v>14.4.3</v>
      </c>
      <c r="C524" s="1186" t="str">
        <f>'[6]PLANILHA ORÇAMENTÁRIA'!E138</f>
        <v>CONCRETAGEM DE BLOCOS DE COROAMENTO E VIGAS BALDRAMES, FCK 30 MPA, COM USO DE BOMBA LANÇAMENTO, ADENSAMENTO E ACABAMENTO. AF_06/2017</v>
      </c>
      <c r="D524" s="1186"/>
      <c r="E524" s="1186"/>
      <c r="F524" s="1186"/>
      <c r="G524" s="1186"/>
      <c r="H524" s="1186"/>
      <c r="I524" s="1186"/>
      <c r="J524" s="1186"/>
      <c r="K524" s="510" t="str">
        <f>'[6]PLANILHA ORÇAMENTÁRIA'!F138</f>
        <v>M3</v>
      </c>
      <c r="L524" s="511">
        <f>K527</f>
        <v>0.02</v>
      </c>
    </row>
    <row r="525" spans="2:12" hidden="1">
      <c r="B525" s="501"/>
      <c r="C525" s="1190" t="s">
        <v>20</v>
      </c>
      <c r="D525" s="1190"/>
      <c r="E525" s="1190"/>
      <c r="F525" s="512" t="s">
        <v>22</v>
      </c>
      <c r="G525" s="693" t="s">
        <v>111</v>
      </c>
      <c r="H525" s="512" t="s">
        <v>112</v>
      </c>
      <c r="I525" s="693" t="s">
        <v>113</v>
      </c>
      <c r="J525" s="693" t="s">
        <v>114</v>
      </c>
      <c r="K525" s="513" t="s">
        <v>25</v>
      </c>
      <c r="L525" s="503"/>
    </row>
    <row r="526" spans="2:12" hidden="1">
      <c r="B526" s="501"/>
      <c r="C526" s="1191" t="s">
        <v>191</v>
      </c>
      <c r="D526" s="1191"/>
      <c r="E526" s="1191"/>
      <c r="F526" s="514">
        <v>2</v>
      </c>
      <c r="G526" s="514">
        <v>0.65</v>
      </c>
      <c r="H526" s="514">
        <v>0.15</v>
      </c>
      <c r="I526" s="514">
        <v>0.15</v>
      </c>
      <c r="J526" s="514"/>
      <c r="K526" s="694">
        <f>TRUNC(G526*H526*F526*I526,2)</f>
        <v>0.02</v>
      </c>
      <c r="L526" s="503"/>
    </row>
    <row r="527" spans="2:12" hidden="1">
      <c r="B527" s="501"/>
      <c r="C527" s="1192" t="s">
        <v>116</v>
      </c>
      <c r="D527" s="1192"/>
      <c r="E527" s="1192"/>
      <c r="F527" s="1192"/>
      <c r="G527" s="1192"/>
      <c r="H527" s="1192"/>
      <c r="I527" s="1192"/>
      <c r="J527" s="1192"/>
      <c r="K527" s="513">
        <f>SUM(K526:K526)</f>
        <v>0.02</v>
      </c>
      <c r="L527" s="503"/>
    </row>
    <row r="528" spans="2:12" hidden="1">
      <c r="B528" s="493"/>
      <c r="C528" s="493"/>
      <c r="D528" s="493"/>
      <c r="E528" s="493"/>
      <c r="F528" s="493"/>
      <c r="G528" s="493"/>
      <c r="H528" s="493"/>
      <c r="I528" s="493"/>
      <c r="J528" s="493"/>
      <c r="K528" s="493"/>
      <c r="L528" s="493"/>
    </row>
    <row r="529" spans="2:12" ht="15" hidden="1" customHeight="1">
      <c r="B529" s="497" t="str">
        <f>'[6]PLANILHA ORÇAMENTÁRIA'!D139</f>
        <v>14.4.4</v>
      </c>
      <c r="C529" s="1186" t="str">
        <f>'[6]PLANILHA ORÇAMENTÁRIA'!E139</f>
        <v>TUBO DE AÇO GALVANIZADO COM COSTURA 2" - FORNECIMENTO E INSTALACAO. - M</v>
      </c>
      <c r="D529" s="1186"/>
      <c r="E529" s="1186"/>
      <c r="F529" s="1186"/>
      <c r="G529" s="1186"/>
      <c r="H529" s="1186"/>
      <c r="I529" s="1186"/>
      <c r="J529" s="1186"/>
      <c r="K529" s="510" t="str">
        <f>'[6]PLANILHA ORÇAMENTÁRIA'!F139</f>
        <v>M</v>
      </c>
      <c r="L529" s="511">
        <f>K533</f>
        <v>12.2</v>
      </c>
    </row>
    <row r="530" spans="2:12" hidden="1">
      <c r="B530" s="501"/>
      <c r="C530" s="1190" t="s">
        <v>20</v>
      </c>
      <c r="D530" s="1190"/>
      <c r="E530" s="1190"/>
      <c r="F530" s="512" t="s">
        <v>22</v>
      </c>
      <c r="G530" s="693" t="s">
        <v>111</v>
      </c>
      <c r="H530" s="512" t="s">
        <v>112</v>
      </c>
      <c r="I530" s="693" t="s">
        <v>113</v>
      </c>
      <c r="J530" s="693" t="s">
        <v>114</v>
      </c>
      <c r="K530" s="513" t="s">
        <v>25</v>
      </c>
      <c r="L530" s="503"/>
    </row>
    <row r="531" spans="2:12" hidden="1">
      <c r="B531" s="501"/>
      <c r="C531" s="1191" t="s">
        <v>189</v>
      </c>
      <c r="D531" s="1191"/>
      <c r="E531" s="1191"/>
      <c r="F531" s="514">
        <v>2</v>
      </c>
      <c r="G531" s="514"/>
      <c r="H531" s="514"/>
      <c r="I531" s="514">
        <v>2.6</v>
      </c>
      <c r="J531" s="514"/>
      <c r="K531" s="694">
        <f>F531*I531</f>
        <v>5.2</v>
      </c>
      <c r="L531" s="503"/>
    </row>
    <row r="532" spans="2:12" hidden="1">
      <c r="B532" s="501"/>
      <c r="C532" s="1180" t="s">
        <v>190</v>
      </c>
      <c r="D532" s="1181"/>
      <c r="E532" s="1182"/>
      <c r="F532" s="514">
        <v>7</v>
      </c>
      <c r="G532" s="514"/>
      <c r="H532" s="514"/>
      <c r="I532" s="514">
        <v>1</v>
      </c>
      <c r="J532" s="514"/>
      <c r="K532" s="694">
        <f>F532*I532</f>
        <v>7</v>
      </c>
      <c r="L532" s="503"/>
    </row>
    <row r="533" spans="2:12" hidden="1">
      <c r="B533" s="501"/>
      <c r="C533" s="1192" t="s">
        <v>116</v>
      </c>
      <c r="D533" s="1192"/>
      <c r="E533" s="1192"/>
      <c r="F533" s="1192"/>
      <c r="G533" s="1192"/>
      <c r="H533" s="1192"/>
      <c r="I533" s="1192"/>
      <c r="J533" s="1192"/>
      <c r="K533" s="513">
        <f>SUM(K531:K532)</f>
        <v>12.2</v>
      </c>
      <c r="L533" s="503"/>
    </row>
    <row r="534" spans="2:12" hidden="1">
      <c r="B534" s="501"/>
      <c r="C534" s="517"/>
      <c r="D534" s="517"/>
      <c r="E534" s="517"/>
      <c r="F534" s="517"/>
      <c r="G534" s="517"/>
      <c r="H534" s="517"/>
      <c r="I534" s="517"/>
      <c r="J534" s="517"/>
      <c r="K534" s="519"/>
      <c r="L534" s="503"/>
    </row>
    <row r="535" spans="2:12" ht="15" hidden="1" customHeight="1">
      <c r="B535" s="497" t="str">
        <f>'[6]PLANILHA ORÇAMENTÁRIA'!D140</f>
        <v>14.4.5</v>
      </c>
      <c r="C535" s="1186" t="str">
        <f>'[6]PLANILHA ORÇAMENTÁRIA'!E140</f>
        <v>PINTURA ESMALTE ALTO BRILHO, DUAS DEMAOS, SOBRE SUPERFICIE METALICA</v>
      </c>
      <c r="D535" s="1186"/>
      <c r="E535" s="1186"/>
      <c r="F535" s="1186"/>
      <c r="G535" s="1186"/>
      <c r="H535" s="1186"/>
      <c r="I535" s="1186"/>
      <c r="J535" s="1186"/>
      <c r="K535" s="510" t="str">
        <f>'[6]PLANILHA ORÇAMENTÁRIA'!F140</f>
        <v>M2</v>
      </c>
      <c r="L535" s="511">
        <f>K539</f>
        <v>1.7000000000000002</v>
      </c>
    </row>
    <row r="536" spans="2:12" hidden="1">
      <c r="B536" s="501"/>
      <c r="C536" s="1190" t="s">
        <v>20</v>
      </c>
      <c r="D536" s="1190"/>
      <c r="E536" s="1190"/>
      <c r="F536" s="512" t="s">
        <v>22</v>
      </c>
      <c r="G536" s="693" t="s">
        <v>111</v>
      </c>
      <c r="H536" s="512" t="s">
        <v>178</v>
      </c>
      <c r="I536" s="693" t="s">
        <v>113</v>
      </c>
      <c r="J536" s="693" t="s">
        <v>114</v>
      </c>
      <c r="K536" s="513" t="s">
        <v>25</v>
      </c>
      <c r="L536" s="503"/>
    </row>
    <row r="537" spans="2:12" hidden="1">
      <c r="B537" s="501"/>
      <c r="C537" s="1191" t="s">
        <v>189</v>
      </c>
      <c r="D537" s="1191"/>
      <c r="E537" s="1191"/>
      <c r="F537" s="514">
        <v>2</v>
      </c>
      <c r="G537" s="514"/>
      <c r="H537" s="527">
        <v>2.5000000000000001E-2</v>
      </c>
      <c r="I537" s="514">
        <v>1.95</v>
      </c>
      <c r="J537" s="514"/>
      <c r="K537" s="694">
        <f>TRUNC((2*3.14*H537*I537)*F537,2)</f>
        <v>0.61</v>
      </c>
      <c r="L537" s="503"/>
    </row>
    <row r="538" spans="2:12" hidden="1">
      <c r="B538" s="501"/>
      <c r="C538" s="1180" t="s">
        <v>190</v>
      </c>
      <c r="D538" s="1181"/>
      <c r="E538" s="1182"/>
      <c r="F538" s="514">
        <v>7</v>
      </c>
      <c r="G538" s="514"/>
      <c r="H538" s="527">
        <v>2.5000000000000001E-2</v>
      </c>
      <c r="I538" s="514">
        <v>1</v>
      </c>
      <c r="J538" s="514"/>
      <c r="K538" s="694">
        <f>TRUNC((2*3.14*H538*I538)*F538,2)</f>
        <v>1.0900000000000001</v>
      </c>
      <c r="L538" s="503"/>
    </row>
    <row r="539" spans="2:12" hidden="1">
      <c r="B539" s="501"/>
      <c r="C539" s="1192" t="s">
        <v>116</v>
      </c>
      <c r="D539" s="1192"/>
      <c r="E539" s="1192"/>
      <c r="F539" s="1192"/>
      <c r="G539" s="1192"/>
      <c r="H539" s="1192"/>
      <c r="I539" s="1192"/>
      <c r="J539" s="1192"/>
      <c r="K539" s="513">
        <f>SUM(K537:K538)</f>
        <v>1.7000000000000002</v>
      </c>
      <c r="L539" s="503"/>
    </row>
    <row r="540" spans="2:12" hidden="1">
      <c r="B540" s="493"/>
      <c r="C540" s="493"/>
      <c r="D540" s="493"/>
      <c r="E540" s="493"/>
      <c r="F540" s="493"/>
      <c r="G540" s="493"/>
      <c r="H540" s="493"/>
      <c r="I540" s="493"/>
      <c r="J540" s="493"/>
      <c r="K540" s="493"/>
      <c r="L540" s="493"/>
    </row>
    <row r="541" spans="2:12" hidden="1">
      <c r="B541" s="501" t="str">
        <f>'[6]PLANILHA ORÇAMENTÁRIA'!D141</f>
        <v>14.5</v>
      </c>
      <c r="C541" s="1193" t="str">
        <f>'[6]PLANILHA ORÇAMENTÁRIA'!E141</f>
        <v>BARRA DE APOIO</v>
      </c>
      <c r="D541" s="1193"/>
      <c r="E541" s="1193"/>
      <c r="F541" s="1193"/>
      <c r="G541" s="1193"/>
      <c r="H541" s="1193"/>
      <c r="I541" s="1193"/>
      <c r="J541" s="1193"/>
      <c r="K541" s="497"/>
      <c r="L541" s="497"/>
    </row>
    <row r="542" spans="2:12" ht="15" hidden="1" customHeight="1">
      <c r="B542" s="497" t="str">
        <f>'[6]PLANILHA ORÇAMENTÁRIA'!D142</f>
        <v>14.5.1</v>
      </c>
      <c r="C542" s="1186" t="str">
        <f>'[6]PLANILHA ORÇAMENTÁRIA'!E142</f>
        <v>ESCAVAÇÃO MANUAL DE VALA COM PROFUNDIDADE MENOR OU IGUAL A 1,30 M</v>
      </c>
      <c r="D542" s="1186"/>
      <c r="E542" s="1186"/>
      <c r="F542" s="1186"/>
      <c r="G542" s="1186"/>
      <c r="H542" s="1186"/>
      <c r="I542" s="1186"/>
      <c r="J542" s="1186"/>
      <c r="K542" s="510" t="str">
        <f>'[6]PLANILHA ORÇAMENTÁRIA'!F142</f>
        <v>M3</v>
      </c>
      <c r="L542" s="511">
        <f>K545</f>
        <v>4.9500000000000002E-2</v>
      </c>
    </row>
    <row r="543" spans="2:12" hidden="1">
      <c r="B543" s="501"/>
      <c r="C543" s="1190" t="s">
        <v>20</v>
      </c>
      <c r="D543" s="1190"/>
      <c r="E543" s="1190"/>
      <c r="F543" s="512" t="s">
        <v>22</v>
      </c>
      <c r="G543" s="693" t="s">
        <v>111</v>
      </c>
      <c r="H543" s="512" t="s">
        <v>112</v>
      </c>
      <c r="I543" s="693" t="s">
        <v>113</v>
      </c>
      <c r="J543" s="693" t="s">
        <v>114</v>
      </c>
      <c r="K543" s="513" t="s">
        <v>25</v>
      </c>
      <c r="L543" s="503"/>
    </row>
    <row r="544" spans="2:12" hidden="1">
      <c r="B544" s="501"/>
      <c r="C544" s="1191" t="s">
        <v>174</v>
      </c>
      <c r="D544" s="1191"/>
      <c r="E544" s="1191"/>
      <c r="F544" s="514">
        <v>4</v>
      </c>
      <c r="G544" s="514">
        <v>0.55000000000000004</v>
      </c>
      <c r="H544" s="514">
        <v>0.15</v>
      </c>
      <c r="I544" s="514">
        <v>0.15</v>
      </c>
      <c r="J544" s="514"/>
      <c r="K544" s="515">
        <f>PRODUCT(F544:I544)</f>
        <v>4.9500000000000002E-2</v>
      </c>
      <c r="L544" s="503"/>
    </row>
    <row r="545" spans="2:12" hidden="1">
      <c r="B545" s="501"/>
      <c r="C545" s="1192" t="s">
        <v>116</v>
      </c>
      <c r="D545" s="1192"/>
      <c r="E545" s="1192"/>
      <c r="F545" s="1192"/>
      <c r="G545" s="1192"/>
      <c r="H545" s="1192"/>
      <c r="I545" s="1192"/>
      <c r="J545" s="1192"/>
      <c r="K545" s="516">
        <f>SUM(K544:K544)</f>
        <v>4.9500000000000002E-2</v>
      </c>
      <c r="L545" s="503"/>
    </row>
    <row r="546" spans="2:12" hidden="1">
      <c r="B546" s="501"/>
      <c r="C546" s="517"/>
      <c r="D546" s="517"/>
      <c r="E546" s="517"/>
      <c r="F546" s="517"/>
      <c r="G546" s="517"/>
      <c r="H546" s="517"/>
      <c r="I546" s="517"/>
      <c r="J546" s="517"/>
      <c r="K546" s="518"/>
      <c r="L546" s="503"/>
    </row>
    <row r="547" spans="2:12" ht="15" hidden="1" customHeight="1">
      <c r="B547" s="497" t="str">
        <f>'[6]PLANILHA ORÇAMENTÁRIA'!D143</f>
        <v>14.5.2</v>
      </c>
      <c r="C547" s="1186" t="str">
        <f>'[6]PLANILHA ORÇAMENTÁRIA'!E143</f>
        <v>LASTRO DE CONCRETO MAGRO, APLICADO EM PISOS OU RADIERS, ESPESSURA DE 5CM. AF_07_2016</v>
      </c>
      <c r="D547" s="1186"/>
      <c r="E547" s="1186"/>
      <c r="F547" s="1186"/>
      <c r="G547" s="1186"/>
      <c r="H547" s="1186"/>
      <c r="I547" s="1186"/>
      <c r="J547" s="1186"/>
      <c r="K547" s="510" t="str">
        <f>'[6]PLANILHA ORÇAMENTÁRIA'!F143</f>
        <v>M2</v>
      </c>
      <c r="L547" s="511">
        <f>K550</f>
        <v>0.09</v>
      </c>
    </row>
    <row r="548" spans="2:12" hidden="1">
      <c r="B548" s="501"/>
      <c r="C548" s="1190" t="s">
        <v>20</v>
      </c>
      <c r="D548" s="1190"/>
      <c r="E548" s="1190"/>
      <c r="F548" s="512" t="s">
        <v>22</v>
      </c>
      <c r="G548" s="693" t="s">
        <v>111</v>
      </c>
      <c r="H548" s="512" t="s">
        <v>112</v>
      </c>
      <c r="I548" s="693" t="s">
        <v>113</v>
      </c>
      <c r="J548" s="693" t="s">
        <v>114</v>
      </c>
      <c r="K548" s="513" t="s">
        <v>25</v>
      </c>
      <c r="L548" s="503"/>
    </row>
    <row r="549" spans="2:12" hidden="1">
      <c r="B549" s="501"/>
      <c r="C549" s="1191"/>
      <c r="D549" s="1191"/>
      <c r="E549" s="1191"/>
      <c r="F549" s="514">
        <v>4</v>
      </c>
      <c r="G549" s="514"/>
      <c r="H549" s="514">
        <v>0.15</v>
      </c>
      <c r="I549" s="514">
        <v>0.15</v>
      </c>
      <c r="J549" s="514"/>
      <c r="K549" s="515">
        <f>PRODUCT(F549:I549)</f>
        <v>0.09</v>
      </c>
      <c r="L549" s="503"/>
    </row>
    <row r="550" spans="2:12" hidden="1">
      <c r="B550" s="501"/>
      <c r="C550" s="1192" t="s">
        <v>116</v>
      </c>
      <c r="D550" s="1192"/>
      <c r="E550" s="1192"/>
      <c r="F550" s="1192"/>
      <c r="G550" s="1192"/>
      <c r="H550" s="1192"/>
      <c r="I550" s="1192"/>
      <c r="J550" s="1192"/>
      <c r="K550" s="516">
        <f>SUM(K549:K549)</f>
        <v>0.09</v>
      </c>
      <c r="L550" s="503"/>
    </row>
    <row r="551" spans="2:12" ht="17.25" hidden="1" customHeight="1">
      <c r="B551" s="501"/>
      <c r="C551" s="517"/>
      <c r="D551" s="517"/>
      <c r="E551" s="517"/>
      <c r="F551" s="517"/>
      <c r="G551" s="517"/>
      <c r="H551" s="517"/>
      <c r="I551" s="517"/>
      <c r="J551" s="517"/>
      <c r="K551" s="518"/>
      <c r="L551" s="503"/>
    </row>
    <row r="552" spans="2:12" ht="22.5" hidden="1" customHeight="1">
      <c r="B552" s="497" t="str">
        <f>'[6]PLANILHA ORÇAMENTÁRIA'!D144</f>
        <v>14.5.3</v>
      </c>
      <c r="C552" s="1186" t="str">
        <f>'[6]PLANILHA ORÇAMENTÁRIA'!E144</f>
        <v>CONCRETAGEM DE BLOCOS DE COROAMENTO E VIGAS BALDRAMES, FCK 30 MPA, COM USO DE BOMBA LANÇAMENTO, ADENSAMENTO E ACABAMENTO. AF_06/2017</v>
      </c>
      <c r="D552" s="1186"/>
      <c r="E552" s="1186"/>
      <c r="F552" s="1186"/>
      <c r="G552" s="1186"/>
      <c r="H552" s="1186"/>
      <c r="I552" s="1186"/>
      <c r="J552" s="1186"/>
      <c r="K552" s="510" t="str">
        <f>'[6]PLANILHA ORÇAMENTÁRIA'!F144</f>
        <v>M3</v>
      </c>
      <c r="L552" s="511">
        <f>K555</f>
        <v>0.03</v>
      </c>
    </row>
    <row r="553" spans="2:12" hidden="1">
      <c r="B553" s="501"/>
      <c r="C553" s="1190" t="s">
        <v>20</v>
      </c>
      <c r="D553" s="1190"/>
      <c r="E553" s="1190"/>
      <c r="F553" s="512" t="s">
        <v>22</v>
      </c>
      <c r="G553" s="693" t="s">
        <v>111</v>
      </c>
      <c r="H553" s="512" t="s">
        <v>112</v>
      </c>
      <c r="I553" s="693" t="s">
        <v>113</v>
      </c>
      <c r="J553" s="693" t="s">
        <v>114</v>
      </c>
      <c r="K553" s="513" t="s">
        <v>25</v>
      </c>
      <c r="L553" s="503"/>
    </row>
    <row r="554" spans="2:12" hidden="1">
      <c r="B554" s="501"/>
      <c r="C554" s="1191" t="s">
        <v>191</v>
      </c>
      <c r="D554" s="1191"/>
      <c r="E554" s="1191"/>
      <c r="F554" s="514">
        <v>4</v>
      </c>
      <c r="G554" s="514">
        <v>0.4</v>
      </c>
      <c r="H554" s="514">
        <v>0.15</v>
      </c>
      <c r="I554" s="514">
        <v>0.15</v>
      </c>
      <c r="J554" s="514"/>
      <c r="K554" s="694">
        <f>TRUNC(G554*H554*F554*I554,2)</f>
        <v>0.03</v>
      </c>
      <c r="L554" s="503"/>
    </row>
    <row r="555" spans="2:12" hidden="1">
      <c r="B555" s="501"/>
      <c r="C555" s="1192" t="s">
        <v>116</v>
      </c>
      <c r="D555" s="1192"/>
      <c r="E555" s="1192"/>
      <c r="F555" s="1192"/>
      <c r="G555" s="1192"/>
      <c r="H555" s="1192"/>
      <c r="I555" s="1192"/>
      <c r="J555" s="1192"/>
      <c r="K555" s="513">
        <f>SUM(K554:K554)</f>
        <v>0.03</v>
      </c>
      <c r="L555" s="503"/>
    </row>
    <row r="556" spans="2:12" ht="18" hidden="1" customHeight="1">
      <c r="B556" s="493"/>
      <c r="C556" s="493"/>
      <c r="D556" s="493"/>
      <c r="E556" s="493"/>
      <c r="F556" s="493"/>
      <c r="G556" s="493"/>
      <c r="H556" s="493"/>
      <c r="I556" s="493"/>
      <c r="J556" s="493"/>
      <c r="K556" s="493"/>
      <c r="L556" s="493"/>
    </row>
    <row r="557" spans="2:12" ht="15" hidden="1" customHeight="1">
      <c r="B557" s="497" t="str">
        <f>'[6]PLANILHA ORÇAMENTÁRIA'!D145</f>
        <v>14.5.4</v>
      </c>
      <c r="C557" s="1186" t="str">
        <f>'[6]PLANILHA ORÇAMENTÁRIA'!E145</f>
        <v>TUBO DE AÇO GALVANIZADO COM COSTURA 2" - FORNECIMENTO E INSTALACAO. - M</v>
      </c>
      <c r="D557" s="1186"/>
      <c r="E557" s="1186"/>
      <c r="F557" s="1186"/>
      <c r="G557" s="1186"/>
      <c r="H557" s="1186"/>
      <c r="I557" s="1186"/>
      <c r="J557" s="1186"/>
      <c r="K557" s="510" t="str">
        <f>'[6]PLANILHA ORÇAMENTÁRIA'!F145</f>
        <v>M</v>
      </c>
      <c r="L557" s="511">
        <f>K561</f>
        <v>14</v>
      </c>
    </row>
    <row r="558" spans="2:12" hidden="1">
      <c r="B558" s="501"/>
      <c r="C558" s="1190" t="s">
        <v>20</v>
      </c>
      <c r="D558" s="1190"/>
      <c r="E558" s="1190"/>
      <c r="F558" s="512" t="s">
        <v>22</v>
      </c>
      <c r="G558" s="693" t="s">
        <v>111</v>
      </c>
      <c r="H558" s="512" t="s">
        <v>112</v>
      </c>
      <c r="I558" s="693" t="s">
        <v>113</v>
      </c>
      <c r="J558" s="693" t="s">
        <v>114</v>
      </c>
      <c r="K558" s="513" t="s">
        <v>25</v>
      </c>
      <c r="L558" s="503"/>
    </row>
    <row r="559" spans="2:12" hidden="1">
      <c r="B559" s="501"/>
      <c r="C559" s="1191" t="s">
        <v>189</v>
      </c>
      <c r="D559" s="1191"/>
      <c r="E559" s="1191"/>
      <c r="F559" s="514">
        <v>4</v>
      </c>
      <c r="G559" s="514"/>
      <c r="H559" s="514"/>
      <c r="I559" s="514">
        <v>1.6</v>
      </c>
      <c r="J559" s="514"/>
      <c r="K559" s="694">
        <f>F559*I559</f>
        <v>6.4</v>
      </c>
      <c r="L559" s="503"/>
    </row>
    <row r="560" spans="2:12" hidden="1">
      <c r="B560" s="501"/>
      <c r="C560" s="1180" t="s">
        <v>190</v>
      </c>
      <c r="D560" s="1181"/>
      <c r="E560" s="1182"/>
      <c r="F560" s="514">
        <v>4</v>
      </c>
      <c r="G560" s="514"/>
      <c r="H560" s="514"/>
      <c r="I560" s="514">
        <v>1.9</v>
      </c>
      <c r="J560" s="514"/>
      <c r="K560" s="694">
        <f>F560*I560</f>
        <v>7.6</v>
      </c>
      <c r="L560" s="503"/>
    </row>
    <row r="561" spans="2:12" hidden="1">
      <c r="B561" s="501"/>
      <c r="C561" s="1192" t="s">
        <v>116</v>
      </c>
      <c r="D561" s="1192"/>
      <c r="E561" s="1192"/>
      <c r="F561" s="1192"/>
      <c r="G561" s="1192"/>
      <c r="H561" s="1192"/>
      <c r="I561" s="1192"/>
      <c r="J561" s="1192"/>
      <c r="K561" s="513">
        <f>SUM(K559:K560)</f>
        <v>14</v>
      </c>
      <c r="L561" s="503"/>
    </row>
    <row r="562" spans="2:12" hidden="1">
      <c r="B562" s="501"/>
      <c r="C562" s="517"/>
      <c r="D562" s="517"/>
      <c r="E562" s="517"/>
      <c r="F562" s="517"/>
      <c r="G562" s="517"/>
      <c r="H562" s="517"/>
      <c r="I562" s="517"/>
      <c r="J562" s="517"/>
      <c r="K562" s="519"/>
      <c r="L562" s="503"/>
    </row>
    <row r="563" spans="2:12" ht="15" hidden="1" customHeight="1">
      <c r="B563" s="497" t="str">
        <f>'[6]PLANILHA ORÇAMENTÁRIA'!D146</f>
        <v>14.5.5</v>
      </c>
      <c r="C563" s="1186" t="str">
        <f>'[6]PLANILHA ORÇAMENTÁRIA'!E146</f>
        <v>PINTURA ESMALTE ALTO BRILHO, DUAS DEMAOS, SOBRE SUPERFICIE METALICA</v>
      </c>
      <c r="D563" s="1186"/>
      <c r="E563" s="1186"/>
      <c r="F563" s="1186"/>
      <c r="G563" s="1186"/>
      <c r="H563" s="1186"/>
      <c r="I563" s="1186"/>
      <c r="J563" s="1186"/>
      <c r="K563" s="510" t="str">
        <f>'[6]PLANILHA ORÇAMENTÁRIA'!F146</f>
        <v>M2</v>
      </c>
      <c r="L563" s="511">
        <f>K567</f>
        <v>1.94</v>
      </c>
    </row>
    <row r="564" spans="2:12" hidden="1">
      <c r="B564" s="501"/>
      <c r="C564" s="1190" t="s">
        <v>20</v>
      </c>
      <c r="D564" s="1190"/>
      <c r="E564" s="1190"/>
      <c r="F564" s="512" t="s">
        <v>22</v>
      </c>
      <c r="G564" s="693" t="s">
        <v>111</v>
      </c>
      <c r="H564" s="512" t="s">
        <v>178</v>
      </c>
      <c r="I564" s="693" t="s">
        <v>113</v>
      </c>
      <c r="J564" s="693" t="s">
        <v>114</v>
      </c>
      <c r="K564" s="513" t="s">
        <v>25</v>
      </c>
      <c r="L564" s="503"/>
    </row>
    <row r="565" spans="2:12" hidden="1">
      <c r="B565" s="501"/>
      <c r="C565" s="1191" t="s">
        <v>189</v>
      </c>
      <c r="D565" s="1191"/>
      <c r="E565" s="1191"/>
      <c r="F565" s="514">
        <v>4</v>
      </c>
      <c r="G565" s="514"/>
      <c r="H565" s="527">
        <v>2.5000000000000001E-2</v>
      </c>
      <c r="I565" s="514">
        <v>1.2</v>
      </c>
      <c r="J565" s="514"/>
      <c r="K565" s="694">
        <f>TRUNC((2*3.14*H565*I565)*F565,2)</f>
        <v>0.75</v>
      </c>
      <c r="L565" s="503"/>
    </row>
    <row r="566" spans="2:12" hidden="1">
      <c r="B566" s="501"/>
      <c r="C566" s="1180" t="s">
        <v>190</v>
      </c>
      <c r="D566" s="1181"/>
      <c r="E566" s="1182"/>
      <c r="F566" s="514">
        <v>4</v>
      </c>
      <c r="G566" s="514"/>
      <c r="H566" s="527">
        <v>2.5000000000000001E-2</v>
      </c>
      <c r="I566" s="514">
        <v>1.9</v>
      </c>
      <c r="J566" s="514"/>
      <c r="K566" s="694">
        <f>TRUNC((2*3.14*H566*I566)*F566,2)</f>
        <v>1.19</v>
      </c>
      <c r="L566" s="503"/>
    </row>
    <row r="567" spans="2:12" hidden="1">
      <c r="B567" s="501"/>
      <c r="C567" s="1192" t="s">
        <v>116</v>
      </c>
      <c r="D567" s="1192"/>
      <c r="E567" s="1192"/>
      <c r="F567" s="1192"/>
      <c r="G567" s="1192"/>
      <c r="H567" s="1192"/>
      <c r="I567" s="1192"/>
      <c r="J567" s="1192"/>
      <c r="K567" s="513">
        <f>SUM(K565:K566)</f>
        <v>1.94</v>
      </c>
      <c r="L567" s="503"/>
    </row>
    <row r="568" spans="2:12" hidden="1">
      <c r="B568" s="493"/>
      <c r="C568" s="493"/>
      <c r="D568" s="493"/>
      <c r="E568" s="493"/>
      <c r="F568" s="493"/>
      <c r="G568" s="493"/>
      <c r="H568" s="493"/>
      <c r="I568" s="493"/>
      <c r="J568" s="493"/>
      <c r="K568" s="493"/>
      <c r="L568" s="493"/>
    </row>
    <row r="569" spans="2:12" hidden="1">
      <c r="B569" s="501" t="str">
        <f>'[6]PLANILHA ORÇAMENTÁRIA'!D147</f>
        <v>14.6</v>
      </c>
      <c r="C569" s="1193" t="str">
        <f>'[6]PLANILHA ORÇAMENTÁRIA'!E147</f>
        <v>BANCOS DE APOIO</v>
      </c>
      <c r="D569" s="1193"/>
      <c r="E569" s="1193"/>
      <c r="F569" s="1193"/>
      <c r="G569" s="1193"/>
      <c r="H569" s="1193"/>
      <c r="I569" s="1193"/>
      <c r="J569" s="1193"/>
      <c r="K569" s="497"/>
      <c r="L569" s="497"/>
    </row>
    <row r="570" spans="2:12" ht="15" hidden="1" customHeight="1">
      <c r="B570" s="497" t="str">
        <f>'[6]PLANILHA ORÇAMENTÁRIA'!D148</f>
        <v>14.6.1</v>
      </c>
      <c r="C570" s="1186" t="str">
        <f>'[6]PLANILHA ORÇAMENTÁRIA'!E148</f>
        <v>CONJUNTO DE BANCOS, TAMPO EM CONCRETO SIMPLES, DESEMPOLADA H=5OCM, 40CM E 30CM</v>
      </c>
      <c r="D570" s="1186"/>
      <c r="E570" s="1186"/>
      <c r="F570" s="1186"/>
      <c r="G570" s="1186"/>
      <c r="H570" s="1186"/>
      <c r="I570" s="1186"/>
      <c r="J570" s="1186"/>
      <c r="K570" s="510" t="str">
        <f>'[6]PLANILHA ORÇAMENTÁRIA'!F148</f>
        <v>CJ</v>
      </c>
      <c r="L570" s="511">
        <f>K573</f>
        <v>1</v>
      </c>
    </row>
    <row r="571" spans="2:12" hidden="1">
      <c r="B571" s="501"/>
      <c r="C571" s="1190" t="s">
        <v>20</v>
      </c>
      <c r="D571" s="1190"/>
      <c r="E571" s="1190"/>
      <c r="F571" s="512" t="s">
        <v>22</v>
      </c>
      <c r="G571" s="693" t="s">
        <v>111</v>
      </c>
      <c r="H571" s="512" t="s">
        <v>112</v>
      </c>
      <c r="I571" s="693" t="s">
        <v>113</v>
      </c>
      <c r="J571" s="693" t="s">
        <v>114</v>
      </c>
      <c r="K571" s="513" t="s">
        <v>25</v>
      </c>
      <c r="L571" s="503"/>
    </row>
    <row r="572" spans="2:12" hidden="1">
      <c r="B572" s="501"/>
      <c r="C572" s="1191" t="s">
        <v>192</v>
      </c>
      <c r="D572" s="1191"/>
      <c r="E572" s="1191"/>
      <c r="F572" s="514">
        <v>1</v>
      </c>
      <c r="G572" s="514"/>
      <c r="H572" s="514"/>
      <c r="I572" s="514"/>
      <c r="J572" s="514"/>
      <c r="K572" s="515">
        <f>PRODUCT(F572:I572)</f>
        <v>1</v>
      </c>
      <c r="L572" s="503"/>
    </row>
    <row r="573" spans="2:12" hidden="1">
      <c r="B573" s="501"/>
      <c r="C573" s="1192" t="s">
        <v>116</v>
      </c>
      <c r="D573" s="1192"/>
      <c r="E573" s="1192"/>
      <c r="F573" s="1192"/>
      <c r="G573" s="1192"/>
      <c r="H573" s="1192"/>
      <c r="I573" s="1192"/>
      <c r="J573" s="1192"/>
      <c r="K573" s="516">
        <f>SUM(K572:K572)</f>
        <v>1</v>
      </c>
      <c r="L573" s="503"/>
    </row>
    <row r="574" spans="2:12" ht="15" hidden="1" customHeight="1">
      <c r="B574" s="493"/>
      <c r="C574" s="493"/>
      <c r="D574" s="493"/>
      <c r="E574" s="493"/>
      <c r="F574" s="493"/>
      <c r="G574" s="493"/>
      <c r="H574" s="493"/>
      <c r="I574" s="493"/>
      <c r="J574" s="493"/>
      <c r="K574" s="493"/>
      <c r="L574" s="493"/>
    </row>
    <row r="575" spans="2:12" hidden="1">
      <c r="B575" s="501" t="str">
        <f>'[6]PLANILHA ORÇAMENTÁRIA'!D149</f>
        <v>14.7</v>
      </c>
      <c r="C575" s="1193" t="str">
        <f>'[6]PLANILHA ORÇAMENTÁRIA'!E149</f>
        <v>PRANCHAS PARA EXERCICIOS ABDOMINAIS</v>
      </c>
      <c r="D575" s="1193"/>
      <c r="E575" s="1193"/>
      <c r="F575" s="1193"/>
      <c r="G575" s="1193"/>
      <c r="H575" s="1193"/>
      <c r="I575" s="1193"/>
      <c r="J575" s="1193"/>
      <c r="K575" s="497"/>
      <c r="L575" s="497"/>
    </row>
    <row r="576" spans="2:12" ht="26.25" hidden="1" customHeight="1">
      <c r="B576" s="497" t="str">
        <f>'[6]PLANILHA ORÇAMENTÁRIA'!D150</f>
        <v>14.7.1</v>
      </c>
      <c r="C576" s="1186" t="str">
        <f>'[6]PLANILHA ORÇAMENTÁRIA'!E150</f>
        <v>CONJUNTO DE PRANCHAS P/ EXERCICIOS ABDOMINAIS, TAMPO EM CONCRETO SIMPLES, DESEMPOLADA H=80CM, H=5OCM E 40CM</v>
      </c>
      <c r="D576" s="1186"/>
      <c r="E576" s="1186"/>
      <c r="F576" s="1186"/>
      <c r="G576" s="1186"/>
      <c r="H576" s="1186"/>
      <c r="I576" s="1186"/>
      <c r="J576" s="1186"/>
      <c r="K576" s="510" t="str">
        <f>'[6]PLANILHA ORÇAMENTÁRIA'!F150</f>
        <v>CJ</v>
      </c>
      <c r="L576" s="511">
        <f>K579</f>
        <v>1</v>
      </c>
    </row>
    <row r="577" spans="2:12" hidden="1">
      <c r="B577" s="501"/>
      <c r="C577" s="1190" t="s">
        <v>20</v>
      </c>
      <c r="D577" s="1190"/>
      <c r="E577" s="1190"/>
      <c r="F577" s="512" t="s">
        <v>22</v>
      </c>
      <c r="G577" s="693" t="s">
        <v>111</v>
      </c>
      <c r="H577" s="512" t="s">
        <v>112</v>
      </c>
      <c r="I577" s="693" t="s">
        <v>113</v>
      </c>
      <c r="J577" s="693" t="s">
        <v>114</v>
      </c>
      <c r="K577" s="513" t="s">
        <v>25</v>
      </c>
      <c r="L577" s="503"/>
    </row>
    <row r="578" spans="2:12" hidden="1">
      <c r="B578" s="501"/>
      <c r="C578" s="1191" t="s">
        <v>193</v>
      </c>
      <c r="D578" s="1191"/>
      <c r="E578" s="1191"/>
      <c r="F578" s="514">
        <v>1</v>
      </c>
      <c r="G578" s="514"/>
      <c r="H578" s="514"/>
      <c r="I578" s="514"/>
      <c r="J578" s="514"/>
      <c r="K578" s="515">
        <f>PRODUCT(F578:I578)</f>
        <v>1</v>
      </c>
      <c r="L578" s="503"/>
    </row>
    <row r="579" spans="2:12" hidden="1">
      <c r="B579" s="501"/>
      <c r="C579" s="1192" t="s">
        <v>116</v>
      </c>
      <c r="D579" s="1192"/>
      <c r="E579" s="1192"/>
      <c r="F579" s="1192"/>
      <c r="G579" s="1192"/>
      <c r="H579" s="1192"/>
      <c r="I579" s="1192"/>
      <c r="J579" s="1192"/>
      <c r="K579" s="516">
        <f>SUM(K578:K578)</f>
        <v>1</v>
      </c>
      <c r="L579" s="503"/>
    </row>
    <row r="580" spans="2:12" hidden="1">
      <c r="B580" s="501"/>
      <c r="C580" s="517"/>
      <c r="D580" s="517"/>
      <c r="E580" s="517"/>
      <c r="F580" s="517"/>
      <c r="G580" s="517"/>
      <c r="H580" s="517"/>
      <c r="I580" s="517"/>
      <c r="J580" s="517"/>
      <c r="K580" s="518"/>
      <c r="L580" s="503"/>
    </row>
    <row r="581" spans="2:12" hidden="1">
      <c r="B581" s="501"/>
      <c r="C581" s="517"/>
      <c r="D581" s="517"/>
      <c r="E581" s="517"/>
      <c r="F581" s="517"/>
      <c r="G581" s="517"/>
      <c r="H581" s="517"/>
      <c r="I581" s="517"/>
      <c r="J581" s="517"/>
      <c r="K581" s="519"/>
      <c r="L581" s="503"/>
    </row>
    <row r="582" spans="2:12" ht="15" hidden="1" customHeight="1">
      <c r="B582" s="497" t="str">
        <f>'[6]PLANILHA ORÇAMENTÁRIA'!D153</f>
        <v>15.2</v>
      </c>
      <c r="C582" s="1186" t="str">
        <f>'[6]PLANILHA ORÇAMENTÁRIA'!E153</f>
        <v>BARRA DE APOIO RETA, EM ACO INOX POLIDO, COMPRIMENTO 60CM, DIAMETRO MINIMO 3CM</v>
      </c>
      <c r="D582" s="1186"/>
      <c r="E582" s="1186"/>
      <c r="F582" s="1186"/>
      <c r="G582" s="1186"/>
      <c r="H582" s="1186"/>
      <c r="I582" s="1186"/>
      <c r="J582" s="1186"/>
      <c r="K582" s="510" t="str">
        <f>'[6]PLANILHA ORÇAMENTÁRIA'!F153</f>
        <v>UND</v>
      </c>
      <c r="L582" s="511">
        <f>K586</f>
        <v>2</v>
      </c>
    </row>
    <row r="583" spans="2:12" hidden="1">
      <c r="B583" s="501"/>
      <c r="C583" s="1187" t="s">
        <v>20</v>
      </c>
      <c r="D583" s="1188"/>
      <c r="E583" s="1189"/>
      <c r="F583" s="512" t="s">
        <v>22</v>
      </c>
      <c r="G583" s="693" t="s">
        <v>111</v>
      </c>
      <c r="H583" s="693" t="s">
        <v>114</v>
      </c>
      <c r="I583" s="693" t="s">
        <v>113</v>
      </c>
      <c r="J583" s="693" t="s">
        <v>136</v>
      </c>
      <c r="K583" s="513" t="s">
        <v>25</v>
      </c>
      <c r="L583" s="503"/>
    </row>
    <row r="584" spans="2:12" ht="15" hidden="1" customHeight="1">
      <c r="B584" s="501"/>
      <c r="C584" s="1180" t="s">
        <v>170</v>
      </c>
      <c r="D584" s="1181"/>
      <c r="E584" s="1182"/>
      <c r="F584" s="514">
        <v>1</v>
      </c>
      <c r="G584" s="514"/>
      <c r="H584" s="514"/>
      <c r="I584" s="514"/>
      <c r="J584" s="514"/>
      <c r="K584" s="694">
        <f>F584</f>
        <v>1</v>
      </c>
      <c r="L584" s="503"/>
    </row>
    <row r="585" spans="2:12" ht="15" hidden="1" customHeight="1">
      <c r="B585" s="501"/>
      <c r="C585" s="1180" t="s">
        <v>194</v>
      </c>
      <c r="D585" s="1181"/>
      <c r="E585" s="1182"/>
      <c r="F585" s="514">
        <v>1</v>
      </c>
      <c r="G585" s="514"/>
      <c r="H585" s="514"/>
      <c r="I585" s="514"/>
      <c r="J585" s="514"/>
      <c r="K585" s="694">
        <f>F585</f>
        <v>1</v>
      </c>
      <c r="L585" s="503"/>
    </row>
    <row r="586" spans="2:12" hidden="1">
      <c r="B586" s="501"/>
      <c r="C586" s="1183" t="s">
        <v>116</v>
      </c>
      <c r="D586" s="1184"/>
      <c r="E586" s="1184"/>
      <c r="F586" s="1184"/>
      <c r="G586" s="1184"/>
      <c r="H586" s="1184"/>
      <c r="I586" s="1184"/>
      <c r="J586" s="1185"/>
      <c r="K586" s="513">
        <f>SUM(K584:K585)</f>
        <v>2</v>
      </c>
      <c r="L586" s="503"/>
    </row>
    <row r="587" spans="2:12" hidden="1">
      <c r="B587" s="501"/>
      <c r="C587" s="517"/>
      <c r="D587" s="517"/>
      <c r="E587" s="517"/>
      <c r="F587" s="517"/>
      <c r="G587" s="517"/>
      <c r="H587" s="517"/>
      <c r="I587" s="517"/>
      <c r="J587" s="517"/>
      <c r="K587" s="519"/>
      <c r="L587" s="503"/>
    </row>
    <row r="588" spans="2:12" ht="15" hidden="1" customHeight="1">
      <c r="B588" s="497" t="str">
        <f>'[6]PLANILHA ORÇAMENTÁRIA'!D154</f>
        <v>15.3</v>
      </c>
      <c r="C588" s="1186" t="str">
        <f>'[6]PLANILHA ORÇAMENTÁRIA'!E154</f>
        <v>PRATELEIRA EM CONCRETO ARMADO, LARGURA = 40CM, ESP= 5CM, REVESTIDA COM CERAMICA.</v>
      </c>
      <c r="D588" s="1186"/>
      <c r="E588" s="1186"/>
      <c r="F588" s="1186"/>
      <c r="G588" s="1186"/>
      <c r="H588" s="1186"/>
      <c r="I588" s="1186"/>
      <c r="J588" s="1186"/>
      <c r="K588" s="510" t="str">
        <f>'[6]PLANILHA ORÇAMENTÁRIA'!F154</f>
        <v>M</v>
      </c>
      <c r="L588" s="511">
        <f>K591</f>
        <v>12.6</v>
      </c>
    </row>
    <row r="589" spans="2:12" hidden="1">
      <c r="B589" s="501"/>
      <c r="C589" s="1187" t="s">
        <v>20</v>
      </c>
      <c r="D589" s="1188"/>
      <c r="E589" s="1189"/>
      <c r="F589" s="512" t="s">
        <v>22</v>
      </c>
      <c r="G589" s="693" t="s">
        <v>111</v>
      </c>
      <c r="H589" s="693" t="s">
        <v>114</v>
      </c>
      <c r="I589" s="693" t="s">
        <v>113</v>
      </c>
      <c r="J589" s="693" t="s">
        <v>136</v>
      </c>
      <c r="K589" s="513" t="s">
        <v>25</v>
      </c>
      <c r="L589" s="503"/>
    </row>
    <row r="590" spans="2:12" hidden="1">
      <c r="B590" s="501"/>
      <c r="C590" s="1180" t="s">
        <v>167</v>
      </c>
      <c r="D590" s="1181"/>
      <c r="E590" s="1182"/>
      <c r="F590" s="514">
        <v>3</v>
      </c>
      <c r="G590" s="514"/>
      <c r="H590" s="514"/>
      <c r="I590" s="514">
        <v>4.2</v>
      </c>
      <c r="J590" s="514"/>
      <c r="K590" s="694">
        <f>TRUNC((I590*F590),2)</f>
        <v>12.6</v>
      </c>
      <c r="L590" s="503"/>
    </row>
    <row r="591" spans="2:12" hidden="1">
      <c r="B591" s="501"/>
      <c r="C591" s="1183" t="s">
        <v>116</v>
      </c>
      <c r="D591" s="1184"/>
      <c r="E591" s="1184"/>
      <c r="F591" s="1184"/>
      <c r="G591" s="1184"/>
      <c r="H591" s="1184"/>
      <c r="I591" s="1184"/>
      <c r="J591" s="1185"/>
      <c r="K591" s="513">
        <f>SUM(K590:K590)</f>
        <v>12.6</v>
      </c>
      <c r="L591" s="503"/>
    </row>
    <row r="592" spans="2:12" hidden="1">
      <c r="B592" s="501"/>
      <c r="C592" s="517"/>
      <c r="D592" s="517"/>
      <c r="E592" s="517"/>
      <c r="F592" s="517"/>
      <c r="G592" s="517"/>
      <c r="H592" s="517"/>
      <c r="I592" s="517"/>
      <c r="J592" s="517"/>
      <c r="K592" s="519"/>
      <c r="L592" s="503"/>
    </row>
    <row r="593" spans="2:12">
      <c r="B593" s="692" t="s">
        <v>13</v>
      </c>
      <c r="C593" s="1242" t="s">
        <v>34</v>
      </c>
      <c r="D593" s="1242"/>
      <c r="E593" s="1242"/>
      <c r="F593" s="1242"/>
      <c r="G593" s="1242"/>
      <c r="H593" s="1242"/>
      <c r="I593" s="1242"/>
      <c r="J593" s="1242"/>
      <c r="K593" s="520"/>
      <c r="L593" s="520"/>
    </row>
    <row r="594" spans="2:12">
      <c r="B594" s="493"/>
      <c r="C594" s="493"/>
      <c r="D594" s="493"/>
      <c r="E594" s="493"/>
      <c r="F594" s="493"/>
      <c r="G594" s="493"/>
      <c r="H594" s="493"/>
      <c r="I594" s="493"/>
      <c r="J594" s="493"/>
      <c r="K594" s="493"/>
      <c r="L594" s="493"/>
    </row>
    <row r="595" spans="2:12" ht="26.25" customHeight="1">
      <c r="B595" s="692" t="s">
        <v>14</v>
      </c>
      <c r="C595" s="1157" t="s">
        <v>839</v>
      </c>
      <c r="D595" s="1158"/>
      <c r="E595" s="1158"/>
      <c r="F595" s="1158"/>
      <c r="G595" s="1158"/>
      <c r="H595" s="1158"/>
      <c r="I595" s="1158"/>
      <c r="J595" s="1159"/>
      <c r="K595" s="521" t="s">
        <v>7</v>
      </c>
      <c r="L595" s="522">
        <f>K630</f>
        <v>1041.3000000000002</v>
      </c>
    </row>
    <row r="596" spans="2:12">
      <c r="B596" s="692"/>
      <c r="C596" s="1160" t="s">
        <v>20</v>
      </c>
      <c r="D596" s="1160"/>
      <c r="E596" s="1160"/>
      <c r="F596" s="523" t="s">
        <v>22</v>
      </c>
      <c r="G596" s="688" t="s">
        <v>111</v>
      </c>
      <c r="H596" s="523" t="s">
        <v>112</v>
      </c>
      <c r="I596" s="688" t="s">
        <v>113</v>
      </c>
      <c r="J596" s="688" t="s">
        <v>114</v>
      </c>
      <c r="K596" s="524" t="s">
        <v>25</v>
      </c>
      <c r="L596" s="1169" t="s">
        <v>30</v>
      </c>
    </row>
    <row r="597" spans="2:12">
      <c r="B597" s="692"/>
      <c r="C597" s="1164" t="s">
        <v>338</v>
      </c>
      <c r="D597" s="1165"/>
      <c r="E597" s="1166"/>
      <c r="F597" s="525">
        <v>2</v>
      </c>
      <c r="G597" s="525">
        <v>1.5</v>
      </c>
      <c r="H597" s="525">
        <v>6</v>
      </c>
      <c r="I597" s="525">
        <v>8.65</v>
      </c>
      <c r="J597" s="525">
        <v>0.96</v>
      </c>
      <c r="K597" s="689">
        <f>((H597+I597)*2)*G597</f>
        <v>43.95</v>
      </c>
      <c r="L597" s="1169"/>
    </row>
    <row r="598" spans="2:12">
      <c r="B598" s="692"/>
      <c r="C598" s="1164" t="s">
        <v>461</v>
      </c>
      <c r="D598" s="1165"/>
      <c r="E598" s="1166"/>
      <c r="F598" s="525">
        <v>2</v>
      </c>
      <c r="G598" s="525">
        <v>1.5</v>
      </c>
      <c r="H598" s="525">
        <v>6</v>
      </c>
      <c r="I598" s="525">
        <v>3.85</v>
      </c>
      <c r="J598" s="525">
        <v>0</v>
      </c>
      <c r="K598" s="689">
        <f t="shared" ref="K598:K621" si="2">((H598+I598)*2)*G598</f>
        <v>29.549999999999997</v>
      </c>
      <c r="L598" s="1169"/>
    </row>
    <row r="599" spans="2:12">
      <c r="B599" s="692"/>
      <c r="C599" s="1164" t="s">
        <v>496</v>
      </c>
      <c r="D599" s="1165"/>
      <c r="E599" s="1166"/>
      <c r="F599" s="525">
        <v>2</v>
      </c>
      <c r="G599" s="525">
        <v>1.5</v>
      </c>
      <c r="H599" s="525">
        <v>6</v>
      </c>
      <c r="I599" s="525">
        <v>2.6</v>
      </c>
      <c r="J599" s="525">
        <v>0.96</v>
      </c>
      <c r="K599" s="689">
        <f t="shared" si="2"/>
        <v>25.799999999999997</v>
      </c>
      <c r="L599" s="1169"/>
    </row>
    <row r="600" spans="2:12">
      <c r="B600" s="692"/>
      <c r="C600" s="1164" t="s">
        <v>498</v>
      </c>
      <c r="D600" s="1165"/>
      <c r="E600" s="1166"/>
      <c r="F600" s="525">
        <v>2</v>
      </c>
      <c r="G600" s="525">
        <v>1.5</v>
      </c>
      <c r="H600" s="525">
        <v>6</v>
      </c>
      <c r="I600" s="525">
        <v>3.85</v>
      </c>
      <c r="J600" s="525">
        <v>0</v>
      </c>
      <c r="K600" s="689">
        <f t="shared" si="2"/>
        <v>29.549999999999997</v>
      </c>
      <c r="L600" s="1169"/>
    </row>
    <row r="601" spans="2:12">
      <c r="B601" s="692"/>
      <c r="C601" s="1164" t="s">
        <v>499</v>
      </c>
      <c r="D601" s="1165"/>
      <c r="E601" s="1166"/>
      <c r="F601" s="525">
        <v>2</v>
      </c>
      <c r="G601" s="525">
        <v>1.5</v>
      </c>
      <c r="H601" s="525">
        <v>6</v>
      </c>
      <c r="I601" s="525">
        <v>8.65</v>
      </c>
      <c r="J601" s="525">
        <v>0.96</v>
      </c>
      <c r="K601" s="689">
        <f t="shared" si="2"/>
        <v>43.95</v>
      </c>
      <c r="L601" s="1169"/>
    </row>
    <row r="602" spans="2:12">
      <c r="B602" s="692"/>
      <c r="C602" s="1164" t="s">
        <v>465</v>
      </c>
      <c r="D602" s="1165"/>
      <c r="E602" s="1166"/>
      <c r="F602" s="525">
        <v>2</v>
      </c>
      <c r="G602" s="525">
        <v>1.5</v>
      </c>
      <c r="H602" s="525">
        <v>6</v>
      </c>
      <c r="I602" s="525">
        <v>8.65</v>
      </c>
      <c r="J602" s="525">
        <v>0</v>
      </c>
      <c r="K602" s="689">
        <f t="shared" si="2"/>
        <v>43.95</v>
      </c>
      <c r="L602" s="1169"/>
    </row>
    <row r="603" spans="2:12">
      <c r="B603" s="692"/>
      <c r="C603" s="1164" t="s">
        <v>500</v>
      </c>
      <c r="D603" s="1165"/>
      <c r="E603" s="1166"/>
      <c r="F603" s="525">
        <v>2</v>
      </c>
      <c r="G603" s="525">
        <v>1.5</v>
      </c>
      <c r="H603" s="525">
        <v>6</v>
      </c>
      <c r="I603" s="525">
        <v>8.0500000000000007</v>
      </c>
      <c r="J603" s="525">
        <v>0.96</v>
      </c>
      <c r="K603" s="689">
        <f t="shared" si="2"/>
        <v>42.150000000000006</v>
      </c>
      <c r="L603" s="1169"/>
    </row>
    <row r="604" spans="2:12">
      <c r="B604" s="692"/>
      <c r="C604" s="1164" t="s">
        <v>1217</v>
      </c>
      <c r="D604" s="1165"/>
      <c r="E604" s="1166"/>
      <c r="F604" s="525">
        <v>2</v>
      </c>
      <c r="G604" s="525">
        <v>1.5</v>
      </c>
      <c r="H604" s="525">
        <v>3</v>
      </c>
      <c r="I604" s="525">
        <v>4.0999999999999996</v>
      </c>
      <c r="J604" s="525">
        <v>0</v>
      </c>
      <c r="K604" s="689">
        <f t="shared" si="2"/>
        <v>21.299999999999997</v>
      </c>
      <c r="L604" s="1169"/>
    </row>
    <row r="605" spans="2:12">
      <c r="B605" s="692"/>
      <c r="C605" s="1164" t="s">
        <v>1217</v>
      </c>
      <c r="D605" s="1165"/>
      <c r="E605" s="1166"/>
      <c r="F605" s="525">
        <v>6</v>
      </c>
      <c r="G605" s="525">
        <v>1.5</v>
      </c>
      <c r="H605" s="525">
        <v>1.65</v>
      </c>
      <c r="I605" s="525">
        <v>3</v>
      </c>
      <c r="J605" s="525">
        <v>0.96</v>
      </c>
      <c r="K605" s="689">
        <f t="shared" si="2"/>
        <v>13.950000000000001</v>
      </c>
      <c r="L605" s="1169"/>
    </row>
    <row r="606" spans="2:12">
      <c r="B606" s="692"/>
      <c r="C606" s="1164" t="s">
        <v>1218</v>
      </c>
      <c r="D606" s="1165"/>
      <c r="E606" s="1166"/>
      <c r="F606" s="525">
        <v>2</v>
      </c>
      <c r="G606" s="525">
        <v>1.5</v>
      </c>
      <c r="H606" s="525">
        <v>3</v>
      </c>
      <c r="I606" s="525">
        <v>4.0999999999999996</v>
      </c>
      <c r="J606" s="525">
        <v>0</v>
      </c>
      <c r="K606" s="689">
        <f>((H606+I606)*2)*G606</f>
        <v>21.299999999999997</v>
      </c>
      <c r="L606" s="1169"/>
    </row>
    <row r="607" spans="2:12">
      <c r="B607" s="692"/>
      <c r="C607" s="1164" t="s">
        <v>1219</v>
      </c>
      <c r="D607" s="1165"/>
      <c r="E607" s="1166"/>
      <c r="F607" s="525">
        <v>6</v>
      </c>
      <c r="G607" s="525">
        <v>1.5</v>
      </c>
      <c r="H607" s="525">
        <v>1.65</v>
      </c>
      <c r="I607" s="525">
        <v>3</v>
      </c>
      <c r="J607" s="525">
        <v>0.96</v>
      </c>
      <c r="K607" s="689">
        <f>((H607+I607)*2)*G607</f>
        <v>13.950000000000001</v>
      </c>
      <c r="L607" s="1169"/>
    </row>
    <row r="608" spans="2:12">
      <c r="B608" s="692"/>
      <c r="C608" s="1164" t="s">
        <v>1220</v>
      </c>
      <c r="D608" s="1165"/>
      <c r="E608" s="1166"/>
      <c r="F608" s="525">
        <v>2</v>
      </c>
      <c r="G608" s="525">
        <v>1.5</v>
      </c>
      <c r="H608" s="525">
        <v>1</v>
      </c>
      <c r="I608" s="525">
        <v>6.7</v>
      </c>
      <c r="J608" s="525">
        <v>0</v>
      </c>
      <c r="K608" s="689">
        <f t="shared" si="2"/>
        <v>23.1</v>
      </c>
      <c r="L608" s="1169"/>
    </row>
    <row r="609" spans="2:12">
      <c r="B609" s="692"/>
      <c r="C609" s="1164" t="s">
        <v>1221</v>
      </c>
      <c r="D609" s="1165"/>
      <c r="E609" s="1166"/>
      <c r="F609" s="525">
        <v>1</v>
      </c>
      <c r="G609" s="525">
        <v>1.5</v>
      </c>
      <c r="H609" s="525">
        <v>1</v>
      </c>
      <c r="I609" s="525">
        <v>24.4</v>
      </c>
      <c r="J609" s="525">
        <v>0</v>
      </c>
      <c r="K609" s="689">
        <f t="shared" si="2"/>
        <v>76.199999999999989</v>
      </c>
      <c r="L609" s="1169"/>
    </row>
    <row r="610" spans="2:12">
      <c r="B610" s="692"/>
      <c r="C610" s="1164" t="s">
        <v>1222</v>
      </c>
      <c r="D610" s="1165"/>
      <c r="E610" s="1166"/>
      <c r="F610" s="525">
        <v>1</v>
      </c>
      <c r="G610" s="525">
        <v>1.5</v>
      </c>
      <c r="H610" s="525">
        <v>1</v>
      </c>
      <c r="I610" s="525">
        <v>25.8</v>
      </c>
      <c r="J610" s="525">
        <v>0</v>
      </c>
      <c r="K610" s="689">
        <f t="shared" si="2"/>
        <v>80.400000000000006</v>
      </c>
      <c r="L610" s="1169"/>
    </row>
    <row r="611" spans="2:12">
      <c r="B611" s="692"/>
      <c r="C611" s="1164" t="s">
        <v>863</v>
      </c>
      <c r="D611" s="1165"/>
      <c r="E611" s="1166"/>
      <c r="F611" s="525">
        <v>2</v>
      </c>
      <c r="G611" s="525">
        <v>1.5</v>
      </c>
      <c r="H611" s="525">
        <v>1</v>
      </c>
      <c r="I611" s="525">
        <v>18.100000000000001</v>
      </c>
      <c r="J611" s="525">
        <v>0</v>
      </c>
      <c r="K611" s="689">
        <f t="shared" si="2"/>
        <v>57.300000000000004</v>
      </c>
      <c r="L611" s="1169"/>
    </row>
    <row r="612" spans="2:12">
      <c r="B612" s="692"/>
      <c r="C612" s="1164" t="s">
        <v>1223</v>
      </c>
      <c r="D612" s="1165"/>
      <c r="E612" s="1166"/>
      <c r="F612" s="525">
        <v>12</v>
      </c>
      <c r="G612" s="525">
        <v>1.5</v>
      </c>
      <c r="H612" s="525">
        <v>1</v>
      </c>
      <c r="I612" s="525">
        <v>2.4500000000000002</v>
      </c>
      <c r="J612" s="525">
        <v>0</v>
      </c>
      <c r="K612" s="689">
        <f t="shared" si="2"/>
        <v>10.350000000000001</v>
      </c>
      <c r="L612" s="1169"/>
    </row>
    <row r="613" spans="2:12">
      <c r="B613" s="692"/>
      <c r="C613" s="1164" t="s">
        <v>236</v>
      </c>
      <c r="D613" s="1165"/>
      <c r="E613" s="1166"/>
      <c r="F613" s="525">
        <v>2</v>
      </c>
      <c r="G613" s="525">
        <v>1.5</v>
      </c>
      <c r="H613" s="525">
        <v>4.8</v>
      </c>
      <c r="I613" s="525">
        <v>3</v>
      </c>
      <c r="J613" s="525">
        <v>0.96</v>
      </c>
      <c r="K613" s="689">
        <f t="shared" si="2"/>
        <v>23.4</v>
      </c>
      <c r="L613" s="1169"/>
    </row>
    <row r="614" spans="2:12">
      <c r="B614" s="692"/>
      <c r="C614" s="1164" t="s">
        <v>1224</v>
      </c>
      <c r="D614" s="1165"/>
      <c r="E614" s="1166"/>
      <c r="F614" s="525">
        <v>2</v>
      </c>
      <c r="G614" s="525">
        <v>1.5</v>
      </c>
      <c r="H614" s="525">
        <v>4.8</v>
      </c>
      <c r="I614" s="525">
        <v>3</v>
      </c>
      <c r="J614" s="525">
        <v>0</v>
      </c>
      <c r="K614" s="689">
        <f t="shared" si="2"/>
        <v>23.4</v>
      </c>
      <c r="L614" s="1169"/>
    </row>
    <row r="615" spans="2:12">
      <c r="B615" s="692"/>
      <c r="C615" s="1164" t="s">
        <v>1225</v>
      </c>
      <c r="D615" s="1165"/>
      <c r="E615" s="1166"/>
      <c r="F615" s="525">
        <v>8</v>
      </c>
      <c r="G615" s="525">
        <v>1.5</v>
      </c>
      <c r="H615" s="525">
        <v>1</v>
      </c>
      <c r="I615" s="525">
        <v>3</v>
      </c>
      <c r="J615" s="525">
        <v>0</v>
      </c>
      <c r="K615" s="689">
        <f t="shared" si="2"/>
        <v>12</v>
      </c>
      <c r="L615" s="1169"/>
    </row>
    <row r="616" spans="2:12">
      <c r="B616" s="692"/>
      <c r="C616" s="1164" t="s">
        <v>240</v>
      </c>
      <c r="D616" s="1165"/>
      <c r="E616" s="1166"/>
      <c r="F616" s="525">
        <v>2</v>
      </c>
      <c r="G616" s="525">
        <v>1.5</v>
      </c>
      <c r="H616" s="525">
        <v>4.8</v>
      </c>
      <c r="I616" s="525">
        <v>4.2</v>
      </c>
      <c r="J616" s="525">
        <v>0</v>
      </c>
      <c r="K616" s="689">
        <f t="shared" si="2"/>
        <v>27</v>
      </c>
      <c r="L616" s="1169"/>
    </row>
    <row r="617" spans="2:12">
      <c r="B617" s="692"/>
      <c r="C617" s="1164" t="s">
        <v>97</v>
      </c>
      <c r="D617" s="1165"/>
      <c r="E617" s="1166"/>
      <c r="F617" s="525">
        <v>2</v>
      </c>
      <c r="G617" s="525">
        <v>1.5</v>
      </c>
      <c r="H617" s="525">
        <v>4.8</v>
      </c>
      <c r="I617" s="525">
        <v>3</v>
      </c>
      <c r="J617" s="525">
        <v>0</v>
      </c>
      <c r="K617" s="689">
        <f t="shared" si="2"/>
        <v>23.4</v>
      </c>
      <c r="L617" s="1169"/>
    </row>
    <row r="618" spans="2:12">
      <c r="B618" s="692"/>
      <c r="C618" s="1164" t="s">
        <v>1226</v>
      </c>
      <c r="D618" s="1165"/>
      <c r="E618" s="1166"/>
      <c r="F618" s="525">
        <v>2</v>
      </c>
      <c r="G618" s="525">
        <v>1.5</v>
      </c>
      <c r="H618" s="525">
        <v>2.85</v>
      </c>
      <c r="I618" s="525">
        <v>3.8</v>
      </c>
      <c r="J618" s="525">
        <v>0</v>
      </c>
      <c r="K618" s="689">
        <f t="shared" si="2"/>
        <v>19.950000000000003</v>
      </c>
      <c r="L618" s="1169"/>
    </row>
    <row r="619" spans="2:12">
      <c r="B619" s="692"/>
      <c r="C619" s="1164" t="s">
        <v>1227</v>
      </c>
      <c r="D619" s="1165"/>
      <c r="E619" s="1166"/>
      <c r="F619" s="525">
        <v>2</v>
      </c>
      <c r="G619" s="525">
        <v>1.5</v>
      </c>
      <c r="H619" s="525">
        <v>2.8</v>
      </c>
      <c r="I619" s="525">
        <v>5.9</v>
      </c>
      <c r="J619" s="525">
        <v>0</v>
      </c>
      <c r="K619" s="689">
        <f t="shared" si="2"/>
        <v>26.099999999999998</v>
      </c>
      <c r="L619" s="1169"/>
    </row>
    <row r="620" spans="2:12">
      <c r="B620" s="692"/>
      <c r="C620" s="1164" t="s">
        <v>1228</v>
      </c>
      <c r="D620" s="1165"/>
      <c r="E620" s="1166"/>
      <c r="F620" s="525">
        <v>2</v>
      </c>
      <c r="G620" s="525">
        <v>1.5</v>
      </c>
      <c r="H620" s="525">
        <v>2</v>
      </c>
      <c r="I620" s="525">
        <v>2.85</v>
      </c>
      <c r="J620" s="525">
        <v>0</v>
      </c>
      <c r="K620" s="689">
        <f t="shared" si="2"/>
        <v>14.549999999999999</v>
      </c>
      <c r="L620" s="1169"/>
    </row>
    <row r="621" spans="2:12">
      <c r="B621" s="692"/>
      <c r="C621" s="1164" t="s">
        <v>1229</v>
      </c>
      <c r="D621" s="1165"/>
      <c r="E621" s="1166"/>
      <c r="F621" s="525">
        <v>1</v>
      </c>
      <c r="G621" s="525">
        <v>1.5</v>
      </c>
      <c r="H621" s="525">
        <v>14.2</v>
      </c>
      <c r="I621" s="525">
        <v>1</v>
      </c>
      <c r="J621" s="525">
        <v>0</v>
      </c>
      <c r="K621" s="689">
        <f t="shared" si="2"/>
        <v>45.599999999999994</v>
      </c>
      <c r="L621" s="1169"/>
    </row>
    <row r="622" spans="2:12">
      <c r="B622" s="692"/>
      <c r="C622" s="1164" t="s">
        <v>1262</v>
      </c>
      <c r="D622" s="1165"/>
      <c r="E622" s="1166"/>
      <c r="F622" s="525">
        <v>2</v>
      </c>
      <c r="G622" s="525">
        <v>1.5</v>
      </c>
      <c r="H622" s="525">
        <v>6.4</v>
      </c>
      <c r="I622" s="525">
        <v>4.8499999999999996</v>
      </c>
      <c r="J622" s="525"/>
      <c r="K622" s="768">
        <f>((H622+I622)*F622)*G622</f>
        <v>33.75</v>
      </c>
      <c r="L622" s="1169"/>
    </row>
    <row r="623" spans="2:12">
      <c r="B623" s="692"/>
      <c r="C623" s="1164" t="s">
        <v>1263</v>
      </c>
      <c r="D623" s="1165"/>
      <c r="E623" s="1166"/>
      <c r="F623" s="525">
        <v>2</v>
      </c>
      <c r="G623" s="525">
        <v>1.5</v>
      </c>
      <c r="H623" s="525">
        <v>6.4</v>
      </c>
      <c r="I623" s="525">
        <v>4</v>
      </c>
      <c r="J623" s="525"/>
      <c r="K623" s="768">
        <f>((H623+I623)*F623)*G623</f>
        <v>31.200000000000003</v>
      </c>
      <c r="L623" s="1169"/>
    </row>
    <row r="624" spans="2:12">
      <c r="B624" s="692"/>
      <c r="C624" s="1164" t="s">
        <v>1264</v>
      </c>
      <c r="D624" s="1165"/>
      <c r="E624" s="1166"/>
      <c r="F624" s="525">
        <v>2</v>
      </c>
      <c r="G624" s="525">
        <v>1.5</v>
      </c>
      <c r="H624" s="525">
        <v>6.4</v>
      </c>
      <c r="I624" s="525">
        <v>4</v>
      </c>
      <c r="J624" s="525"/>
      <c r="K624" s="768">
        <f>((H624+I624)*F624)*G624</f>
        <v>31.200000000000003</v>
      </c>
      <c r="L624" s="1169"/>
    </row>
    <row r="625" spans="2:12">
      <c r="B625" s="692"/>
      <c r="C625" s="1164" t="s">
        <v>1265</v>
      </c>
      <c r="D625" s="1165"/>
      <c r="E625" s="1166"/>
      <c r="F625" s="525">
        <v>2</v>
      </c>
      <c r="G625" s="525">
        <v>1.5</v>
      </c>
      <c r="H625" s="525">
        <v>6.4</v>
      </c>
      <c r="I625" s="525">
        <v>2</v>
      </c>
      <c r="J625" s="525"/>
      <c r="K625" s="768">
        <f>((H625+I625)*F625)*G625</f>
        <v>25.200000000000003</v>
      </c>
      <c r="L625" s="1169"/>
    </row>
    <row r="626" spans="2:12">
      <c r="B626" s="692"/>
      <c r="C626" s="1164" t="s">
        <v>1265</v>
      </c>
      <c r="D626" s="1165"/>
      <c r="E626" s="1166"/>
      <c r="F626" s="525">
        <v>8</v>
      </c>
      <c r="G626" s="525">
        <v>1.5</v>
      </c>
      <c r="H626" s="525"/>
      <c r="I626" s="525">
        <v>1.3</v>
      </c>
      <c r="J626" s="525"/>
      <c r="K626" s="768">
        <f>I626*G626*F626</f>
        <v>15.600000000000001</v>
      </c>
      <c r="L626" s="1169"/>
    </row>
    <row r="627" spans="2:12">
      <c r="B627" s="692"/>
      <c r="C627" s="1164" t="s">
        <v>1266</v>
      </c>
      <c r="D627" s="1165"/>
      <c r="E627" s="1166"/>
      <c r="F627" s="525">
        <v>2</v>
      </c>
      <c r="G627" s="525">
        <v>1.5</v>
      </c>
      <c r="H627" s="525">
        <v>6.4</v>
      </c>
      <c r="I627" s="525">
        <v>2</v>
      </c>
      <c r="J627" s="525"/>
      <c r="K627" s="768">
        <f>((H627+I627)*F627)*G627</f>
        <v>25.200000000000003</v>
      </c>
      <c r="L627" s="1169"/>
    </row>
    <row r="628" spans="2:12">
      <c r="B628" s="692"/>
      <c r="C628" s="1164" t="s">
        <v>1266</v>
      </c>
      <c r="D628" s="1165"/>
      <c r="E628" s="1166"/>
      <c r="F628" s="525">
        <v>8</v>
      </c>
      <c r="G628" s="525">
        <v>1.5</v>
      </c>
      <c r="H628" s="525"/>
      <c r="I628" s="525">
        <v>1.3</v>
      </c>
      <c r="J628" s="525"/>
      <c r="K628" s="768">
        <f>I628*G628*F628</f>
        <v>15.600000000000001</v>
      </c>
      <c r="L628" s="1169"/>
    </row>
    <row r="629" spans="2:12">
      <c r="B629" s="692"/>
      <c r="C629" s="1164" t="s">
        <v>1254</v>
      </c>
      <c r="D629" s="1165"/>
      <c r="E629" s="1166"/>
      <c r="F629" s="525">
        <v>2</v>
      </c>
      <c r="G629" s="525">
        <v>1.5</v>
      </c>
      <c r="H629" s="525"/>
      <c r="I629" s="525">
        <v>23.8</v>
      </c>
      <c r="J629" s="525"/>
      <c r="K629" s="768">
        <f>I629*G629*F629</f>
        <v>71.400000000000006</v>
      </c>
      <c r="L629" s="1169"/>
    </row>
    <row r="630" spans="2:12">
      <c r="B630" s="692"/>
      <c r="C630" s="1167" t="s">
        <v>116</v>
      </c>
      <c r="D630" s="1167"/>
      <c r="E630" s="1167"/>
      <c r="F630" s="1167"/>
      <c r="G630" s="1167"/>
      <c r="H630" s="1167"/>
      <c r="I630" s="1167"/>
      <c r="J630" s="1167"/>
      <c r="K630" s="524">
        <f>SUM(K597:K629)</f>
        <v>1041.3000000000002</v>
      </c>
      <c r="L630" s="1169"/>
    </row>
    <row r="631" spans="2:12">
      <c r="B631" s="493"/>
      <c r="C631" s="493"/>
      <c r="D631" s="493"/>
      <c r="E631" s="493"/>
      <c r="F631" s="493"/>
      <c r="G631" s="493"/>
      <c r="H631" s="493"/>
      <c r="I631" s="493"/>
      <c r="J631" s="493"/>
      <c r="K631" s="493"/>
      <c r="L631" s="493"/>
    </row>
    <row r="632" spans="2:12" ht="24" customHeight="1">
      <c r="B632" s="692" t="s">
        <v>35</v>
      </c>
      <c r="C632" s="1157" t="s">
        <v>841</v>
      </c>
      <c r="D632" s="1158"/>
      <c r="E632" s="1158"/>
      <c r="F632" s="1158"/>
      <c r="G632" s="1158"/>
      <c r="H632" s="1158"/>
      <c r="I632" s="1158"/>
      <c r="J632" s="1159"/>
      <c r="K632" s="521" t="s">
        <v>7</v>
      </c>
      <c r="L632" s="522">
        <f>K641</f>
        <v>1118.7249999999999</v>
      </c>
    </row>
    <row r="633" spans="2:12">
      <c r="B633" s="692"/>
      <c r="C633" s="1160" t="s">
        <v>20</v>
      </c>
      <c r="D633" s="1160"/>
      <c r="E633" s="1160"/>
      <c r="F633" s="523" t="s">
        <v>22</v>
      </c>
      <c r="G633" s="688" t="s">
        <v>111</v>
      </c>
      <c r="H633" s="523" t="s">
        <v>112</v>
      </c>
      <c r="I633" s="688" t="s">
        <v>113</v>
      </c>
      <c r="J633" s="688" t="s">
        <v>114</v>
      </c>
      <c r="K633" s="524" t="s">
        <v>25</v>
      </c>
      <c r="L633" s="1243" t="s">
        <v>30</v>
      </c>
    </row>
    <row r="634" spans="2:12" ht="15" customHeight="1">
      <c r="B634" s="692"/>
      <c r="C634" s="1164" t="s">
        <v>1230</v>
      </c>
      <c r="D634" s="1165"/>
      <c r="E634" s="1166"/>
      <c r="F634" s="525">
        <v>2</v>
      </c>
      <c r="G634" s="525">
        <v>1.5</v>
      </c>
      <c r="H634" s="525">
        <v>7.55</v>
      </c>
      <c r="I634" s="525">
        <v>58.7</v>
      </c>
      <c r="J634" s="525">
        <v>0.96</v>
      </c>
      <c r="K634" s="689">
        <f>((H634+I634)*F634)*G634</f>
        <v>198.75</v>
      </c>
      <c r="L634" s="1244"/>
    </row>
    <row r="635" spans="2:12" ht="15" customHeight="1">
      <c r="B635" s="692"/>
      <c r="C635" s="1164" t="s">
        <v>863</v>
      </c>
      <c r="D635" s="1165"/>
      <c r="E635" s="1166"/>
      <c r="F635" s="525">
        <v>2</v>
      </c>
      <c r="G635" s="525">
        <v>1.5</v>
      </c>
      <c r="H635" s="525">
        <v>18</v>
      </c>
      <c r="I635" s="525">
        <v>1</v>
      </c>
      <c r="J635" s="525">
        <v>0</v>
      </c>
      <c r="K635" s="689">
        <f>((H635+I635)*F635)*G635</f>
        <v>57</v>
      </c>
      <c r="L635" s="1244"/>
    </row>
    <row r="636" spans="2:12" ht="15" customHeight="1">
      <c r="B636" s="692"/>
      <c r="C636" s="1164" t="s">
        <v>1231</v>
      </c>
      <c r="D636" s="1165"/>
      <c r="E636" s="1166"/>
      <c r="F636" s="525">
        <v>2</v>
      </c>
      <c r="G636" s="525">
        <v>1.5</v>
      </c>
      <c r="H636" s="525">
        <v>6.1</v>
      </c>
      <c r="I636" s="525">
        <v>20.5</v>
      </c>
      <c r="J636" s="525">
        <v>0</v>
      </c>
      <c r="K636" s="689">
        <f>((H636+I636)*F636)*G636</f>
        <v>79.800000000000011</v>
      </c>
      <c r="L636" s="1244"/>
    </row>
    <row r="637" spans="2:12" ht="15" customHeight="1">
      <c r="B637" s="692"/>
      <c r="C637" s="1164" t="s">
        <v>865</v>
      </c>
      <c r="D637" s="1165"/>
      <c r="E637" s="1166"/>
      <c r="F637" s="525">
        <v>4</v>
      </c>
      <c r="G637" s="525">
        <v>4</v>
      </c>
      <c r="H637" s="525">
        <v>2</v>
      </c>
      <c r="I637" s="525">
        <v>2</v>
      </c>
      <c r="J637" s="525">
        <v>0</v>
      </c>
      <c r="K637" s="689">
        <f>((H637+I637)*F637)*G637</f>
        <v>64</v>
      </c>
      <c r="L637" s="1244"/>
    </row>
    <row r="638" spans="2:12" ht="15" customHeight="1">
      <c r="B638" s="692"/>
      <c r="C638" s="1164" t="s">
        <v>1232</v>
      </c>
      <c r="D638" s="1165"/>
      <c r="E638" s="1166"/>
      <c r="F638" s="525">
        <v>2</v>
      </c>
      <c r="G638" s="525">
        <v>1.5</v>
      </c>
      <c r="H638" s="525">
        <v>1</v>
      </c>
      <c r="I638" s="525">
        <v>45</v>
      </c>
      <c r="J638" s="525"/>
      <c r="K638" s="689">
        <f>((H638+I638)*F638)*G638</f>
        <v>138</v>
      </c>
      <c r="L638" s="1244"/>
    </row>
    <row r="639" spans="2:12" ht="15" customHeight="1">
      <c r="B639" s="692"/>
      <c r="C639" s="1164" t="s">
        <v>1233</v>
      </c>
      <c r="D639" s="1165"/>
      <c r="E639" s="1166"/>
      <c r="F639" s="525">
        <v>1</v>
      </c>
      <c r="G639" s="525">
        <v>3</v>
      </c>
      <c r="H639" s="525"/>
      <c r="I639" s="525">
        <v>180</v>
      </c>
      <c r="J639" s="525">
        <v>0</v>
      </c>
      <c r="K639" s="689">
        <f>I639*G639</f>
        <v>540</v>
      </c>
      <c r="L639" s="1244"/>
    </row>
    <row r="640" spans="2:12" ht="15" customHeight="1">
      <c r="B640" s="692"/>
      <c r="C640" s="1164" t="s">
        <v>1255</v>
      </c>
      <c r="D640" s="1165"/>
      <c r="E640" s="1166"/>
      <c r="F640" s="525">
        <v>1</v>
      </c>
      <c r="G640" s="525">
        <v>1.5</v>
      </c>
      <c r="H640" s="525"/>
      <c r="I640" s="525">
        <v>27.45</v>
      </c>
      <c r="J640" s="525"/>
      <c r="K640" s="768">
        <f>((H640+I640)*F640)*G640</f>
        <v>41.174999999999997</v>
      </c>
      <c r="L640" s="1244"/>
    </row>
    <row r="641" spans="2:12">
      <c r="B641" s="692"/>
      <c r="C641" s="1167" t="s">
        <v>116</v>
      </c>
      <c r="D641" s="1167"/>
      <c r="E641" s="1167"/>
      <c r="F641" s="1167"/>
      <c r="G641" s="1167"/>
      <c r="H641" s="1167"/>
      <c r="I641" s="1167"/>
      <c r="J641" s="1167"/>
      <c r="K641" s="528">
        <f>SUM(K634:K640)</f>
        <v>1118.7249999999999</v>
      </c>
      <c r="L641" s="1244"/>
    </row>
    <row r="642" spans="2:12">
      <c r="B642" s="692"/>
      <c r="C642" s="1164"/>
      <c r="D642" s="1165"/>
      <c r="E642" s="1166"/>
      <c r="F642" s="525"/>
      <c r="G642" s="525"/>
      <c r="H642" s="525"/>
      <c r="I642" s="525"/>
      <c r="J642" s="525"/>
      <c r="K642" s="530"/>
      <c r="L642" s="529"/>
    </row>
    <row r="643" spans="2:12">
      <c r="B643" s="692"/>
      <c r="C643" s="689"/>
      <c r="D643" s="690"/>
      <c r="E643" s="690"/>
      <c r="F643" s="531"/>
      <c r="G643" s="531"/>
      <c r="H643" s="531"/>
      <c r="I643" s="531"/>
      <c r="J643" s="532"/>
      <c r="K643" s="530"/>
      <c r="L643" s="529"/>
    </row>
    <row r="644" spans="2:12" ht="28.5" customHeight="1">
      <c r="B644" s="692" t="s">
        <v>37</v>
      </c>
      <c r="C644" s="1157" t="str">
        <f>'ESC. JULIO MARIA'!C23</f>
        <v xml:space="preserve"> APLICAÇÃO DE FUNDO SELADOR ACRÍLICO EM PAREDES, UMA DEMÃO. AF_06/2014</v>
      </c>
      <c r="D644" s="1158"/>
      <c r="E644" s="1158"/>
      <c r="F644" s="1158"/>
      <c r="G644" s="1158"/>
      <c r="H644" s="1158"/>
      <c r="I644" s="1158"/>
      <c r="J644" s="1159"/>
      <c r="K644" s="521" t="s">
        <v>7</v>
      </c>
      <c r="L644" s="522">
        <f>K679</f>
        <v>2082.6000000000004</v>
      </c>
    </row>
    <row r="645" spans="2:12">
      <c r="B645" s="692"/>
      <c r="C645" s="1160" t="s">
        <v>20</v>
      </c>
      <c r="D645" s="1160"/>
      <c r="E645" s="1160"/>
      <c r="F645" s="523" t="s">
        <v>22</v>
      </c>
      <c r="G645" s="688" t="s">
        <v>111</v>
      </c>
      <c r="H645" s="523" t="s">
        <v>112</v>
      </c>
      <c r="I645" s="688" t="s">
        <v>113</v>
      </c>
      <c r="J645" s="688" t="s">
        <v>114</v>
      </c>
      <c r="K645" s="524" t="s">
        <v>25</v>
      </c>
      <c r="L645" s="1169" t="s">
        <v>30</v>
      </c>
    </row>
    <row r="646" spans="2:12">
      <c r="B646" s="692"/>
      <c r="C646" s="1164" t="s">
        <v>338</v>
      </c>
      <c r="D646" s="1165"/>
      <c r="E646" s="1166"/>
      <c r="F646" s="525">
        <v>2</v>
      </c>
      <c r="G646" s="525">
        <v>3</v>
      </c>
      <c r="H646" s="525">
        <v>6</v>
      </c>
      <c r="I646" s="525">
        <v>8.65</v>
      </c>
      <c r="J646" s="525">
        <v>0.96</v>
      </c>
      <c r="K646" s="689">
        <f>((H646+I646)*2)*G646</f>
        <v>87.9</v>
      </c>
      <c r="L646" s="1169"/>
    </row>
    <row r="647" spans="2:12">
      <c r="B647" s="692"/>
      <c r="C647" s="1164" t="s">
        <v>461</v>
      </c>
      <c r="D647" s="1165"/>
      <c r="E647" s="1166"/>
      <c r="F647" s="525">
        <v>2</v>
      </c>
      <c r="G647" s="525">
        <v>3</v>
      </c>
      <c r="H647" s="525">
        <v>6</v>
      </c>
      <c r="I647" s="525">
        <v>3.85</v>
      </c>
      <c r="J647" s="525">
        <v>0</v>
      </c>
      <c r="K647" s="689">
        <f t="shared" ref="K647:K670" si="3">((H647+I647)*2)*G647</f>
        <v>59.099999999999994</v>
      </c>
      <c r="L647" s="1169"/>
    </row>
    <row r="648" spans="2:12" ht="15" customHeight="1">
      <c r="B648" s="692"/>
      <c r="C648" s="1164" t="s">
        <v>496</v>
      </c>
      <c r="D648" s="1165"/>
      <c r="E648" s="1166"/>
      <c r="F648" s="525">
        <v>2</v>
      </c>
      <c r="G648" s="525">
        <v>3</v>
      </c>
      <c r="H648" s="525">
        <v>6</v>
      </c>
      <c r="I648" s="525">
        <v>2.6</v>
      </c>
      <c r="J648" s="525">
        <v>0.96</v>
      </c>
      <c r="K648" s="689">
        <f t="shared" si="3"/>
        <v>51.599999999999994</v>
      </c>
      <c r="L648" s="1169"/>
    </row>
    <row r="649" spans="2:12" ht="15" customHeight="1">
      <c r="B649" s="692"/>
      <c r="C649" s="1164" t="s">
        <v>498</v>
      </c>
      <c r="D649" s="1165"/>
      <c r="E649" s="1166"/>
      <c r="F649" s="525">
        <v>2</v>
      </c>
      <c r="G649" s="525">
        <v>3</v>
      </c>
      <c r="H649" s="525">
        <v>6</v>
      </c>
      <c r="I649" s="525">
        <v>3.85</v>
      </c>
      <c r="J649" s="525">
        <v>0</v>
      </c>
      <c r="K649" s="689">
        <f t="shared" si="3"/>
        <v>59.099999999999994</v>
      </c>
      <c r="L649" s="1169"/>
    </row>
    <row r="650" spans="2:12" ht="15" customHeight="1">
      <c r="B650" s="692"/>
      <c r="C650" s="1164" t="s">
        <v>499</v>
      </c>
      <c r="D650" s="1165"/>
      <c r="E650" s="1166"/>
      <c r="F650" s="525">
        <v>2</v>
      </c>
      <c r="G650" s="525">
        <v>3</v>
      </c>
      <c r="H650" s="525">
        <v>6</v>
      </c>
      <c r="I650" s="525">
        <v>8.65</v>
      </c>
      <c r="J650" s="525">
        <v>0.96</v>
      </c>
      <c r="K650" s="689">
        <f t="shared" si="3"/>
        <v>87.9</v>
      </c>
      <c r="L650" s="1169"/>
    </row>
    <row r="651" spans="2:12" ht="15" customHeight="1">
      <c r="B651" s="692"/>
      <c r="C651" s="1164" t="s">
        <v>465</v>
      </c>
      <c r="D651" s="1165"/>
      <c r="E651" s="1166"/>
      <c r="F651" s="525">
        <v>2</v>
      </c>
      <c r="G651" s="525">
        <v>3</v>
      </c>
      <c r="H651" s="525">
        <v>6</v>
      </c>
      <c r="I651" s="525">
        <v>8.65</v>
      </c>
      <c r="J651" s="525">
        <v>0</v>
      </c>
      <c r="K651" s="689">
        <f t="shared" si="3"/>
        <v>87.9</v>
      </c>
      <c r="L651" s="1169"/>
    </row>
    <row r="652" spans="2:12">
      <c r="B652" s="692"/>
      <c r="C652" s="1164" t="s">
        <v>500</v>
      </c>
      <c r="D652" s="1165"/>
      <c r="E652" s="1166"/>
      <c r="F652" s="525">
        <v>2</v>
      </c>
      <c r="G652" s="525">
        <v>3</v>
      </c>
      <c r="H652" s="525">
        <v>6</v>
      </c>
      <c r="I652" s="525">
        <v>8.0500000000000007</v>
      </c>
      <c r="J652" s="525">
        <v>0.96</v>
      </c>
      <c r="K652" s="689">
        <f t="shared" si="3"/>
        <v>84.300000000000011</v>
      </c>
      <c r="L652" s="1169"/>
    </row>
    <row r="653" spans="2:12">
      <c r="B653" s="692"/>
      <c r="C653" s="1164" t="s">
        <v>1217</v>
      </c>
      <c r="D653" s="1165"/>
      <c r="E653" s="1166"/>
      <c r="F653" s="525">
        <v>2</v>
      </c>
      <c r="G653" s="525">
        <v>3</v>
      </c>
      <c r="H653" s="525">
        <v>3</v>
      </c>
      <c r="I653" s="525">
        <v>4.0999999999999996</v>
      </c>
      <c r="J653" s="525">
        <v>0</v>
      </c>
      <c r="K653" s="689">
        <f t="shared" si="3"/>
        <v>42.599999999999994</v>
      </c>
      <c r="L653" s="1169"/>
    </row>
    <row r="654" spans="2:12">
      <c r="B654" s="692"/>
      <c r="C654" s="1164" t="s">
        <v>1217</v>
      </c>
      <c r="D654" s="1165"/>
      <c r="E654" s="1166"/>
      <c r="F654" s="525">
        <v>6</v>
      </c>
      <c r="G654" s="525">
        <v>3</v>
      </c>
      <c r="H654" s="525">
        <v>1.65</v>
      </c>
      <c r="I654" s="525">
        <v>3</v>
      </c>
      <c r="J654" s="525">
        <v>0.96</v>
      </c>
      <c r="K654" s="689">
        <f t="shared" si="3"/>
        <v>27.900000000000002</v>
      </c>
      <c r="L654" s="1169"/>
    </row>
    <row r="655" spans="2:12">
      <c r="B655" s="692"/>
      <c r="C655" s="1164" t="s">
        <v>1218</v>
      </c>
      <c r="D655" s="1165"/>
      <c r="E655" s="1166"/>
      <c r="F655" s="525">
        <v>2</v>
      </c>
      <c r="G655" s="525">
        <v>3</v>
      </c>
      <c r="H655" s="525">
        <v>3</v>
      </c>
      <c r="I655" s="525">
        <v>4.0999999999999996</v>
      </c>
      <c r="J655" s="525">
        <v>0</v>
      </c>
      <c r="K655" s="689">
        <f t="shared" si="3"/>
        <v>42.599999999999994</v>
      </c>
      <c r="L655" s="1169"/>
    </row>
    <row r="656" spans="2:12">
      <c r="B656" s="692"/>
      <c r="C656" s="1164" t="s">
        <v>1219</v>
      </c>
      <c r="D656" s="1165"/>
      <c r="E656" s="1166"/>
      <c r="F656" s="525">
        <v>6</v>
      </c>
      <c r="G656" s="525">
        <v>3</v>
      </c>
      <c r="H656" s="525">
        <v>1.65</v>
      </c>
      <c r="I656" s="525">
        <v>3</v>
      </c>
      <c r="J656" s="525">
        <v>0.96</v>
      </c>
      <c r="K656" s="689">
        <f t="shared" si="3"/>
        <v>27.900000000000002</v>
      </c>
      <c r="L656" s="1169"/>
    </row>
    <row r="657" spans="2:12">
      <c r="B657" s="692"/>
      <c r="C657" s="1164" t="s">
        <v>1220</v>
      </c>
      <c r="D657" s="1165"/>
      <c r="E657" s="1166"/>
      <c r="F657" s="525">
        <v>2</v>
      </c>
      <c r="G657" s="525">
        <v>3</v>
      </c>
      <c r="H657" s="525">
        <v>1</v>
      </c>
      <c r="I657" s="525">
        <v>6.7</v>
      </c>
      <c r="J657" s="525">
        <v>0</v>
      </c>
      <c r="K657" s="689">
        <f t="shared" si="3"/>
        <v>46.2</v>
      </c>
      <c r="L657" s="1169"/>
    </row>
    <row r="658" spans="2:12">
      <c r="B658" s="692"/>
      <c r="C658" s="1164" t="s">
        <v>1221</v>
      </c>
      <c r="D658" s="1165"/>
      <c r="E658" s="1166"/>
      <c r="F658" s="525">
        <v>1</v>
      </c>
      <c r="G658" s="525">
        <v>3</v>
      </c>
      <c r="H658" s="525">
        <v>1</v>
      </c>
      <c r="I658" s="525">
        <v>24.4</v>
      </c>
      <c r="J658" s="525">
        <v>0</v>
      </c>
      <c r="K658" s="689">
        <f t="shared" si="3"/>
        <v>152.39999999999998</v>
      </c>
      <c r="L658" s="1169"/>
    </row>
    <row r="659" spans="2:12">
      <c r="B659" s="692"/>
      <c r="C659" s="1164" t="s">
        <v>1222</v>
      </c>
      <c r="D659" s="1165"/>
      <c r="E659" s="1166"/>
      <c r="F659" s="525">
        <v>1</v>
      </c>
      <c r="G659" s="525">
        <v>3</v>
      </c>
      <c r="H659" s="525">
        <v>1</v>
      </c>
      <c r="I659" s="525">
        <v>25.8</v>
      </c>
      <c r="J659" s="525">
        <v>0</v>
      </c>
      <c r="K659" s="689">
        <f t="shared" si="3"/>
        <v>160.80000000000001</v>
      </c>
      <c r="L659" s="1169"/>
    </row>
    <row r="660" spans="2:12">
      <c r="B660" s="692"/>
      <c r="C660" s="1164" t="s">
        <v>863</v>
      </c>
      <c r="D660" s="1165"/>
      <c r="E660" s="1166"/>
      <c r="F660" s="525">
        <v>2</v>
      </c>
      <c r="G660" s="525">
        <v>3</v>
      </c>
      <c r="H660" s="525">
        <v>1</v>
      </c>
      <c r="I660" s="525">
        <v>18.100000000000001</v>
      </c>
      <c r="J660" s="525">
        <v>0</v>
      </c>
      <c r="K660" s="689">
        <f t="shared" si="3"/>
        <v>114.60000000000001</v>
      </c>
      <c r="L660" s="1169"/>
    </row>
    <row r="661" spans="2:12">
      <c r="B661" s="692"/>
      <c r="C661" s="1164" t="s">
        <v>1223</v>
      </c>
      <c r="D661" s="1165"/>
      <c r="E661" s="1166"/>
      <c r="F661" s="525">
        <v>12</v>
      </c>
      <c r="G661" s="525">
        <v>3</v>
      </c>
      <c r="H661" s="525">
        <v>1</v>
      </c>
      <c r="I661" s="525">
        <v>2.4500000000000002</v>
      </c>
      <c r="J661" s="525">
        <v>0</v>
      </c>
      <c r="K661" s="689">
        <f t="shared" si="3"/>
        <v>20.700000000000003</v>
      </c>
      <c r="L661" s="1169"/>
    </row>
    <row r="662" spans="2:12">
      <c r="B662" s="692"/>
      <c r="C662" s="1164" t="s">
        <v>236</v>
      </c>
      <c r="D662" s="1165"/>
      <c r="E662" s="1166"/>
      <c r="F662" s="525">
        <v>2</v>
      </c>
      <c r="G662" s="525">
        <v>3</v>
      </c>
      <c r="H662" s="525">
        <v>4.8</v>
      </c>
      <c r="I662" s="525">
        <v>3</v>
      </c>
      <c r="J662" s="525">
        <v>0.96</v>
      </c>
      <c r="K662" s="689">
        <f t="shared" si="3"/>
        <v>46.8</v>
      </c>
      <c r="L662" s="1169"/>
    </row>
    <row r="663" spans="2:12" ht="15" customHeight="1">
      <c r="B663" s="692"/>
      <c r="C663" s="1164" t="s">
        <v>1224</v>
      </c>
      <c r="D663" s="1165"/>
      <c r="E663" s="1166"/>
      <c r="F663" s="525">
        <v>2</v>
      </c>
      <c r="G663" s="525">
        <v>3</v>
      </c>
      <c r="H663" s="525">
        <v>4.8</v>
      </c>
      <c r="I663" s="525">
        <v>3</v>
      </c>
      <c r="J663" s="525">
        <v>0</v>
      </c>
      <c r="K663" s="689">
        <f t="shared" si="3"/>
        <v>46.8</v>
      </c>
      <c r="L663" s="1169"/>
    </row>
    <row r="664" spans="2:12" ht="15" customHeight="1">
      <c r="B664" s="692"/>
      <c r="C664" s="1164" t="s">
        <v>1225</v>
      </c>
      <c r="D664" s="1165"/>
      <c r="E664" s="1166"/>
      <c r="F664" s="525">
        <v>8</v>
      </c>
      <c r="G664" s="525">
        <v>3</v>
      </c>
      <c r="H664" s="525">
        <v>1</v>
      </c>
      <c r="I664" s="525">
        <v>3</v>
      </c>
      <c r="J664" s="525">
        <v>0</v>
      </c>
      <c r="K664" s="689">
        <f t="shared" si="3"/>
        <v>24</v>
      </c>
      <c r="L664" s="1169"/>
    </row>
    <row r="665" spans="2:12" ht="15" customHeight="1">
      <c r="B665" s="692"/>
      <c r="C665" s="1164" t="s">
        <v>240</v>
      </c>
      <c r="D665" s="1165"/>
      <c r="E665" s="1166"/>
      <c r="F665" s="525">
        <v>2</v>
      </c>
      <c r="G665" s="525">
        <v>3</v>
      </c>
      <c r="H665" s="525">
        <v>4.8</v>
      </c>
      <c r="I665" s="525">
        <v>4.2</v>
      </c>
      <c r="J665" s="525">
        <v>0</v>
      </c>
      <c r="K665" s="689">
        <f t="shared" si="3"/>
        <v>54</v>
      </c>
      <c r="L665" s="1169"/>
    </row>
    <row r="666" spans="2:12" ht="15" customHeight="1">
      <c r="B666" s="692"/>
      <c r="C666" s="1164" t="s">
        <v>97</v>
      </c>
      <c r="D666" s="1165"/>
      <c r="E666" s="1166"/>
      <c r="F666" s="525">
        <v>2</v>
      </c>
      <c r="G666" s="525">
        <v>3</v>
      </c>
      <c r="H666" s="525">
        <v>4.8</v>
      </c>
      <c r="I666" s="525">
        <v>3</v>
      </c>
      <c r="J666" s="525">
        <v>0</v>
      </c>
      <c r="K666" s="689">
        <f t="shared" si="3"/>
        <v>46.8</v>
      </c>
      <c r="L666" s="1169"/>
    </row>
    <row r="667" spans="2:12" ht="15" customHeight="1">
      <c r="B667" s="692"/>
      <c r="C667" s="1164" t="s">
        <v>1226</v>
      </c>
      <c r="D667" s="1165"/>
      <c r="E667" s="1166"/>
      <c r="F667" s="525">
        <v>2</v>
      </c>
      <c r="G667" s="525">
        <v>3</v>
      </c>
      <c r="H667" s="525">
        <v>2.85</v>
      </c>
      <c r="I667" s="525">
        <v>3.8</v>
      </c>
      <c r="J667" s="525">
        <v>0</v>
      </c>
      <c r="K667" s="689">
        <f t="shared" si="3"/>
        <v>39.900000000000006</v>
      </c>
      <c r="L667" s="1169"/>
    </row>
    <row r="668" spans="2:12" ht="15" customHeight="1">
      <c r="B668" s="692"/>
      <c r="C668" s="1164" t="s">
        <v>1227</v>
      </c>
      <c r="D668" s="1165"/>
      <c r="E668" s="1166"/>
      <c r="F668" s="525">
        <v>2</v>
      </c>
      <c r="G668" s="525">
        <v>3</v>
      </c>
      <c r="H668" s="525">
        <v>2.8</v>
      </c>
      <c r="I668" s="525">
        <v>5.9</v>
      </c>
      <c r="J668" s="525">
        <v>0</v>
      </c>
      <c r="K668" s="689">
        <f t="shared" si="3"/>
        <v>52.199999999999996</v>
      </c>
      <c r="L668" s="1169"/>
    </row>
    <row r="669" spans="2:12" ht="15" customHeight="1">
      <c r="B669" s="692"/>
      <c r="C669" s="1164" t="s">
        <v>1228</v>
      </c>
      <c r="D669" s="1165"/>
      <c r="E669" s="1166"/>
      <c r="F669" s="525">
        <v>2</v>
      </c>
      <c r="G669" s="525">
        <v>3</v>
      </c>
      <c r="H669" s="525">
        <v>2</v>
      </c>
      <c r="I669" s="525">
        <v>2.85</v>
      </c>
      <c r="J669" s="525">
        <v>0</v>
      </c>
      <c r="K669" s="689">
        <f t="shared" si="3"/>
        <v>29.099999999999998</v>
      </c>
      <c r="L669" s="1169"/>
    </row>
    <row r="670" spans="2:12" ht="15" customHeight="1">
      <c r="B670" s="692"/>
      <c r="C670" s="1164" t="s">
        <v>1229</v>
      </c>
      <c r="D670" s="1165"/>
      <c r="E670" s="1166"/>
      <c r="F670" s="525">
        <v>1</v>
      </c>
      <c r="G670" s="525">
        <v>3</v>
      </c>
      <c r="H670" s="525">
        <v>14.2</v>
      </c>
      <c r="I670" s="525">
        <v>1</v>
      </c>
      <c r="J670" s="525">
        <v>0</v>
      </c>
      <c r="K670" s="689">
        <f t="shared" si="3"/>
        <v>91.199999999999989</v>
      </c>
      <c r="L670" s="1169"/>
    </row>
    <row r="671" spans="2:12" ht="15" customHeight="1">
      <c r="B671" s="692"/>
      <c r="C671" s="1164" t="s">
        <v>1249</v>
      </c>
      <c r="D671" s="1165"/>
      <c r="E671" s="1166"/>
      <c r="F671" s="525">
        <v>2</v>
      </c>
      <c r="G671" s="525">
        <v>3</v>
      </c>
      <c r="H671" s="525">
        <v>6.4</v>
      </c>
      <c r="I671" s="525">
        <v>4.8499999999999996</v>
      </c>
      <c r="J671" s="525"/>
      <c r="K671" s="768">
        <f>((H671+I671)*F671)*G671</f>
        <v>67.5</v>
      </c>
      <c r="L671" s="1169"/>
    </row>
    <row r="672" spans="2:12" ht="15" customHeight="1">
      <c r="B672" s="692"/>
      <c r="C672" s="1164" t="s">
        <v>1250</v>
      </c>
      <c r="D672" s="1165"/>
      <c r="E672" s="1166"/>
      <c r="F672" s="525">
        <v>2</v>
      </c>
      <c r="G672" s="525">
        <v>3</v>
      </c>
      <c r="H672" s="525">
        <v>6.4</v>
      </c>
      <c r="I672" s="525">
        <v>4</v>
      </c>
      <c r="J672" s="525"/>
      <c r="K672" s="768">
        <f>((H672+I672)*F672)*G672</f>
        <v>62.400000000000006</v>
      </c>
      <c r="L672" s="1169"/>
    </row>
    <row r="673" spans="2:12" ht="15" customHeight="1">
      <c r="B673" s="692"/>
      <c r="C673" s="1164" t="s">
        <v>1251</v>
      </c>
      <c r="D673" s="1165"/>
      <c r="E673" s="1166"/>
      <c r="F673" s="525">
        <v>2</v>
      </c>
      <c r="G673" s="525">
        <v>3</v>
      </c>
      <c r="H673" s="525">
        <v>6.4</v>
      </c>
      <c r="I673" s="525">
        <v>4</v>
      </c>
      <c r="J673" s="525"/>
      <c r="K673" s="768">
        <f>((H673+I673)*F673)*G673</f>
        <v>62.400000000000006</v>
      </c>
      <c r="L673" s="1169"/>
    </row>
    <row r="674" spans="2:12" ht="15" customHeight="1">
      <c r="B674" s="692"/>
      <c r="C674" s="1164" t="s">
        <v>1252</v>
      </c>
      <c r="D674" s="1165"/>
      <c r="E674" s="1166"/>
      <c r="F674" s="525">
        <v>2</v>
      </c>
      <c r="G674" s="525">
        <v>3</v>
      </c>
      <c r="H674" s="525">
        <v>6.4</v>
      </c>
      <c r="I674" s="525">
        <v>2</v>
      </c>
      <c r="J674" s="525"/>
      <c r="K674" s="768">
        <f>((H674+I674)*F674)*G674</f>
        <v>50.400000000000006</v>
      </c>
      <c r="L674" s="1169"/>
    </row>
    <row r="675" spans="2:12" ht="15" customHeight="1">
      <c r="B675" s="692"/>
      <c r="C675" s="1164" t="s">
        <v>1252</v>
      </c>
      <c r="D675" s="1165"/>
      <c r="E675" s="1166"/>
      <c r="F675" s="525">
        <v>8</v>
      </c>
      <c r="G675" s="525">
        <v>3</v>
      </c>
      <c r="H675" s="525"/>
      <c r="I675" s="525">
        <v>1.3</v>
      </c>
      <c r="J675" s="525"/>
      <c r="K675" s="768">
        <f>I675*G675*F675</f>
        <v>31.200000000000003</v>
      </c>
      <c r="L675" s="1169"/>
    </row>
    <row r="676" spans="2:12" ht="15" customHeight="1">
      <c r="B676" s="692"/>
      <c r="C676" s="1164" t="s">
        <v>1253</v>
      </c>
      <c r="D676" s="1165"/>
      <c r="E676" s="1166"/>
      <c r="F676" s="525">
        <v>2</v>
      </c>
      <c r="G676" s="525">
        <v>3</v>
      </c>
      <c r="H676" s="525">
        <v>6.4</v>
      </c>
      <c r="I676" s="525">
        <v>2</v>
      </c>
      <c r="J676" s="525"/>
      <c r="K676" s="768">
        <f>((H676+I676)*F676)*G676</f>
        <v>50.400000000000006</v>
      </c>
      <c r="L676" s="1169"/>
    </row>
    <row r="677" spans="2:12" ht="15" customHeight="1">
      <c r="B677" s="692"/>
      <c r="C677" s="1164" t="s">
        <v>1253</v>
      </c>
      <c r="D677" s="1165"/>
      <c r="E677" s="1166"/>
      <c r="F677" s="525">
        <v>8</v>
      </c>
      <c r="G677" s="525">
        <v>3</v>
      </c>
      <c r="H677" s="525"/>
      <c r="I677" s="525">
        <v>1.3</v>
      </c>
      <c r="J677" s="525"/>
      <c r="K677" s="768">
        <f>I677*G677*F677</f>
        <v>31.200000000000003</v>
      </c>
      <c r="L677" s="1169"/>
    </row>
    <row r="678" spans="2:12" ht="15" customHeight="1">
      <c r="B678" s="692"/>
      <c r="C678" s="1164" t="s">
        <v>1254</v>
      </c>
      <c r="D678" s="1165"/>
      <c r="E678" s="1166"/>
      <c r="F678" s="525">
        <v>2</v>
      </c>
      <c r="G678" s="525">
        <v>3</v>
      </c>
      <c r="H678" s="525"/>
      <c r="I678" s="525">
        <v>23.8</v>
      </c>
      <c r="J678" s="525"/>
      <c r="K678" s="768">
        <f>I678*G678*F678</f>
        <v>142.80000000000001</v>
      </c>
      <c r="L678" s="1169"/>
    </row>
    <row r="679" spans="2:12" ht="15" customHeight="1">
      <c r="B679" s="692"/>
      <c r="C679" s="1167" t="s">
        <v>116</v>
      </c>
      <c r="D679" s="1167"/>
      <c r="E679" s="1167"/>
      <c r="F679" s="1167"/>
      <c r="G679" s="1167"/>
      <c r="H679" s="1167"/>
      <c r="I679" s="1167"/>
      <c r="J679" s="1167"/>
      <c r="K679" s="524">
        <f>SUM(K646:K678)</f>
        <v>2082.6000000000004</v>
      </c>
      <c r="L679" s="1169"/>
    </row>
    <row r="680" spans="2:12" ht="15" customHeight="1">
      <c r="B680" s="692"/>
      <c r="C680" s="533"/>
      <c r="D680" s="533"/>
      <c r="E680" s="533"/>
      <c r="F680" s="533"/>
      <c r="G680" s="533"/>
      <c r="H680" s="533"/>
      <c r="I680" s="533"/>
      <c r="J680" s="533"/>
      <c r="K680" s="534"/>
      <c r="L680" s="529"/>
    </row>
    <row r="681" spans="2:12" ht="15" customHeight="1">
      <c r="B681" s="692" t="s">
        <v>39</v>
      </c>
      <c r="C681" s="1157" t="str">
        <f>'ESC. JULIO MARIA'!C24</f>
        <v>APLICAÇÃO MANUAL DE FUNDO SELADOR ACRÍLICO EM PAREDES EXTERNAS DE CASAS. AF_06/2014</v>
      </c>
      <c r="D681" s="1158"/>
      <c r="E681" s="1158"/>
      <c r="F681" s="1158"/>
      <c r="G681" s="1158"/>
      <c r="H681" s="1158"/>
      <c r="I681" s="1158"/>
      <c r="J681" s="1159"/>
      <c r="K681" s="521" t="s">
        <v>7</v>
      </c>
      <c r="L681" s="522">
        <f>K690</f>
        <v>1633.4499999999998</v>
      </c>
    </row>
    <row r="682" spans="2:12" ht="15" customHeight="1">
      <c r="B682" s="692"/>
      <c r="C682" s="1173" t="s">
        <v>20</v>
      </c>
      <c r="D682" s="1174"/>
      <c r="E682" s="1175"/>
      <c r="F682" s="523" t="s">
        <v>22</v>
      </c>
      <c r="G682" s="688" t="s">
        <v>111</v>
      </c>
      <c r="H682" s="523" t="s">
        <v>112</v>
      </c>
      <c r="I682" s="688" t="s">
        <v>113</v>
      </c>
      <c r="J682" s="688" t="s">
        <v>114</v>
      </c>
      <c r="K682" s="524" t="s">
        <v>25</v>
      </c>
      <c r="L682" s="1169" t="s">
        <v>30</v>
      </c>
    </row>
    <row r="683" spans="2:12" ht="15" customHeight="1">
      <c r="B683" s="692"/>
      <c r="C683" s="1164" t="s">
        <v>1230</v>
      </c>
      <c r="D683" s="1165"/>
      <c r="E683" s="1166"/>
      <c r="F683" s="525">
        <v>2</v>
      </c>
      <c r="G683" s="525">
        <v>3</v>
      </c>
      <c r="H683" s="525">
        <v>7.55</v>
      </c>
      <c r="I683" s="525">
        <v>58.7</v>
      </c>
      <c r="J683" s="525">
        <v>0.96</v>
      </c>
      <c r="K683" s="689">
        <f>((H683+I683)*F683)*G683</f>
        <v>397.5</v>
      </c>
      <c r="L683" s="1169"/>
    </row>
    <row r="684" spans="2:12" ht="15" customHeight="1">
      <c r="B684" s="692"/>
      <c r="C684" s="1164" t="s">
        <v>863</v>
      </c>
      <c r="D684" s="1165"/>
      <c r="E684" s="1166"/>
      <c r="F684" s="525">
        <v>2</v>
      </c>
      <c r="G684" s="525">
        <v>3</v>
      </c>
      <c r="H684" s="525">
        <v>18</v>
      </c>
      <c r="I684" s="525">
        <v>1</v>
      </c>
      <c r="J684" s="525">
        <v>0</v>
      </c>
      <c r="K684" s="689">
        <f>((H684+I684)*F684)*G684</f>
        <v>114</v>
      </c>
      <c r="L684" s="1169"/>
    </row>
    <row r="685" spans="2:12" ht="15" customHeight="1">
      <c r="B685" s="692"/>
      <c r="C685" s="1164" t="s">
        <v>1231</v>
      </c>
      <c r="D685" s="1165"/>
      <c r="E685" s="1166"/>
      <c r="F685" s="525">
        <v>2</v>
      </c>
      <c r="G685" s="525">
        <v>3</v>
      </c>
      <c r="H685" s="525">
        <v>6.1</v>
      </c>
      <c r="I685" s="525">
        <v>20.5</v>
      </c>
      <c r="J685" s="525">
        <v>0</v>
      </c>
      <c r="K685" s="689">
        <f>((H685+I685)*F685)*G685</f>
        <v>159.60000000000002</v>
      </c>
      <c r="L685" s="1169"/>
    </row>
    <row r="686" spans="2:12" ht="15" customHeight="1">
      <c r="B686" s="692"/>
      <c r="C686" s="1164" t="s">
        <v>865</v>
      </c>
      <c r="D686" s="1165"/>
      <c r="E686" s="1166"/>
      <c r="F686" s="525">
        <v>4</v>
      </c>
      <c r="G686" s="525">
        <v>4</v>
      </c>
      <c r="H686" s="525">
        <v>2</v>
      </c>
      <c r="I686" s="525">
        <v>2</v>
      </c>
      <c r="J686" s="525">
        <v>0</v>
      </c>
      <c r="K686" s="689">
        <f>((H686+I686)*F686)*G686</f>
        <v>64</v>
      </c>
      <c r="L686" s="1169"/>
    </row>
    <row r="687" spans="2:12" ht="15" customHeight="1">
      <c r="B687" s="692"/>
      <c r="C687" s="1164" t="s">
        <v>1232</v>
      </c>
      <c r="D687" s="1165"/>
      <c r="E687" s="1166"/>
      <c r="F687" s="525">
        <v>2</v>
      </c>
      <c r="G687" s="525">
        <v>3</v>
      </c>
      <c r="H687" s="525">
        <v>1</v>
      </c>
      <c r="I687" s="525">
        <v>45</v>
      </c>
      <c r="J687" s="525"/>
      <c r="K687" s="689">
        <f>((H687+I687)*F687)*G687</f>
        <v>276</v>
      </c>
      <c r="L687" s="1169"/>
    </row>
    <row r="688" spans="2:12" ht="15" customHeight="1">
      <c r="B688" s="692"/>
      <c r="C688" s="1164" t="s">
        <v>1233</v>
      </c>
      <c r="D688" s="1165"/>
      <c r="E688" s="1166"/>
      <c r="F688" s="525">
        <v>1</v>
      </c>
      <c r="G688" s="525">
        <v>3</v>
      </c>
      <c r="H688" s="525"/>
      <c r="I688" s="525">
        <v>180</v>
      </c>
      <c r="J688" s="525">
        <v>0</v>
      </c>
      <c r="K688" s="689">
        <f>I688*G688</f>
        <v>540</v>
      </c>
      <c r="L688" s="1169"/>
    </row>
    <row r="689" spans="2:12" ht="15" customHeight="1">
      <c r="B689" s="692"/>
      <c r="C689" s="1164" t="s">
        <v>1255</v>
      </c>
      <c r="D689" s="1165"/>
      <c r="E689" s="1166"/>
      <c r="F689" s="525">
        <v>1</v>
      </c>
      <c r="G689" s="525">
        <v>3</v>
      </c>
      <c r="H689" s="525"/>
      <c r="I689" s="525">
        <v>27.45</v>
      </c>
      <c r="J689" s="525"/>
      <c r="K689" s="768">
        <f>((H689+I689)*F689)*G689</f>
        <v>82.35</v>
      </c>
      <c r="L689" s="1169"/>
    </row>
    <row r="690" spans="2:12" ht="15" customHeight="1">
      <c r="B690" s="692"/>
      <c r="C690" s="1170" t="s">
        <v>116</v>
      </c>
      <c r="D690" s="1171"/>
      <c r="E690" s="1171"/>
      <c r="F690" s="1171"/>
      <c r="G690" s="1171"/>
      <c r="H690" s="1171"/>
      <c r="I690" s="1171"/>
      <c r="J690" s="1172"/>
      <c r="K690" s="524">
        <f>SUM(K683:K689)</f>
        <v>1633.4499999999998</v>
      </c>
      <c r="L690" s="1169"/>
    </row>
    <row r="691" spans="2:12" ht="15" customHeight="1">
      <c r="B691" s="692"/>
      <c r="C691" s="533"/>
      <c r="D691" s="533"/>
      <c r="E691" s="533"/>
      <c r="F691" s="533"/>
      <c r="G691" s="533"/>
      <c r="H691" s="533"/>
      <c r="I691" s="533"/>
      <c r="J691" s="533"/>
      <c r="K691" s="534"/>
      <c r="L691" s="529"/>
    </row>
    <row r="692" spans="2:12" ht="15" customHeight="1">
      <c r="B692" s="692" t="s">
        <v>627</v>
      </c>
      <c r="C692" s="1157" t="str">
        <f>'[8]ESC. JULIO MARIA'!C25</f>
        <v>PREPARO DE SUPERFICIE COM LIXAMENTO DE PAREDES E TETOS</v>
      </c>
      <c r="D692" s="1158"/>
      <c r="E692" s="1158"/>
      <c r="F692" s="1158"/>
      <c r="G692" s="1158"/>
      <c r="H692" s="1158"/>
      <c r="I692" s="1158"/>
      <c r="J692" s="1159"/>
      <c r="K692" s="521" t="s">
        <v>7</v>
      </c>
      <c r="L692" s="522">
        <f>K695</f>
        <v>2160.0250000000001</v>
      </c>
    </row>
    <row r="693" spans="2:12">
      <c r="B693" s="692"/>
      <c r="C693" s="1173" t="s">
        <v>20</v>
      </c>
      <c r="D693" s="1174"/>
      <c r="E693" s="1175"/>
      <c r="F693" s="523" t="s">
        <v>22</v>
      </c>
      <c r="G693" s="688" t="s">
        <v>111</v>
      </c>
      <c r="H693" s="523" t="s">
        <v>112</v>
      </c>
      <c r="I693" s="688" t="s">
        <v>113</v>
      </c>
      <c r="J693" s="688" t="s">
        <v>114</v>
      </c>
      <c r="K693" s="524" t="s">
        <v>25</v>
      </c>
      <c r="L693" s="1169" t="s">
        <v>30</v>
      </c>
    </row>
    <row r="694" spans="2:12">
      <c r="B694" s="692"/>
      <c r="C694" s="1164" t="s">
        <v>510</v>
      </c>
      <c r="D694" s="1165"/>
      <c r="E694" s="1166"/>
      <c r="F694" s="525">
        <f>L595+L632</f>
        <v>2160.0250000000001</v>
      </c>
      <c r="G694" s="525"/>
      <c r="H694" s="525"/>
      <c r="I694" s="525"/>
      <c r="J694" s="525">
        <v>0</v>
      </c>
      <c r="K694" s="689">
        <f>F694</f>
        <v>2160.0250000000001</v>
      </c>
      <c r="L694" s="1169"/>
    </row>
    <row r="695" spans="2:12">
      <c r="B695" s="692"/>
      <c r="C695" s="1170" t="s">
        <v>116</v>
      </c>
      <c r="D695" s="1171"/>
      <c r="E695" s="1171"/>
      <c r="F695" s="1171"/>
      <c r="G695" s="1171"/>
      <c r="H695" s="1171"/>
      <c r="I695" s="1171"/>
      <c r="J695" s="1172"/>
      <c r="K695" s="524">
        <f>SUM(K694:K694)</f>
        <v>2160.0250000000001</v>
      </c>
      <c r="L695" s="1169"/>
    </row>
    <row r="696" spans="2:12">
      <c r="B696" s="493"/>
      <c r="C696" s="493"/>
      <c r="D696" s="493"/>
      <c r="E696" s="493"/>
      <c r="F696" s="493"/>
      <c r="G696" s="493"/>
      <c r="H696" s="493"/>
      <c r="I696" s="493"/>
      <c r="J696" s="493"/>
      <c r="K696" s="493"/>
      <c r="L696" s="493"/>
    </row>
    <row r="697" spans="2:12">
      <c r="B697" s="692" t="s">
        <v>639</v>
      </c>
      <c r="C697" s="1157" t="str">
        <f>'[8]ESC. JULIO MARIA'!C26</f>
        <v>LIXAMENTO MANUAL EM SUPERFÍCIES METÁLICAS EM OBRA. AF_01/2020</v>
      </c>
      <c r="D697" s="1158"/>
      <c r="E697" s="1158"/>
      <c r="F697" s="1158"/>
      <c r="G697" s="1158"/>
      <c r="H697" s="1158"/>
      <c r="I697" s="1158"/>
      <c r="J697" s="1159"/>
      <c r="K697" s="521" t="s">
        <v>7</v>
      </c>
      <c r="L697" s="522">
        <f>K703</f>
        <v>473.55</v>
      </c>
    </row>
    <row r="698" spans="2:12">
      <c r="B698" s="692"/>
      <c r="C698" s="1173" t="s">
        <v>20</v>
      </c>
      <c r="D698" s="1174"/>
      <c r="E698" s="1175"/>
      <c r="F698" s="523" t="s">
        <v>22</v>
      </c>
      <c r="G698" s="688" t="s">
        <v>111</v>
      </c>
      <c r="H698" s="523" t="s">
        <v>112</v>
      </c>
      <c r="I698" s="688" t="s">
        <v>113</v>
      </c>
      <c r="J698" s="688" t="s">
        <v>114</v>
      </c>
      <c r="K698" s="524" t="s">
        <v>25</v>
      </c>
      <c r="L698" s="1169" t="s">
        <v>30</v>
      </c>
    </row>
    <row r="699" spans="2:12">
      <c r="B699" s="692"/>
      <c r="C699" s="1164" t="s">
        <v>1234</v>
      </c>
      <c r="D699" s="1165"/>
      <c r="E699" s="1166"/>
      <c r="F699" s="525">
        <v>1</v>
      </c>
      <c r="G699" s="525">
        <v>3</v>
      </c>
      <c r="H699" s="525">
        <v>7.55</v>
      </c>
      <c r="I699" s="525">
        <v>58.7</v>
      </c>
      <c r="J699" s="525">
        <v>0.96</v>
      </c>
      <c r="K699" s="689">
        <f>((H699+I699)*F699)*G699</f>
        <v>198.75</v>
      </c>
      <c r="L699" s="1169"/>
    </row>
    <row r="700" spans="2:12">
      <c r="B700" s="692"/>
      <c r="C700" s="1164" t="s">
        <v>1235</v>
      </c>
      <c r="D700" s="1165"/>
      <c r="E700" s="1166"/>
      <c r="F700" s="525">
        <v>1</v>
      </c>
      <c r="G700" s="525">
        <v>3</v>
      </c>
      <c r="H700" s="525">
        <v>18</v>
      </c>
      <c r="I700" s="525">
        <v>1</v>
      </c>
      <c r="J700" s="525">
        <v>0</v>
      </c>
      <c r="K700" s="689">
        <f>((H700+I700)*F700)*G700</f>
        <v>57</v>
      </c>
      <c r="L700" s="1169"/>
    </row>
    <row r="701" spans="2:12">
      <c r="B701" s="692"/>
      <c r="C701" s="1164" t="s">
        <v>1236</v>
      </c>
      <c r="D701" s="1165"/>
      <c r="E701" s="1166"/>
      <c r="F701" s="525">
        <v>1</v>
      </c>
      <c r="G701" s="525">
        <v>3</v>
      </c>
      <c r="H701" s="525">
        <v>6.1</v>
      </c>
      <c r="I701" s="525">
        <v>20.5</v>
      </c>
      <c r="J701" s="525">
        <v>0</v>
      </c>
      <c r="K701" s="689">
        <f>((H701+I701)*F701)*G701</f>
        <v>79.800000000000011</v>
      </c>
      <c r="L701" s="1169"/>
    </row>
    <row r="702" spans="2:12">
      <c r="B702" s="692"/>
      <c r="C702" s="1164" t="s">
        <v>1237</v>
      </c>
      <c r="D702" s="1165"/>
      <c r="E702" s="1166"/>
      <c r="F702" s="525">
        <v>1</v>
      </c>
      <c r="G702" s="525">
        <v>3</v>
      </c>
      <c r="H702" s="525">
        <v>1</v>
      </c>
      <c r="I702" s="525">
        <v>45</v>
      </c>
      <c r="J702" s="525"/>
      <c r="K702" s="689">
        <f>((H702+I702)*F702)*G702</f>
        <v>138</v>
      </c>
      <c r="L702" s="1169"/>
    </row>
    <row r="703" spans="2:12">
      <c r="B703" s="692"/>
      <c r="C703" s="1170" t="s">
        <v>116</v>
      </c>
      <c r="D703" s="1171"/>
      <c r="E703" s="1171"/>
      <c r="F703" s="1171"/>
      <c r="G703" s="1171"/>
      <c r="H703" s="1171"/>
      <c r="I703" s="1171"/>
      <c r="J703" s="1172"/>
      <c r="K703" s="524">
        <f>SUM(K699:K702)</f>
        <v>473.55</v>
      </c>
      <c r="L703" s="1169"/>
    </row>
    <row r="704" spans="2:12">
      <c r="B704" s="692"/>
      <c r="C704" s="533"/>
      <c r="D704" s="533"/>
      <c r="E704" s="533"/>
      <c r="F704" s="533"/>
      <c r="G704" s="533"/>
      <c r="H704" s="533"/>
      <c r="I704" s="533"/>
      <c r="J704" s="533"/>
      <c r="K704" s="534"/>
      <c r="L704" s="529"/>
    </row>
    <row r="705" spans="2:12">
      <c r="B705" s="692"/>
      <c r="C705" s="533"/>
      <c r="D705" s="533"/>
      <c r="E705" s="533"/>
      <c r="F705" s="533"/>
      <c r="G705" s="533"/>
      <c r="H705" s="533"/>
      <c r="I705" s="533"/>
      <c r="J705" s="533"/>
      <c r="K705" s="534"/>
      <c r="L705" s="529"/>
    </row>
    <row r="706" spans="2:12" ht="45" customHeight="1">
      <c r="B706" s="692" t="s">
        <v>665</v>
      </c>
      <c r="C706" s="1157" t="str">
        <f>'[8]ESC. JULIO MARIA'!C27</f>
        <v>PINTURA COM TINTA ALQUÍDICA DE ACABAMENTO (ESMALTE SINTÉTICO BRILHANTE) APLICADA A ROLO OU PINCEL SOBRE PERFIL METÁLICO EXECUTADO EM FÁBRICA (POR DEMÃO). AF_01/2020</v>
      </c>
      <c r="D706" s="1158"/>
      <c r="E706" s="1158"/>
      <c r="F706" s="1158"/>
      <c r="G706" s="1158"/>
      <c r="H706" s="1158"/>
      <c r="I706" s="1158"/>
      <c r="J706" s="1159"/>
      <c r="K706" s="521" t="s">
        <v>7</v>
      </c>
      <c r="L706" s="522">
        <f>K755</f>
        <v>1561.5149999999996</v>
      </c>
    </row>
    <row r="707" spans="2:12">
      <c r="B707" s="692"/>
      <c r="C707" s="1173" t="s">
        <v>20</v>
      </c>
      <c r="D707" s="1174"/>
      <c r="E707" s="1175"/>
      <c r="F707" s="523" t="s">
        <v>22</v>
      </c>
      <c r="G707" s="688" t="s">
        <v>111</v>
      </c>
      <c r="H707" s="523" t="s">
        <v>112</v>
      </c>
      <c r="I707" s="688" t="s">
        <v>113</v>
      </c>
      <c r="J707" s="688" t="s">
        <v>114</v>
      </c>
      <c r="K707" s="524" t="s">
        <v>25</v>
      </c>
      <c r="L707" s="1169" t="s">
        <v>30</v>
      </c>
    </row>
    <row r="708" spans="2:12">
      <c r="B708" s="692"/>
      <c r="C708" s="1164" t="s">
        <v>1234</v>
      </c>
      <c r="D708" s="1165"/>
      <c r="E708" s="1166"/>
      <c r="F708" s="525">
        <v>1</v>
      </c>
      <c r="G708" s="525">
        <v>1.5</v>
      </c>
      <c r="H708" s="525">
        <v>7.55</v>
      </c>
      <c r="I708" s="525">
        <v>58.7</v>
      </c>
      <c r="J708" s="525"/>
      <c r="K708" s="689">
        <f t="shared" ref="K708:K716" si="4">((H708+I708)*F708)*G708</f>
        <v>99.375</v>
      </c>
      <c r="L708" s="1169"/>
    </row>
    <row r="709" spans="2:12">
      <c r="B709" s="692"/>
      <c r="C709" s="1164" t="s">
        <v>1235</v>
      </c>
      <c r="D709" s="1165"/>
      <c r="E709" s="1166"/>
      <c r="F709" s="525">
        <v>1</v>
      </c>
      <c r="G709" s="525">
        <v>1.5</v>
      </c>
      <c r="H709" s="525">
        <v>18</v>
      </c>
      <c r="I709" s="525">
        <v>1</v>
      </c>
      <c r="J709" s="525"/>
      <c r="K709" s="689">
        <f t="shared" si="4"/>
        <v>28.5</v>
      </c>
      <c r="L709" s="1169"/>
    </row>
    <row r="710" spans="2:12">
      <c r="B710" s="692"/>
      <c r="C710" s="1164" t="s">
        <v>1236</v>
      </c>
      <c r="D710" s="1165"/>
      <c r="E710" s="1166"/>
      <c r="F710" s="525">
        <v>1</v>
      </c>
      <c r="G710" s="525">
        <v>1.5</v>
      </c>
      <c r="H710" s="525">
        <v>6.1</v>
      </c>
      <c r="I710" s="525">
        <v>20.5</v>
      </c>
      <c r="J710" s="525"/>
      <c r="K710" s="689">
        <f t="shared" si="4"/>
        <v>39.900000000000006</v>
      </c>
      <c r="L710" s="1169"/>
    </row>
    <row r="711" spans="2:12">
      <c r="B711" s="692"/>
      <c r="C711" s="1164" t="s">
        <v>1237</v>
      </c>
      <c r="D711" s="1165"/>
      <c r="E711" s="1166"/>
      <c r="F711" s="525">
        <v>1</v>
      </c>
      <c r="G711" s="525">
        <v>1.5</v>
      </c>
      <c r="H711" s="525">
        <v>1</v>
      </c>
      <c r="I711" s="525">
        <v>45</v>
      </c>
      <c r="J711" s="525"/>
      <c r="K711" s="689">
        <f t="shared" si="4"/>
        <v>69</v>
      </c>
      <c r="L711" s="1169"/>
    </row>
    <row r="712" spans="2:12">
      <c r="B712" s="692"/>
      <c r="C712" s="1164" t="s">
        <v>210</v>
      </c>
      <c r="D712" s="1165"/>
      <c r="E712" s="1166"/>
      <c r="F712" s="525">
        <v>9</v>
      </c>
      <c r="G712" s="525">
        <v>2.1</v>
      </c>
      <c r="H712" s="525">
        <v>1</v>
      </c>
      <c r="I712" s="525"/>
      <c r="J712" s="525"/>
      <c r="K712" s="689">
        <f t="shared" si="4"/>
        <v>18.900000000000002</v>
      </c>
      <c r="L712" s="1169"/>
    </row>
    <row r="713" spans="2:12" ht="30.75" customHeight="1">
      <c r="B713" s="692"/>
      <c r="C713" s="1164" t="s">
        <v>210</v>
      </c>
      <c r="D713" s="1165"/>
      <c r="E713" s="1166"/>
      <c r="F713" s="525">
        <v>6</v>
      </c>
      <c r="G713" s="525">
        <v>2.1</v>
      </c>
      <c r="H713" s="525">
        <v>0.9</v>
      </c>
      <c r="I713" s="525"/>
      <c r="J713" s="525"/>
      <c r="K713" s="689">
        <f t="shared" si="4"/>
        <v>11.340000000000002</v>
      </c>
      <c r="L713" s="1169"/>
    </row>
    <row r="714" spans="2:12">
      <c r="B714" s="692"/>
      <c r="C714" s="1164" t="s">
        <v>210</v>
      </c>
      <c r="D714" s="1165"/>
      <c r="E714" s="1166"/>
      <c r="F714" s="525">
        <v>11</v>
      </c>
      <c r="G714" s="525">
        <v>2.1</v>
      </c>
      <c r="H714" s="525">
        <v>0.7</v>
      </c>
      <c r="I714" s="525"/>
      <c r="J714" s="525"/>
      <c r="K714" s="689">
        <f t="shared" si="4"/>
        <v>16.169999999999998</v>
      </c>
      <c r="L714" s="1169"/>
    </row>
    <row r="715" spans="2:12">
      <c r="B715" s="692"/>
      <c r="C715" s="1164" t="s">
        <v>1238</v>
      </c>
      <c r="D715" s="1165"/>
      <c r="E715" s="1166"/>
      <c r="F715" s="525">
        <v>41</v>
      </c>
      <c r="G715" s="525">
        <v>1</v>
      </c>
      <c r="H715" s="525">
        <v>1.1000000000000001</v>
      </c>
      <c r="I715" s="525"/>
      <c r="J715" s="525"/>
      <c r="K715" s="689">
        <f t="shared" si="4"/>
        <v>45.1</v>
      </c>
      <c r="L715" s="1169"/>
    </row>
    <row r="716" spans="2:12">
      <c r="B716" s="692"/>
      <c r="C716" s="1164" t="s">
        <v>1238</v>
      </c>
      <c r="D716" s="1165"/>
      <c r="E716" s="1166"/>
      <c r="F716" s="525">
        <v>2</v>
      </c>
      <c r="G716" s="525">
        <v>0.5</v>
      </c>
      <c r="H716" s="525">
        <v>0.6</v>
      </c>
      <c r="I716" s="525"/>
      <c r="J716" s="525"/>
      <c r="K716" s="689">
        <f t="shared" si="4"/>
        <v>0.6</v>
      </c>
      <c r="L716" s="1169"/>
    </row>
    <row r="717" spans="2:12">
      <c r="B717" s="692"/>
      <c r="C717" s="1164" t="s">
        <v>338</v>
      </c>
      <c r="D717" s="1165"/>
      <c r="E717" s="1166"/>
      <c r="F717" s="525">
        <v>2</v>
      </c>
      <c r="G717" s="525">
        <v>1.5</v>
      </c>
      <c r="H717" s="525">
        <v>6</v>
      </c>
      <c r="I717" s="525">
        <v>8.65</v>
      </c>
      <c r="J717" s="525">
        <v>0.96</v>
      </c>
      <c r="K717" s="689">
        <f>((H717+I717)*2)*G717</f>
        <v>43.95</v>
      </c>
      <c r="L717" s="1169"/>
    </row>
    <row r="718" spans="2:12">
      <c r="B718" s="692"/>
      <c r="C718" s="1164" t="s">
        <v>461</v>
      </c>
      <c r="D718" s="1165"/>
      <c r="E718" s="1166"/>
      <c r="F718" s="525">
        <v>2</v>
      </c>
      <c r="G718" s="525">
        <v>1.5</v>
      </c>
      <c r="H718" s="525">
        <v>6</v>
      </c>
      <c r="I718" s="525">
        <v>3.85</v>
      </c>
      <c r="J718" s="525">
        <v>0</v>
      </c>
      <c r="K718" s="689">
        <f t="shared" ref="K718:K725" si="5">((H718+I718)*2)*G718</f>
        <v>29.549999999999997</v>
      </c>
      <c r="L718" s="1169"/>
    </row>
    <row r="719" spans="2:12">
      <c r="B719" s="692"/>
      <c r="C719" s="1164" t="s">
        <v>496</v>
      </c>
      <c r="D719" s="1165"/>
      <c r="E719" s="1166"/>
      <c r="F719" s="525">
        <v>2</v>
      </c>
      <c r="G719" s="525">
        <v>1.5</v>
      </c>
      <c r="H719" s="525">
        <v>6</v>
      </c>
      <c r="I719" s="525">
        <v>2.6</v>
      </c>
      <c r="J719" s="525">
        <v>0.96</v>
      </c>
      <c r="K719" s="689">
        <f t="shared" si="5"/>
        <v>25.799999999999997</v>
      </c>
      <c r="L719" s="1169"/>
    </row>
    <row r="720" spans="2:12">
      <c r="B720" s="692"/>
      <c r="C720" s="1164" t="s">
        <v>498</v>
      </c>
      <c r="D720" s="1165"/>
      <c r="E720" s="1166"/>
      <c r="F720" s="525">
        <v>2</v>
      </c>
      <c r="G720" s="525">
        <v>1.5</v>
      </c>
      <c r="H720" s="525">
        <v>6</v>
      </c>
      <c r="I720" s="525">
        <v>3.85</v>
      </c>
      <c r="J720" s="525">
        <v>0</v>
      </c>
      <c r="K720" s="689">
        <f t="shared" si="5"/>
        <v>29.549999999999997</v>
      </c>
      <c r="L720" s="1169"/>
    </row>
    <row r="721" spans="2:12">
      <c r="B721" s="692"/>
      <c r="C721" s="1164" t="s">
        <v>499</v>
      </c>
      <c r="D721" s="1165"/>
      <c r="E721" s="1166"/>
      <c r="F721" s="525">
        <v>2</v>
      </c>
      <c r="G721" s="525">
        <v>1.5</v>
      </c>
      <c r="H721" s="525">
        <v>6</v>
      </c>
      <c r="I721" s="525">
        <v>8.65</v>
      </c>
      <c r="J721" s="525">
        <v>0.96</v>
      </c>
      <c r="K721" s="689">
        <f t="shared" si="5"/>
        <v>43.95</v>
      </c>
      <c r="L721" s="1169"/>
    </row>
    <row r="722" spans="2:12">
      <c r="B722" s="692"/>
      <c r="C722" s="1164" t="s">
        <v>465</v>
      </c>
      <c r="D722" s="1165"/>
      <c r="E722" s="1166"/>
      <c r="F722" s="525">
        <v>2</v>
      </c>
      <c r="G722" s="525">
        <v>1.5</v>
      </c>
      <c r="H722" s="525">
        <v>6</v>
      </c>
      <c r="I722" s="525">
        <v>8.65</v>
      </c>
      <c r="J722" s="525">
        <v>0</v>
      </c>
      <c r="K722" s="689">
        <f t="shared" si="5"/>
        <v>43.95</v>
      </c>
      <c r="L722" s="1169"/>
    </row>
    <row r="723" spans="2:12">
      <c r="B723" s="692"/>
      <c r="C723" s="1164" t="s">
        <v>500</v>
      </c>
      <c r="D723" s="1165"/>
      <c r="E723" s="1166"/>
      <c r="F723" s="525">
        <v>2</v>
      </c>
      <c r="G723" s="525">
        <v>1.5</v>
      </c>
      <c r="H723" s="525">
        <v>6</v>
      </c>
      <c r="I723" s="525">
        <v>8.0500000000000007</v>
      </c>
      <c r="J723" s="525">
        <v>0.96</v>
      </c>
      <c r="K723" s="689">
        <f t="shared" si="5"/>
        <v>42.150000000000006</v>
      </c>
      <c r="L723" s="1169"/>
    </row>
    <row r="724" spans="2:12">
      <c r="B724" s="692"/>
      <c r="C724" s="1164" t="s">
        <v>1217</v>
      </c>
      <c r="D724" s="1165"/>
      <c r="E724" s="1166"/>
      <c r="F724" s="525">
        <v>2</v>
      </c>
      <c r="G724" s="525">
        <v>1.5</v>
      </c>
      <c r="H724" s="525">
        <v>3</v>
      </c>
      <c r="I724" s="525">
        <v>4.0999999999999996</v>
      </c>
      <c r="J724" s="525">
        <v>0</v>
      </c>
      <c r="K724" s="689">
        <f t="shared" si="5"/>
        <v>21.299999999999997</v>
      </c>
      <c r="L724" s="1169"/>
    </row>
    <row r="725" spans="2:12">
      <c r="B725" s="692"/>
      <c r="C725" s="1164" t="s">
        <v>1217</v>
      </c>
      <c r="D725" s="1165"/>
      <c r="E725" s="1166"/>
      <c r="F725" s="525">
        <v>6</v>
      </c>
      <c r="G725" s="525">
        <v>1.5</v>
      </c>
      <c r="H725" s="525">
        <v>1.65</v>
      </c>
      <c r="I725" s="525">
        <v>3</v>
      </c>
      <c r="J725" s="525">
        <v>0.96</v>
      </c>
      <c r="K725" s="689">
        <f t="shared" si="5"/>
        <v>13.950000000000001</v>
      </c>
      <c r="L725" s="1169"/>
    </row>
    <row r="726" spans="2:12">
      <c r="B726" s="692"/>
      <c r="C726" s="1164" t="s">
        <v>1218</v>
      </c>
      <c r="D726" s="1165"/>
      <c r="E726" s="1166"/>
      <c r="F726" s="525">
        <v>2</v>
      </c>
      <c r="G726" s="525">
        <v>1.5</v>
      </c>
      <c r="H726" s="525">
        <v>3</v>
      </c>
      <c r="I726" s="525">
        <v>4.0999999999999996</v>
      </c>
      <c r="J726" s="525">
        <v>0</v>
      </c>
      <c r="K726" s="689">
        <f>((H726+I726)*2)*G726</f>
        <v>21.299999999999997</v>
      </c>
      <c r="L726" s="1169"/>
    </row>
    <row r="727" spans="2:12">
      <c r="B727" s="692"/>
      <c r="C727" s="1164" t="s">
        <v>1219</v>
      </c>
      <c r="D727" s="1165"/>
      <c r="E727" s="1166"/>
      <c r="F727" s="525">
        <v>6</v>
      </c>
      <c r="G727" s="525">
        <v>1.5</v>
      </c>
      <c r="H727" s="525">
        <v>1.65</v>
      </c>
      <c r="I727" s="525">
        <v>3</v>
      </c>
      <c r="J727" s="525">
        <v>0.96</v>
      </c>
      <c r="K727" s="689">
        <f>((H727+I727)*2)*G727</f>
        <v>13.950000000000001</v>
      </c>
      <c r="L727" s="1169"/>
    </row>
    <row r="728" spans="2:12">
      <c r="B728" s="692"/>
      <c r="C728" s="1164" t="s">
        <v>1220</v>
      </c>
      <c r="D728" s="1165"/>
      <c r="E728" s="1166"/>
      <c r="F728" s="525">
        <v>2</v>
      </c>
      <c r="G728" s="525">
        <v>1.5</v>
      </c>
      <c r="H728" s="525">
        <v>1</v>
      </c>
      <c r="I728" s="525">
        <v>6.7</v>
      </c>
      <c r="J728" s="525">
        <v>0</v>
      </c>
      <c r="K728" s="689">
        <f t="shared" ref="K728:K741" si="6">((H728+I728)*2)*G728</f>
        <v>23.1</v>
      </c>
      <c r="L728" s="1169"/>
    </row>
    <row r="729" spans="2:12">
      <c r="B729" s="692"/>
      <c r="C729" s="1164" t="s">
        <v>1221</v>
      </c>
      <c r="D729" s="1165"/>
      <c r="E729" s="1166"/>
      <c r="F729" s="525">
        <v>1</v>
      </c>
      <c r="G729" s="525">
        <v>1.5</v>
      </c>
      <c r="H729" s="525">
        <v>1</v>
      </c>
      <c r="I729" s="525">
        <v>24.4</v>
      </c>
      <c r="J729" s="525">
        <v>0</v>
      </c>
      <c r="K729" s="689">
        <f t="shared" si="6"/>
        <v>76.199999999999989</v>
      </c>
      <c r="L729" s="1169"/>
    </row>
    <row r="730" spans="2:12">
      <c r="B730" s="692"/>
      <c r="C730" s="1164" t="s">
        <v>1222</v>
      </c>
      <c r="D730" s="1165"/>
      <c r="E730" s="1166"/>
      <c r="F730" s="525">
        <v>1</v>
      </c>
      <c r="G730" s="525">
        <v>1.5</v>
      </c>
      <c r="H730" s="525">
        <v>1</v>
      </c>
      <c r="I730" s="525">
        <v>25.8</v>
      </c>
      <c r="J730" s="525">
        <v>0</v>
      </c>
      <c r="K730" s="689">
        <f t="shared" si="6"/>
        <v>80.400000000000006</v>
      </c>
      <c r="L730" s="1169"/>
    </row>
    <row r="731" spans="2:12">
      <c r="B731" s="692"/>
      <c r="C731" s="1164" t="s">
        <v>863</v>
      </c>
      <c r="D731" s="1165"/>
      <c r="E731" s="1166"/>
      <c r="F731" s="525">
        <v>2</v>
      </c>
      <c r="G731" s="525">
        <v>1.5</v>
      </c>
      <c r="H731" s="525">
        <v>1</v>
      </c>
      <c r="I731" s="525">
        <v>18.100000000000001</v>
      </c>
      <c r="J731" s="525">
        <v>0</v>
      </c>
      <c r="K731" s="689">
        <f t="shared" si="6"/>
        <v>57.300000000000004</v>
      </c>
      <c r="L731" s="1169"/>
    </row>
    <row r="732" spans="2:12">
      <c r="B732" s="692"/>
      <c r="C732" s="1164" t="s">
        <v>1223</v>
      </c>
      <c r="D732" s="1165"/>
      <c r="E732" s="1166"/>
      <c r="F732" s="525">
        <v>12</v>
      </c>
      <c r="G732" s="525">
        <v>1.5</v>
      </c>
      <c r="H732" s="525">
        <v>1</v>
      </c>
      <c r="I732" s="525">
        <v>2.4500000000000002</v>
      </c>
      <c r="J732" s="525">
        <v>0</v>
      </c>
      <c r="K732" s="689">
        <f t="shared" si="6"/>
        <v>10.350000000000001</v>
      </c>
      <c r="L732" s="1169"/>
    </row>
    <row r="733" spans="2:12">
      <c r="B733" s="692"/>
      <c r="C733" s="1164" t="s">
        <v>236</v>
      </c>
      <c r="D733" s="1165"/>
      <c r="E733" s="1166"/>
      <c r="F733" s="525">
        <v>2</v>
      </c>
      <c r="G733" s="525">
        <v>1.5</v>
      </c>
      <c r="H733" s="525">
        <v>4.8</v>
      </c>
      <c r="I733" s="525">
        <v>3</v>
      </c>
      <c r="J733" s="525">
        <v>0.96</v>
      </c>
      <c r="K733" s="689">
        <f t="shared" si="6"/>
        <v>23.4</v>
      </c>
      <c r="L733" s="1169"/>
    </row>
    <row r="734" spans="2:12">
      <c r="B734" s="692"/>
      <c r="C734" s="1164" t="s">
        <v>1224</v>
      </c>
      <c r="D734" s="1165"/>
      <c r="E734" s="1166"/>
      <c r="F734" s="525">
        <v>2</v>
      </c>
      <c r="G734" s="525">
        <v>1.5</v>
      </c>
      <c r="H734" s="525">
        <v>4.8</v>
      </c>
      <c r="I734" s="525">
        <v>3</v>
      </c>
      <c r="J734" s="525">
        <v>0</v>
      </c>
      <c r="K734" s="689">
        <f t="shared" si="6"/>
        <v>23.4</v>
      </c>
      <c r="L734" s="1169"/>
    </row>
    <row r="735" spans="2:12">
      <c r="B735" s="692"/>
      <c r="C735" s="1164" t="s">
        <v>1225</v>
      </c>
      <c r="D735" s="1165"/>
      <c r="E735" s="1166"/>
      <c r="F735" s="525">
        <v>8</v>
      </c>
      <c r="G735" s="525">
        <v>1.5</v>
      </c>
      <c r="H735" s="525">
        <v>1</v>
      </c>
      <c r="I735" s="525">
        <v>3</v>
      </c>
      <c r="J735" s="525">
        <v>0</v>
      </c>
      <c r="K735" s="689">
        <f t="shared" si="6"/>
        <v>12</v>
      </c>
      <c r="L735" s="1169"/>
    </row>
    <row r="736" spans="2:12">
      <c r="B736" s="692"/>
      <c r="C736" s="1164" t="s">
        <v>240</v>
      </c>
      <c r="D736" s="1165"/>
      <c r="E736" s="1166"/>
      <c r="F736" s="525">
        <v>2</v>
      </c>
      <c r="G736" s="525">
        <v>1.5</v>
      </c>
      <c r="H736" s="525">
        <v>4.8</v>
      </c>
      <c r="I736" s="525">
        <v>4.2</v>
      </c>
      <c r="J736" s="525">
        <v>0</v>
      </c>
      <c r="K736" s="689">
        <f t="shared" si="6"/>
        <v>27</v>
      </c>
      <c r="L736" s="1169"/>
    </row>
    <row r="737" spans="2:12">
      <c r="B737" s="692"/>
      <c r="C737" s="1164" t="s">
        <v>97</v>
      </c>
      <c r="D737" s="1165"/>
      <c r="E737" s="1166"/>
      <c r="F737" s="525">
        <v>2</v>
      </c>
      <c r="G737" s="525">
        <v>1.5</v>
      </c>
      <c r="H737" s="525">
        <v>4.8</v>
      </c>
      <c r="I737" s="525">
        <v>3</v>
      </c>
      <c r="J737" s="525">
        <v>0</v>
      </c>
      <c r="K737" s="689">
        <f t="shared" si="6"/>
        <v>23.4</v>
      </c>
      <c r="L737" s="1169"/>
    </row>
    <row r="738" spans="2:12">
      <c r="B738" s="692"/>
      <c r="C738" s="1164" t="s">
        <v>1226</v>
      </c>
      <c r="D738" s="1165"/>
      <c r="E738" s="1166"/>
      <c r="F738" s="525">
        <v>2</v>
      </c>
      <c r="G738" s="525">
        <v>1.5</v>
      </c>
      <c r="H738" s="525">
        <v>2.85</v>
      </c>
      <c r="I738" s="525">
        <v>3.8</v>
      </c>
      <c r="J738" s="525">
        <v>0</v>
      </c>
      <c r="K738" s="689">
        <f t="shared" si="6"/>
        <v>19.950000000000003</v>
      </c>
      <c r="L738" s="1169"/>
    </row>
    <row r="739" spans="2:12">
      <c r="B739" s="692"/>
      <c r="C739" s="1164" t="s">
        <v>1227</v>
      </c>
      <c r="D739" s="1165"/>
      <c r="E739" s="1166"/>
      <c r="F739" s="525">
        <v>2</v>
      </c>
      <c r="G739" s="525">
        <v>1.5</v>
      </c>
      <c r="H739" s="525">
        <v>2.8</v>
      </c>
      <c r="I739" s="525">
        <v>5.9</v>
      </c>
      <c r="J739" s="525">
        <v>0</v>
      </c>
      <c r="K739" s="689">
        <f t="shared" si="6"/>
        <v>26.099999999999998</v>
      </c>
      <c r="L739" s="1169"/>
    </row>
    <row r="740" spans="2:12">
      <c r="B740" s="692"/>
      <c r="C740" s="1164" t="s">
        <v>1228</v>
      </c>
      <c r="D740" s="1165"/>
      <c r="E740" s="1166"/>
      <c r="F740" s="525">
        <v>2</v>
      </c>
      <c r="G740" s="525">
        <v>1.5</v>
      </c>
      <c r="H740" s="525">
        <v>2</v>
      </c>
      <c r="I740" s="525">
        <v>2.85</v>
      </c>
      <c r="J740" s="525">
        <v>0</v>
      </c>
      <c r="K740" s="689">
        <f t="shared" si="6"/>
        <v>14.549999999999999</v>
      </c>
      <c r="L740" s="1169"/>
    </row>
    <row r="741" spans="2:12">
      <c r="B741" s="692"/>
      <c r="C741" s="1164" t="s">
        <v>1229</v>
      </c>
      <c r="D741" s="1165"/>
      <c r="E741" s="1166"/>
      <c r="F741" s="525">
        <v>1</v>
      </c>
      <c r="G741" s="525">
        <v>1.5</v>
      </c>
      <c r="H741" s="525">
        <v>14.2</v>
      </c>
      <c r="I741" s="525">
        <v>1</v>
      </c>
      <c r="J741" s="525">
        <v>0</v>
      </c>
      <c r="K741" s="689">
        <f t="shared" si="6"/>
        <v>45.599999999999994</v>
      </c>
      <c r="L741" s="1169"/>
    </row>
    <row r="742" spans="2:12">
      <c r="B742" s="692"/>
      <c r="C742" s="1164" t="s">
        <v>1249</v>
      </c>
      <c r="D742" s="1165"/>
      <c r="E742" s="1166"/>
      <c r="F742" s="525">
        <v>2</v>
      </c>
      <c r="G742" s="525">
        <v>1.5</v>
      </c>
      <c r="H742" s="525">
        <v>6.4</v>
      </c>
      <c r="I742" s="525">
        <v>4.8499999999999996</v>
      </c>
      <c r="J742" s="525"/>
      <c r="K742" s="768">
        <f>((H742+I742)*F742)*G742</f>
        <v>33.75</v>
      </c>
      <c r="L742" s="1169"/>
    </row>
    <row r="743" spans="2:12">
      <c r="B743" s="692"/>
      <c r="C743" s="1164" t="s">
        <v>1250</v>
      </c>
      <c r="D743" s="1165"/>
      <c r="E743" s="1166"/>
      <c r="F743" s="525">
        <v>2</v>
      </c>
      <c r="G743" s="525">
        <v>1.5</v>
      </c>
      <c r="H743" s="525">
        <v>6.4</v>
      </c>
      <c r="I743" s="525">
        <v>4</v>
      </c>
      <c r="J743" s="525"/>
      <c r="K743" s="768">
        <f>((H743+I743)*F743)*G743</f>
        <v>31.200000000000003</v>
      </c>
      <c r="L743" s="1169"/>
    </row>
    <row r="744" spans="2:12">
      <c r="B744" s="692"/>
      <c r="C744" s="1164" t="s">
        <v>1251</v>
      </c>
      <c r="D744" s="1165"/>
      <c r="E744" s="1166"/>
      <c r="F744" s="525">
        <v>2</v>
      </c>
      <c r="G744" s="525">
        <v>1.5</v>
      </c>
      <c r="H744" s="525">
        <v>6.4</v>
      </c>
      <c r="I744" s="525">
        <v>4</v>
      </c>
      <c r="J744" s="525"/>
      <c r="K744" s="768">
        <f>((H744+I744)*F744)*G744</f>
        <v>31.200000000000003</v>
      </c>
      <c r="L744" s="1169"/>
    </row>
    <row r="745" spans="2:12">
      <c r="B745" s="692"/>
      <c r="C745" s="1164" t="s">
        <v>1252</v>
      </c>
      <c r="D745" s="1165"/>
      <c r="E745" s="1166"/>
      <c r="F745" s="525">
        <v>2</v>
      </c>
      <c r="G745" s="525">
        <v>1.5</v>
      </c>
      <c r="H745" s="525">
        <v>6.4</v>
      </c>
      <c r="I745" s="525">
        <v>2</v>
      </c>
      <c r="J745" s="525"/>
      <c r="K745" s="768">
        <f>((H745+I745)*F745)*G745</f>
        <v>25.200000000000003</v>
      </c>
      <c r="L745" s="1169"/>
    </row>
    <row r="746" spans="2:12">
      <c r="B746" s="692"/>
      <c r="C746" s="1164" t="s">
        <v>1252</v>
      </c>
      <c r="D746" s="1165"/>
      <c r="E746" s="1166"/>
      <c r="F746" s="525">
        <v>8</v>
      </c>
      <c r="G746" s="525">
        <v>1.5</v>
      </c>
      <c r="H746" s="525"/>
      <c r="I746" s="525">
        <v>1.3</v>
      </c>
      <c r="J746" s="525"/>
      <c r="K746" s="768">
        <f>I746*G746*F746</f>
        <v>15.600000000000001</v>
      </c>
      <c r="L746" s="1169"/>
    </row>
    <row r="747" spans="2:12">
      <c r="B747" s="692"/>
      <c r="C747" s="1164" t="s">
        <v>1253</v>
      </c>
      <c r="D747" s="1165"/>
      <c r="E747" s="1166"/>
      <c r="F747" s="525">
        <v>2</v>
      </c>
      <c r="G747" s="525">
        <v>1.5</v>
      </c>
      <c r="H747" s="525">
        <v>6.4</v>
      </c>
      <c r="I747" s="525">
        <v>2</v>
      </c>
      <c r="J747" s="525"/>
      <c r="K747" s="768">
        <f>((H747+I747)*F747)*G747</f>
        <v>25.200000000000003</v>
      </c>
      <c r="L747" s="1169"/>
    </row>
    <row r="748" spans="2:12">
      <c r="B748" s="692"/>
      <c r="C748" s="1164" t="s">
        <v>1253</v>
      </c>
      <c r="D748" s="1165"/>
      <c r="E748" s="1166"/>
      <c r="F748" s="525">
        <v>8</v>
      </c>
      <c r="G748" s="525">
        <v>1.5</v>
      </c>
      <c r="H748" s="525"/>
      <c r="I748" s="525">
        <v>1.3</v>
      </c>
      <c r="J748" s="525"/>
      <c r="K748" s="768">
        <f>I748*G748*F748</f>
        <v>15.600000000000001</v>
      </c>
      <c r="L748" s="1169"/>
    </row>
    <row r="749" spans="2:12">
      <c r="B749" s="692"/>
      <c r="C749" s="1164" t="s">
        <v>1254</v>
      </c>
      <c r="D749" s="1165"/>
      <c r="E749" s="1166"/>
      <c r="F749" s="525">
        <v>2</v>
      </c>
      <c r="G749" s="525">
        <v>1.5</v>
      </c>
      <c r="H749" s="525"/>
      <c r="I749" s="525">
        <v>23.8</v>
      </c>
      <c r="J749" s="525"/>
      <c r="K749" s="768">
        <f>I749*G749*F749</f>
        <v>71.400000000000006</v>
      </c>
      <c r="L749" s="1169"/>
    </row>
    <row r="750" spans="2:12">
      <c r="B750" s="692"/>
      <c r="C750" s="1164" t="s">
        <v>210</v>
      </c>
      <c r="D750" s="1165"/>
      <c r="E750" s="1166"/>
      <c r="F750" s="525">
        <v>5</v>
      </c>
      <c r="G750" s="525">
        <v>2.1</v>
      </c>
      <c r="H750" s="525">
        <v>0.9</v>
      </c>
      <c r="I750" s="525">
        <v>1</v>
      </c>
      <c r="J750" s="525"/>
      <c r="K750" s="768">
        <f>((H750+I750)*F750)*G750</f>
        <v>19.95</v>
      </c>
      <c r="L750" s="1169"/>
    </row>
    <row r="751" spans="2:12">
      <c r="B751" s="692"/>
      <c r="C751" s="1164" t="s">
        <v>210</v>
      </c>
      <c r="D751" s="1165"/>
      <c r="E751" s="1166"/>
      <c r="F751" s="525">
        <v>3</v>
      </c>
      <c r="G751" s="525">
        <v>2.1</v>
      </c>
      <c r="H751" s="525">
        <v>0.6</v>
      </c>
      <c r="I751" s="525">
        <v>1</v>
      </c>
      <c r="J751" s="525"/>
      <c r="K751" s="768">
        <f>((H751+I751)*F751)*G751</f>
        <v>10.080000000000002</v>
      </c>
      <c r="L751" s="1169"/>
    </row>
    <row r="752" spans="2:12">
      <c r="B752" s="692"/>
      <c r="C752" s="1164" t="s">
        <v>1238</v>
      </c>
      <c r="D752" s="1165"/>
      <c r="E752" s="1166"/>
      <c r="F752" s="525">
        <v>2</v>
      </c>
      <c r="G752" s="525">
        <v>1</v>
      </c>
      <c r="H752" s="525">
        <v>1.65</v>
      </c>
      <c r="I752" s="525">
        <v>1</v>
      </c>
      <c r="J752" s="525"/>
      <c r="K752" s="768">
        <f>((H752+I752)*F752)*G752</f>
        <v>5.3</v>
      </c>
      <c r="L752" s="1169"/>
    </row>
    <row r="753" spans="2:12">
      <c r="B753" s="692"/>
      <c r="C753" s="1164" t="s">
        <v>1256</v>
      </c>
      <c r="D753" s="1165"/>
      <c r="E753" s="1166"/>
      <c r="F753" s="525">
        <v>2</v>
      </c>
      <c r="G753" s="525">
        <v>1.5</v>
      </c>
      <c r="H753" s="525"/>
      <c r="I753" s="525">
        <v>52</v>
      </c>
      <c r="J753" s="525"/>
      <c r="K753" s="768">
        <f>((H753+I753)*F753)*G753</f>
        <v>156</v>
      </c>
      <c r="L753" s="1169"/>
    </row>
    <row r="754" spans="2:12">
      <c r="B754" s="692"/>
      <c r="C754" s="689"/>
      <c r="D754" s="690"/>
      <c r="E754" s="690"/>
      <c r="F754" s="531"/>
      <c r="G754" s="531"/>
      <c r="H754" s="531"/>
      <c r="I754" s="531"/>
      <c r="J754" s="532"/>
      <c r="K754" s="689"/>
      <c r="L754" s="1169"/>
    </row>
    <row r="755" spans="2:12">
      <c r="B755" s="692"/>
      <c r="C755" s="1170" t="s">
        <v>116</v>
      </c>
      <c r="D755" s="1171"/>
      <c r="E755" s="1171"/>
      <c r="F755" s="1171"/>
      <c r="G755" s="1171"/>
      <c r="H755" s="1171"/>
      <c r="I755" s="1171"/>
      <c r="J755" s="1172"/>
      <c r="K755" s="524">
        <f>SUM(K708:K753)</f>
        <v>1561.5149999999996</v>
      </c>
      <c r="L755" s="1169"/>
    </row>
    <row r="756" spans="2:12">
      <c r="B756" s="692"/>
      <c r="C756" s="533"/>
      <c r="D756" s="533"/>
      <c r="E756" s="533"/>
      <c r="F756" s="533"/>
      <c r="G756" s="533"/>
      <c r="H756" s="533"/>
      <c r="I756" s="533"/>
      <c r="J756" s="533"/>
      <c r="K756" s="534"/>
      <c r="L756" s="529"/>
    </row>
    <row r="757" spans="2:12">
      <c r="B757" s="692" t="s">
        <v>197</v>
      </c>
      <c r="C757" s="1242" t="s">
        <v>53</v>
      </c>
      <c r="D757" s="1242"/>
      <c r="E757" s="1242"/>
      <c r="F757" s="1242"/>
      <c r="G757" s="1242"/>
      <c r="H757" s="1242"/>
      <c r="I757" s="1242"/>
      <c r="J757" s="1242"/>
      <c r="K757" s="520"/>
      <c r="L757" s="520"/>
    </row>
    <row r="758" spans="2:12" ht="28.5" customHeight="1">
      <c r="B758" s="692" t="s">
        <v>45</v>
      </c>
      <c r="C758" s="1157" t="s">
        <v>86</v>
      </c>
      <c r="D758" s="1158"/>
      <c r="E758" s="1158"/>
      <c r="F758" s="1158"/>
      <c r="G758" s="1158"/>
      <c r="H758" s="1158"/>
      <c r="I758" s="1158"/>
      <c r="J758" s="1159"/>
      <c r="K758" s="521" t="s">
        <v>21</v>
      </c>
      <c r="L758" s="522">
        <v>26</v>
      </c>
    </row>
    <row r="759" spans="2:12">
      <c r="B759" s="692"/>
      <c r="C759" s="1160" t="s">
        <v>20</v>
      </c>
      <c r="D759" s="1160"/>
      <c r="E759" s="1160"/>
      <c r="F759" s="523" t="s">
        <v>22</v>
      </c>
      <c r="G759" s="688" t="s">
        <v>111</v>
      </c>
      <c r="H759" s="523" t="s">
        <v>112</v>
      </c>
      <c r="I759" s="688" t="s">
        <v>113</v>
      </c>
      <c r="J759" s="688" t="s">
        <v>114</v>
      </c>
      <c r="K759" s="524" t="s">
        <v>25</v>
      </c>
      <c r="L759" s="1169" t="s">
        <v>21</v>
      </c>
    </row>
    <row r="760" spans="2:12">
      <c r="B760" s="692"/>
      <c r="C760" s="1164" t="s">
        <v>1239</v>
      </c>
      <c r="D760" s="1165"/>
      <c r="E760" s="1166"/>
      <c r="F760" s="525">
        <v>26</v>
      </c>
      <c r="G760" s="525">
        <v>1</v>
      </c>
      <c r="H760" s="525">
        <v>1</v>
      </c>
      <c r="I760" s="525">
        <v>1</v>
      </c>
      <c r="J760" s="525">
        <v>0</v>
      </c>
      <c r="K760" s="535">
        <f>(G760*H760*I760*F760)-J760</f>
        <v>26</v>
      </c>
      <c r="L760" s="1169"/>
    </row>
    <row r="761" spans="2:12">
      <c r="B761" s="692"/>
      <c r="C761" s="1167" t="s">
        <v>116</v>
      </c>
      <c r="D761" s="1167"/>
      <c r="E761" s="1167"/>
      <c r="F761" s="1167"/>
      <c r="G761" s="1167"/>
      <c r="H761" s="1167"/>
      <c r="I761" s="1167"/>
      <c r="J761" s="1167"/>
      <c r="K761" s="524">
        <f>K760</f>
        <v>26</v>
      </c>
      <c r="L761" s="1169"/>
    </row>
    <row r="762" spans="2:12">
      <c r="B762" s="529"/>
      <c r="C762" s="529"/>
      <c r="D762" s="529"/>
      <c r="E762" s="529"/>
      <c r="F762" s="529"/>
      <c r="G762" s="529"/>
      <c r="H762" s="529"/>
      <c r="I762" s="529"/>
      <c r="J762" s="529"/>
      <c r="K762" s="529"/>
      <c r="L762" s="529"/>
    </row>
    <row r="763" spans="2:12">
      <c r="B763" s="692" t="s">
        <v>199</v>
      </c>
      <c r="C763" s="1242" t="s">
        <v>1240</v>
      </c>
      <c r="D763" s="1242"/>
      <c r="E763" s="1242"/>
      <c r="F763" s="1242"/>
      <c r="G763" s="1242"/>
      <c r="H763" s="1242"/>
      <c r="I763" s="1242"/>
      <c r="J763" s="1242"/>
      <c r="K763" s="520"/>
      <c r="L763" s="520"/>
    </row>
    <row r="764" spans="2:12" ht="16.5" customHeight="1">
      <c r="B764" s="692" t="s">
        <v>54</v>
      </c>
      <c r="C764" s="1157" t="str">
        <f>'[8]ESC. JULIO MARIA'!C33</f>
        <v>FORRO EM PLACAS DE GESSO, PARA AMBIENTES RESIDENCIAIS. AF_05/2017_P</v>
      </c>
      <c r="D764" s="1158"/>
      <c r="E764" s="1158"/>
      <c r="F764" s="1158"/>
      <c r="G764" s="1158"/>
      <c r="H764" s="1158"/>
      <c r="I764" s="1158"/>
      <c r="J764" s="1159"/>
      <c r="K764" s="521" t="s">
        <v>7</v>
      </c>
      <c r="L764" s="522">
        <f>K767</f>
        <v>124.84</v>
      </c>
    </row>
    <row r="765" spans="2:12" ht="26.25" customHeight="1">
      <c r="B765" s="692"/>
      <c r="C765" s="1160" t="s">
        <v>20</v>
      </c>
      <c r="D765" s="1160"/>
      <c r="E765" s="1160"/>
      <c r="F765" s="523" t="s">
        <v>22</v>
      </c>
      <c r="G765" s="688" t="s">
        <v>111</v>
      </c>
      <c r="H765" s="523" t="s">
        <v>112</v>
      </c>
      <c r="I765" s="688" t="s">
        <v>113</v>
      </c>
      <c r="J765" s="688" t="s">
        <v>114</v>
      </c>
      <c r="K765" s="524" t="s">
        <v>25</v>
      </c>
      <c r="L765" s="1169" t="s">
        <v>30</v>
      </c>
    </row>
    <row r="766" spans="2:12">
      <c r="B766" s="692"/>
      <c r="C766" s="1164" t="s">
        <v>1586</v>
      </c>
      <c r="D766" s="1165"/>
      <c r="E766" s="1166"/>
      <c r="F766" s="525">
        <v>1</v>
      </c>
      <c r="G766" s="525">
        <v>1</v>
      </c>
      <c r="H766" s="525">
        <v>5</v>
      </c>
      <c r="I766" s="525">
        <v>24.968</v>
      </c>
      <c r="J766" s="525">
        <v>0</v>
      </c>
      <c r="K766" s="535">
        <f>(G766*H766*I766*F766)-J766</f>
        <v>124.84</v>
      </c>
      <c r="L766" s="1169"/>
    </row>
    <row r="767" spans="2:12">
      <c r="B767" s="692"/>
      <c r="C767" s="1167" t="s">
        <v>116</v>
      </c>
      <c r="D767" s="1167"/>
      <c r="E767" s="1167"/>
      <c r="F767" s="1167"/>
      <c r="G767" s="1167"/>
      <c r="H767" s="1167"/>
      <c r="I767" s="1167"/>
      <c r="J767" s="1167"/>
      <c r="K767" s="524">
        <f>K766</f>
        <v>124.84</v>
      </c>
      <c r="L767" s="1169"/>
    </row>
    <row r="768" spans="2:12">
      <c r="B768" s="692"/>
      <c r="C768" s="533"/>
      <c r="D768" s="533"/>
      <c r="E768" s="533"/>
      <c r="F768" s="533"/>
      <c r="G768" s="533"/>
      <c r="H768" s="533"/>
      <c r="I768" s="533"/>
      <c r="J768" s="533"/>
      <c r="K768" s="534"/>
      <c r="L768" s="529"/>
    </row>
    <row r="769" spans="2:12" ht="14.25" customHeight="1">
      <c r="B769" s="706" t="s">
        <v>158</v>
      </c>
      <c r="C769" s="707" t="s">
        <v>1140</v>
      </c>
      <c r="D769" s="708"/>
      <c r="E769" s="708"/>
      <c r="F769" s="708"/>
      <c r="G769" s="708"/>
      <c r="H769" s="708"/>
      <c r="I769" s="708"/>
      <c r="J769" s="708"/>
      <c r="K769" s="709"/>
      <c r="L769" s="710"/>
    </row>
    <row r="770" spans="2:12" s="867" customFormat="1">
      <c r="B770" s="706" t="s">
        <v>59</v>
      </c>
      <c r="C770" s="707" t="str">
        <f>'[8]ESC. JULIO MARIA'!C36</f>
        <v>MOVIMENTO DE TERRA</v>
      </c>
      <c r="D770" s="708"/>
      <c r="E770" s="708"/>
      <c r="F770" s="708"/>
      <c r="G770" s="708"/>
      <c r="H770" s="708"/>
      <c r="I770" s="708"/>
      <c r="J770" s="708"/>
      <c r="K770" s="709"/>
      <c r="L770" s="710"/>
    </row>
    <row r="771" spans="2:12" s="867" customFormat="1" ht="23.25" customHeight="1">
      <c r="B771" s="881"/>
      <c r="C771" s="881"/>
      <c r="D771" s="881"/>
      <c r="E771" s="881"/>
      <c r="F771" s="881"/>
      <c r="G771" s="881"/>
      <c r="H771" s="881"/>
      <c r="I771" s="881"/>
      <c r="J771" s="881"/>
      <c r="K771" s="881"/>
      <c r="L771" s="881"/>
    </row>
    <row r="772" spans="2:12" s="867" customFormat="1" ht="21.75" customHeight="1">
      <c r="B772" s="881" t="s">
        <v>902</v>
      </c>
      <c r="C772" s="1233" t="str">
        <f>'[8]ESC. JULIO MARIA'!C37</f>
        <v>ATERRO MECANIZADO DE VALA COM ESCAVADEIRA HIDRÁULICA (CAPACIDADE DA CAÇAMBA: 0,8 M³ / POTÊNCIA: 111 HP), LARGURA DE 1,5 A 2,5 M, PROFUNDIDADE DE 1,5 A 3,0 M, COM SOLO ARGILO-ARENOSO. AF_05/2016</v>
      </c>
      <c r="D772" s="1234"/>
      <c r="E772" s="1234"/>
      <c r="F772" s="1234"/>
      <c r="G772" s="1234"/>
      <c r="H772" s="1234"/>
      <c r="I772" s="1234"/>
      <c r="J772" s="1235"/>
      <c r="K772" s="882" t="s">
        <v>15</v>
      </c>
      <c r="L772" s="883">
        <f>K775</f>
        <v>164</v>
      </c>
    </row>
    <row r="773" spans="2:12" s="867" customFormat="1" ht="23.25" customHeight="1">
      <c r="B773" s="881"/>
      <c r="C773" s="1236" t="s">
        <v>20</v>
      </c>
      <c r="D773" s="1236"/>
      <c r="E773" s="1236"/>
      <c r="F773" s="884" t="s">
        <v>22</v>
      </c>
      <c r="G773" s="885" t="s">
        <v>111</v>
      </c>
      <c r="H773" s="884" t="s">
        <v>112</v>
      </c>
      <c r="I773" s="885" t="s">
        <v>113</v>
      </c>
      <c r="J773" s="885" t="s">
        <v>114</v>
      </c>
      <c r="K773" s="886" t="s">
        <v>25</v>
      </c>
      <c r="L773" s="1237" t="s">
        <v>708</v>
      </c>
    </row>
    <row r="774" spans="2:12" s="867" customFormat="1">
      <c r="B774" s="881"/>
      <c r="C774" s="1238" t="s">
        <v>1587</v>
      </c>
      <c r="D774" s="1239"/>
      <c r="E774" s="1240"/>
      <c r="F774" s="887">
        <v>1</v>
      </c>
      <c r="G774" s="887">
        <v>1</v>
      </c>
      <c r="H774" s="887">
        <v>20.5</v>
      </c>
      <c r="I774" s="887">
        <v>8</v>
      </c>
      <c r="J774" s="887">
        <v>0</v>
      </c>
      <c r="K774" s="888">
        <f>(G774*H774*I774*F774)-J774</f>
        <v>164</v>
      </c>
      <c r="L774" s="1237"/>
    </row>
    <row r="775" spans="2:12" s="867" customFormat="1">
      <c r="B775" s="881"/>
      <c r="C775" s="1241" t="s">
        <v>116</v>
      </c>
      <c r="D775" s="1241"/>
      <c r="E775" s="1241"/>
      <c r="F775" s="1241"/>
      <c r="G775" s="1241"/>
      <c r="H775" s="1241"/>
      <c r="I775" s="1241"/>
      <c r="J775" s="1241"/>
      <c r="K775" s="886">
        <f>K774</f>
        <v>164</v>
      </c>
      <c r="L775" s="1237"/>
    </row>
    <row r="776" spans="2:12" s="867" customFormat="1">
      <c r="B776" s="881"/>
      <c r="C776" s="893"/>
      <c r="D776" s="893"/>
      <c r="E776" s="893"/>
      <c r="F776" s="893"/>
      <c r="G776" s="893"/>
      <c r="H776" s="893"/>
      <c r="I776" s="893"/>
      <c r="J776" s="893"/>
      <c r="K776" s="894"/>
      <c r="L776" s="895"/>
    </row>
    <row r="777" spans="2:12" s="867" customFormat="1" ht="21.75" customHeight="1">
      <c r="B777" s="881" t="s">
        <v>1143</v>
      </c>
      <c r="C777" s="1233" t="str">
        <f>'ESC. JULIO MARIA'!C38</f>
        <v>ESCAVAÇÃO MANUAL DE VALA PARA VIGA BALDRAME, COM PREVISÃO DE FÔRMA. AF_06/2017</v>
      </c>
      <c r="D777" s="1234"/>
      <c r="E777" s="1234"/>
      <c r="F777" s="1234"/>
      <c r="G777" s="1234"/>
      <c r="H777" s="1234"/>
      <c r="I777" s="1234"/>
      <c r="J777" s="1235"/>
      <c r="K777" s="882" t="s">
        <v>15</v>
      </c>
      <c r="L777" s="883">
        <f>K780</f>
        <v>8.9</v>
      </c>
    </row>
    <row r="778" spans="2:12" s="867" customFormat="1" ht="23.25" customHeight="1">
      <c r="B778" s="881"/>
      <c r="C778" s="1236" t="s">
        <v>20</v>
      </c>
      <c r="D778" s="1236"/>
      <c r="E778" s="1236"/>
      <c r="F778" s="884" t="s">
        <v>22</v>
      </c>
      <c r="G778" s="885" t="s">
        <v>111</v>
      </c>
      <c r="H778" s="884" t="s">
        <v>112</v>
      </c>
      <c r="I778" s="885" t="s">
        <v>113</v>
      </c>
      <c r="J778" s="885" t="s">
        <v>114</v>
      </c>
      <c r="K778" s="886" t="s">
        <v>25</v>
      </c>
      <c r="L778" s="1237" t="s">
        <v>708</v>
      </c>
    </row>
    <row r="779" spans="2:12" s="867" customFormat="1">
      <c r="B779" s="881"/>
      <c r="C779" s="1238" t="s">
        <v>1066</v>
      </c>
      <c r="D779" s="1239"/>
      <c r="E779" s="1240"/>
      <c r="F779" s="887">
        <v>1</v>
      </c>
      <c r="G779" s="887">
        <v>0.5</v>
      </c>
      <c r="H779" s="887">
        <v>4</v>
      </c>
      <c r="I779" s="887">
        <v>4.45</v>
      </c>
      <c r="J779" s="887">
        <v>0</v>
      </c>
      <c r="K779" s="888">
        <f>(G779*H779*I779*F779)-J779</f>
        <v>8.9</v>
      </c>
      <c r="L779" s="1237"/>
    </row>
    <row r="780" spans="2:12" s="867" customFormat="1">
      <c r="B780" s="881"/>
      <c r="C780" s="1241" t="s">
        <v>116</v>
      </c>
      <c r="D780" s="1241"/>
      <c r="E780" s="1241"/>
      <c r="F780" s="1241"/>
      <c r="G780" s="1241"/>
      <c r="H780" s="1241"/>
      <c r="I780" s="1241"/>
      <c r="J780" s="1241"/>
      <c r="K780" s="886">
        <f>K779</f>
        <v>8.9</v>
      </c>
      <c r="L780" s="1237"/>
    </row>
    <row r="781" spans="2:12" s="867" customFormat="1">
      <c r="B781" s="881"/>
      <c r="C781" s="893"/>
      <c r="D781" s="893"/>
      <c r="E781" s="893"/>
      <c r="F781" s="893"/>
      <c r="G781" s="893"/>
      <c r="H781" s="893"/>
      <c r="I781" s="893"/>
      <c r="J781" s="893"/>
      <c r="K781" s="894"/>
      <c r="L781" s="895"/>
    </row>
    <row r="782" spans="2:12" s="867" customFormat="1">
      <c r="B782" s="889"/>
      <c r="C782" s="889"/>
      <c r="D782" s="889"/>
      <c r="E782" s="889"/>
      <c r="F782" s="889"/>
      <c r="G782" s="889"/>
      <c r="H782" s="889"/>
      <c r="I782" s="889"/>
      <c r="J782" s="889"/>
      <c r="K782" s="889"/>
      <c r="L782" s="889"/>
    </row>
    <row r="783" spans="2:12">
      <c r="B783" s="706" t="s">
        <v>61</v>
      </c>
      <c r="C783" s="707" t="str">
        <f>'[8]ESC. JULIO MARIA'!C39</f>
        <v>FUNDAÇÕES</v>
      </c>
      <c r="D783" s="708"/>
      <c r="E783" s="708"/>
      <c r="F783" s="708"/>
      <c r="G783" s="708"/>
      <c r="H783" s="708"/>
      <c r="I783" s="708"/>
      <c r="J783" s="708"/>
      <c r="K783" s="709"/>
      <c r="L783" s="710"/>
    </row>
    <row r="784" spans="2:12" ht="34.5" customHeight="1">
      <c r="B784" s="869" t="s">
        <v>898</v>
      </c>
      <c r="C784" s="1157" t="str">
        <f>'[8]ESC. JULIO MARIA'!C40</f>
        <v>LASTRO DE CONCRETO MAGRO, APLICADO EM PISOS, LAJES SOBRE SOLO OU RADIERS, ESPESSURA DE 5 CM. AF_07/2016</v>
      </c>
      <c r="D784" s="1158"/>
      <c r="E784" s="1158"/>
      <c r="F784" s="1158"/>
      <c r="G784" s="1158"/>
      <c r="H784" s="1158"/>
      <c r="I784" s="1158"/>
      <c r="J784" s="1159"/>
      <c r="K784" s="521" t="s">
        <v>7</v>
      </c>
      <c r="L784" s="522">
        <f>K787</f>
        <v>22.3</v>
      </c>
    </row>
    <row r="785" spans="2:12" ht="38.25" customHeight="1">
      <c r="B785" s="869"/>
      <c r="C785" s="1173" t="s">
        <v>20</v>
      </c>
      <c r="D785" s="1174"/>
      <c r="E785" s="1175"/>
      <c r="F785" s="523" t="s">
        <v>22</v>
      </c>
      <c r="G785" s="868" t="s">
        <v>111</v>
      </c>
      <c r="H785" s="523" t="s">
        <v>112</v>
      </c>
      <c r="I785" s="868" t="s">
        <v>113</v>
      </c>
      <c r="J785" s="868" t="s">
        <v>114</v>
      </c>
      <c r="K785" s="524" t="s">
        <v>25</v>
      </c>
      <c r="L785" s="1169" t="s">
        <v>30</v>
      </c>
    </row>
    <row r="786" spans="2:12" ht="28.5" customHeight="1">
      <c r="B786" s="692"/>
      <c r="C786" s="1164" t="s">
        <v>1241</v>
      </c>
      <c r="D786" s="1165"/>
      <c r="E786" s="1166"/>
      <c r="F786" s="525">
        <v>1</v>
      </c>
      <c r="G786" s="525"/>
      <c r="H786" s="525">
        <v>0.25</v>
      </c>
      <c r="I786" s="525">
        <v>89.2</v>
      </c>
      <c r="J786" s="525">
        <v>0</v>
      </c>
      <c r="K786" s="535">
        <f>I786*H786</f>
        <v>22.3</v>
      </c>
      <c r="L786" s="1169"/>
    </row>
    <row r="787" spans="2:12">
      <c r="B787" s="692"/>
      <c r="C787" s="1167" t="s">
        <v>116</v>
      </c>
      <c r="D787" s="1167"/>
      <c r="E787" s="1167"/>
      <c r="F787" s="1167"/>
      <c r="G787" s="1167"/>
      <c r="H787" s="1167"/>
      <c r="I787" s="1167"/>
      <c r="J787" s="1167"/>
      <c r="K787" s="524">
        <f>K786</f>
        <v>22.3</v>
      </c>
      <c r="L787" s="1169"/>
    </row>
    <row r="788" spans="2:12">
      <c r="B788" s="692"/>
      <c r="C788" s="533"/>
      <c r="D788" s="533"/>
      <c r="E788" s="533"/>
      <c r="F788" s="533"/>
      <c r="G788" s="533"/>
      <c r="H788" s="533"/>
      <c r="I788" s="533"/>
      <c r="J788" s="533"/>
      <c r="K788" s="534"/>
      <c r="L788" s="529"/>
    </row>
    <row r="789" spans="2:12">
      <c r="B789" s="692" t="s">
        <v>899</v>
      </c>
      <c r="C789" s="1157" t="str">
        <f>'ESC. JULIO MARIA'!C41</f>
        <v>CONCRETO CICLÓPICO FCK = 15MPA, 30% PEDRA DE MÃO EM VOLUME REAL, INCLUSIVE LANÇAMENTO.</v>
      </c>
      <c r="D789" s="1158"/>
      <c r="E789" s="1158"/>
      <c r="F789" s="1158"/>
      <c r="G789" s="1158"/>
      <c r="H789" s="1158"/>
      <c r="I789" s="1158"/>
      <c r="J789" s="1159"/>
      <c r="K789" s="521" t="s">
        <v>15</v>
      </c>
      <c r="L789" s="522">
        <f>K792</f>
        <v>8.92</v>
      </c>
    </row>
    <row r="790" spans="2:12">
      <c r="B790" s="692"/>
      <c r="C790" s="1160" t="s">
        <v>20</v>
      </c>
      <c r="D790" s="1160"/>
      <c r="E790" s="1160"/>
      <c r="F790" s="523" t="s">
        <v>22</v>
      </c>
      <c r="G790" s="688" t="s">
        <v>111</v>
      </c>
      <c r="H790" s="523" t="s">
        <v>112</v>
      </c>
      <c r="I790" s="688" t="s">
        <v>113</v>
      </c>
      <c r="J790" s="688" t="s">
        <v>114</v>
      </c>
      <c r="K790" s="524" t="s">
        <v>25</v>
      </c>
      <c r="L790" s="1169" t="s">
        <v>708</v>
      </c>
    </row>
    <row r="791" spans="2:12" ht="33" customHeight="1">
      <c r="B791" s="692"/>
      <c r="C791" s="1164" t="s">
        <v>760</v>
      </c>
      <c r="D791" s="1165"/>
      <c r="E791" s="1166"/>
      <c r="F791" s="525">
        <v>1</v>
      </c>
      <c r="G791" s="525">
        <v>0.4</v>
      </c>
      <c r="H791" s="525">
        <v>0.25</v>
      </c>
      <c r="I791" s="525">
        <v>89.2</v>
      </c>
      <c r="J791" s="525">
        <v>0</v>
      </c>
      <c r="K791" s="535">
        <f>(G791*H791*I791*F791)-J791</f>
        <v>8.92</v>
      </c>
      <c r="L791" s="1169"/>
    </row>
    <row r="792" spans="2:12">
      <c r="B792" s="692"/>
      <c r="C792" s="1167" t="s">
        <v>116</v>
      </c>
      <c r="D792" s="1167"/>
      <c r="E792" s="1167"/>
      <c r="F792" s="1167"/>
      <c r="G792" s="1167"/>
      <c r="H792" s="1167"/>
      <c r="I792" s="1167"/>
      <c r="J792" s="1167"/>
      <c r="K792" s="524">
        <f>K791</f>
        <v>8.92</v>
      </c>
      <c r="L792" s="1169"/>
    </row>
    <row r="793" spans="2:12">
      <c r="B793" s="692"/>
      <c r="C793" s="533"/>
      <c r="D793" s="533"/>
      <c r="E793" s="533"/>
      <c r="F793" s="533"/>
      <c r="G793" s="533"/>
      <c r="H793" s="533"/>
      <c r="I793" s="533"/>
      <c r="J793" s="533"/>
      <c r="K793" s="534"/>
      <c r="L793" s="529"/>
    </row>
    <row r="794" spans="2:12" ht="38.25" customHeight="1">
      <c r="B794" s="692" t="s">
        <v>900</v>
      </c>
      <c r="C794" s="1157" t="str">
        <f>'[8]ESC. JULIO MARIA'!C42</f>
        <v>ALVENARIA DE VEDAÇÃO DE BLOCOS CERÂMICOS FURADOS NA HORIZONTAL DE 9X19X19CM (ESPESSURA 9CM) DE PAREDES COM ÁREA LÍQUIDA MENOR QUE 6M² SEM VÃOS E ARGAMASSA DE ASSENTAMENTO COM PREPARO MANUAL. AF_06/2014</v>
      </c>
      <c r="D794" s="1158"/>
      <c r="E794" s="1158"/>
      <c r="F794" s="1158"/>
      <c r="G794" s="1158"/>
      <c r="H794" s="1158"/>
      <c r="I794" s="1158"/>
      <c r="J794" s="1159"/>
      <c r="K794" s="521" t="s">
        <v>7</v>
      </c>
      <c r="L794" s="522">
        <f>K797</f>
        <v>35.68</v>
      </c>
    </row>
    <row r="795" spans="2:12" ht="15" customHeight="1">
      <c r="B795" s="692"/>
      <c r="C795" s="1173" t="s">
        <v>20</v>
      </c>
      <c r="D795" s="1174"/>
      <c r="E795" s="1175"/>
      <c r="F795" s="523" t="s">
        <v>22</v>
      </c>
      <c r="G795" s="688" t="s">
        <v>111</v>
      </c>
      <c r="H795" s="523" t="s">
        <v>112</v>
      </c>
      <c r="I795" s="688" t="s">
        <v>113</v>
      </c>
      <c r="J795" s="688" t="s">
        <v>114</v>
      </c>
      <c r="K795" s="524" t="s">
        <v>25</v>
      </c>
      <c r="L795" s="1169" t="s">
        <v>30</v>
      </c>
    </row>
    <row r="796" spans="2:12" ht="21" customHeight="1">
      <c r="B796" s="692"/>
      <c r="C796" s="1164" t="s">
        <v>1242</v>
      </c>
      <c r="D796" s="1165"/>
      <c r="E796" s="1166"/>
      <c r="F796" s="525">
        <v>1</v>
      </c>
      <c r="G796" s="525">
        <v>0.4</v>
      </c>
      <c r="H796" s="525"/>
      <c r="I796" s="525">
        <v>89.2</v>
      </c>
      <c r="J796" s="525">
        <v>0</v>
      </c>
      <c r="K796" s="535">
        <f>I796*G796</f>
        <v>35.68</v>
      </c>
      <c r="L796" s="1169"/>
    </row>
    <row r="797" spans="2:12" ht="15" customHeight="1">
      <c r="B797" s="692"/>
      <c r="C797" s="1170" t="s">
        <v>116</v>
      </c>
      <c r="D797" s="1171"/>
      <c r="E797" s="1171"/>
      <c r="F797" s="1171"/>
      <c r="G797" s="1171"/>
      <c r="H797" s="1171"/>
      <c r="I797" s="1171"/>
      <c r="J797" s="1172"/>
      <c r="K797" s="524">
        <f>K796</f>
        <v>35.68</v>
      </c>
      <c r="L797" s="1169"/>
    </row>
    <row r="798" spans="2:12" ht="15" customHeight="1">
      <c r="B798" s="493"/>
      <c r="C798" s="493"/>
      <c r="D798" s="493"/>
      <c r="E798" s="493"/>
      <c r="F798" s="493"/>
      <c r="G798" s="493"/>
      <c r="H798" s="493"/>
      <c r="I798" s="493"/>
      <c r="J798" s="493"/>
      <c r="K798" s="493"/>
      <c r="L798" s="493"/>
    </row>
    <row r="799" spans="2:12" ht="15" customHeight="1">
      <c r="B799" s="706" t="s">
        <v>469</v>
      </c>
      <c r="C799" s="707" t="str">
        <f>'[8]ESC. JULIO MARIA'!C43</f>
        <v>ESTRUTURA</v>
      </c>
      <c r="D799" s="708"/>
      <c r="E799" s="708"/>
      <c r="F799" s="708"/>
      <c r="G799" s="708"/>
      <c r="H799" s="708"/>
      <c r="I799" s="708"/>
      <c r="J799" s="708"/>
      <c r="K799" s="709"/>
      <c r="L799" s="710"/>
    </row>
    <row r="800" spans="2:12" ht="28.5" customHeight="1">
      <c r="B800" s="692" t="s">
        <v>903</v>
      </c>
      <c r="C800" s="1157" t="str">
        <f>'[8]ESC. JULIO MARIA'!C44</f>
        <v>CONCRETAGEM DE PILARES, FCK = 25 MPA, COM USO DE GRUA EM EDIFICAÇÃO COM SEÇÃO MÉDIA DE PILARES MAIOR QUE 0,25 M² - LANÇAMENTO, ADENSAMENTO E ACABAMENTO. AF_12/2015</v>
      </c>
      <c r="D800" s="1158"/>
      <c r="E800" s="1158"/>
      <c r="F800" s="1158"/>
      <c r="G800" s="1158"/>
      <c r="H800" s="1158"/>
      <c r="I800" s="1158"/>
      <c r="J800" s="1159"/>
      <c r="K800" s="521" t="s">
        <v>15</v>
      </c>
      <c r="L800" s="521">
        <f>K803</f>
        <v>1.8899999999999997</v>
      </c>
    </row>
    <row r="801" spans="2:12" ht="41.25" customHeight="1">
      <c r="B801" s="692"/>
      <c r="C801" s="1173" t="s">
        <v>20</v>
      </c>
      <c r="D801" s="1174"/>
      <c r="E801" s="1175"/>
      <c r="F801" s="523" t="s">
        <v>22</v>
      </c>
      <c r="G801" s="688" t="s">
        <v>111</v>
      </c>
      <c r="H801" s="523" t="s">
        <v>112</v>
      </c>
      <c r="I801" s="688" t="s">
        <v>113</v>
      </c>
      <c r="J801" s="688" t="s">
        <v>114</v>
      </c>
      <c r="K801" s="528" t="s">
        <v>25</v>
      </c>
      <c r="L801" s="529"/>
    </row>
    <row r="802" spans="2:12">
      <c r="B802" s="692"/>
      <c r="C802" s="1164" t="s">
        <v>1243</v>
      </c>
      <c r="D802" s="1165"/>
      <c r="E802" s="1166"/>
      <c r="F802" s="525">
        <v>7</v>
      </c>
      <c r="G802" s="525">
        <v>3</v>
      </c>
      <c r="H802" s="525">
        <v>0.3</v>
      </c>
      <c r="I802" s="525">
        <v>0.3</v>
      </c>
      <c r="J802" s="525">
        <v>0</v>
      </c>
      <c r="K802" s="521">
        <f>(G802*H802*I802*F802)-J802</f>
        <v>1.8899999999999997</v>
      </c>
      <c r="L802" s="529" t="s">
        <v>708</v>
      </c>
    </row>
    <row r="803" spans="2:12" ht="26.25" customHeight="1">
      <c r="B803" s="692"/>
      <c r="C803" s="1170" t="s">
        <v>116</v>
      </c>
      <c r="D803" s="1171"/>
      <c r="E803" s="1171"/>
      <c r="F803" s="1171"/>
      <c r="G803" s="1171"/>
      <c r="H803" s="1171"/>
      <c r="I803" s="1171"/>
      <c r="J803" s="1172"/>
      <c r="K803" s="528">
        <f>K802</f>
        <v>1.8899999999999997</v>
      </c>
      <c r="L803" s="529"/>
    </row>
    <row r="804" spans="2:12" ht="30" customHeight="1">
      <c r="B804" s="493"/>
      <c r="C804" s="493"/>
      <c r="D804" s="493"/>
      <c r="E804" s="493"/>
      <c r="F804" s="493"/>
      <c r="G804" s="493"/>
      <c r="H804" s="493"/>
      <c r="I804" s="493"/>
      <c r="J804" s="493"/>
      <c r="K804" s="493"/>
      <c r="L804" s="493"/>
    </row>
    <row r="805" spans="2:12" ht="50.25" customHeight="1">
      <c r="B805" s="692" t="s">
        <v>1150</v>
      </c>
      <c r="C805" s="1157" t="str">
        <f>'[8]ESC. JULIO MARIA'!C45</f>
        <v>CONCRETAGEM DE VIGAS E LAJES, FCK=20 MPA, PARA LAJES MACIÇAS OU NERVURADAS COM GRUA DE CAÇAMBA DE 500 L EM EDIFICAÇÃO DE MULTIPAVIMENTOS ATÉ 16 ANDARES, COM ÁREA MÉDIA DE LAJES MAIOR QUE 20 M² - LANÇAMENTO, ADENSAMENTO E ACABAMENTO. AF_12/2015</v>
      </c>
      <c r="D805" s="1158"/>
      <c r="E805" s="1158"/>
      <c r="F805" s="1158"/>
      <c r="G805" s="1158"/>
      <c r="H805" s="1158"/>
      <c r="I805" s="1158"/>
      <c r="J805" s="1159"/>
      <c r="K805" s="521" t="s">
        <v>15</v>
      </c>
      <c r="L805" s="522">
        <f>K808</f>
        <v>0.68579999999999997</v>
      </c>
    </row>
    <row r="806" spans="2:12" ht="25.5" customHeight="1">
      <c r="B806" s="692"/>
      <c r="C806" s="1160" t="s">
        <v>20</v>
      </c>
      <c r="D806" s="1160"/>
      <c r="E806" s="1160"/>
      <c r="F806" s="523" t="s">
        <v>22</v>
      </c>
      <c r="G806" s="688" t="s">
        <v>111</v>
      </c>
      <c r="H806" s="523" t="s">
        <v>112</v>
      </c>
      <c r="I806" s="688" t="s">
        <v>113</v>
      </c>
      <c r="J806" s="688" t="s">
        <v>114</v>
      </c>
      <c r="K806" s="524" t="s">
        <v>25</v>
      </c>
      <c r="L806" s="1169" t="s">
        <v>708</v>
      </c>
    </row>
    <row r="807" spans="2:12">
      <c r="B807" s="692"/>
      <c r="C807" s="1164" t="s">
        <v>513</v>
      </c>
      <c r="D807" s="1165"/>
      <c r="E807" s="1166"/>
      <c r="F807" s="525">
        <v>19.05</v>
      </c>
      <c r="G807" s="525">
        <v>0.3</v>
      </c>
      <c r="H807" s="525">
        <v>0.12</v>
      </c>
      <c r="I807" s="525">
        <v>1</v>
      </c>
      <c r="J807" s="525">
        <v>0</v>
      </c>
      <c r="K807" s="535">
        <f>(G807*H807*I807*F807)-J807</f>
        <v>0.68579999999999997</v>
      </c>
      <c r="L807" s="1169"/>
    </row>
    <row r="808" spans="2:12">
      <c r="B808" s="692"/>
      <c r="C808" s="1167" t="s">
        <v>116</v>
      </c>
      <c r="D808" s="1167"/>
      <c r="E808" s="1167"/>
      <c r="F808" s="1167"/>
      <c r="G808" s="1167"/>
      <c r="H808" s="1167"/>
      <c r="I808" s="1167"/>
      <c r="J808" s="1167"/>
      <c r="K808" s="524">
        <f>K807</f>
        <v>0.68579999999999997</v>
      </c>
      <c r="L808" s="1169"/>
    </row>
    <row r="809" spans="2:12">
      <c r="B809" s="692"/>
      <c r="C809" s="533"/>
      <c r="D809" s="533"/>
      <c r="E809" s="533"/>
      <c r="F809" s="533"/>
      <c r="G809" s="533"/>
      <c r="H809" s="533"/>
      <c r="I809" s="533"/>
      <c r="J809" s="533"/>
      <c r="K809" s="534"/>
      <c r="L809" s="529"/>
    </row>
    <row r="810" spans="2:12" ht="30" customHeight="1">
      <c r="B810" s="692" t="s">
        <v>1153</v>
      </c>
      <c r="C810" s="1157" t="str">
        <f>'[8]ESC. JULIO MARIA'!C46</f>
        <v>ARMAÇÃO DE PILAR OU VIGA DE UMA ESTRUTURA CONVENCIONAL DE CONCRETO ARMADO EM UM EDIFÍCIO DE MÚLTIPLOS PAVIMENTOS UTILIZANDO AÇO CA-50 DE 10,0 MM - MONTAGEM. AF_12/2015</v>
      </c>
      <c r="D810" s="1158"/>
      <c r="E810" s="1158"/>
      <c r="F810" s="1158"/>
      <c r="G810" s="1158"/>
      <c r="H810" s="1158"/>
      <c r="I810" s="1158"/>
      <c r="J810" s="1159"/>
      <c r="K810" s="521" t="s">
        <v>317</v>
      </c>
      <c r="L810" s="522">
        <f>K813</f>
        <v>98.52</v>
      </c>
    </row>
    <row r="811" spans="2:12" ht="14.25" customHeight="1">
      <c r="B811" s="692"/>
      <c r="C811" s="1160" t="s">
        <v>20</v>
      </c>
      <c r="D811" s="1160"/>
      <c r="E811" s="1160"/>
      <c r="F811" s="523" t="s">
        <v>22</v>
      </c>
      <c r="G811" s="688" t="s">
        <v>111</v>
      </c>
      <c r="H811" s="523" t="s">
        <v>112</v>
      </c>
      <c r="I811" s="688" t="s">
        <v>113</v>
      </c>
      <c r="J811" s="688" t="s">
        <v>114</v>
      </c>
      <c r="K811" s="524" t="s">
        <v>25</v>
      </c>
      <c r="L811" s="1169" t="s">
        <v>317</v>
      </c>
    </row>
    <row r="812" spans="2:12" ht="42" customHeight="1">
      <c r="B812" s="692"/>
      <c r="C812" s="1164" t="s">
        <v>859</v>
      </c>
      <c r="D812" s="1165"/>
      <c r="E812" s="1166"/>
      <c r="F812" s="525">
        <f>'[8]ESC. JULIO MARIA'!E46</f>
        <v>98.52</v>
      </c>
      <c r="G812" s="525">
        <v>1</v>
      </c>
      <c r="H812" s="525">
        <v>1</v>
      </c>
      <c r="I812" s="525">
        <v>1</v>
      </c>
      <c r="J812" s="525">
        <v>0</v>
      </c>
      <c r="K812" s="535">
        <f>(G812*H812*I812*F812)-J812</f>
        <v>98.52</v>
      </c>
      <c r="L812" s="1169"/>
    </row>
    <row r="813" spans="2:12" ht="24.75" customHeight="1">
      <c r="B813" s="692"/>
      <c r="C813" s="1167" t="s">
        <v>116</v>
      </c>
      <c r="D813" s="1167"/>
      <c r="E813" s="1167"/>
      <c r="F813" s="1167"/>
      <c r="G813" s="1167"/>
      <c r="H813" s="1167"/>
      <c r="I813" s="1167"/>
      <c r="J813" s="1167"/>
      <c r="K813" s="524">
        <f>K812</f>
        <v>98.52</v>
      </c>
      <c r="L813" s="1169"/>
    </row>
    <row r="814" spans="2:12">
      <c r="B814" s="692"/>
      <c r="C814" s="533"/>
      <c r="D814" s="533"/>
      <c r="E814" s="533"/>
      <c r="F814" s="533"/>
      <c r="G814" s="533"/>
      <c r="H814" s="533"/>
      <c r="I814" s="533"/>
      <c r="J814" s="533"/>
      <c r="K814" s="534"/>
      <c r="L814" s="529"/>
    </row>
    <row r="815" spans="2:12">
      <c r="B815" s="692" t="s">
        <v>485</v>
      </c>
      <c r="C815" s="533" t="str">
        <f>'[8]ESC. JULIO MARIA'!C47</f>
        <v>ELEVAÇÃO</v>
      </c>
      <c r="D815" s="533"/>
      <c r="E815" s="533"/>
      <c r="F815" s="533"/>
      <c r="G815" s="533"/>
      <c r="H815" s="533"/>
      <c r="I815" s="533"/>
      <c r="J815" s="533"/>
      <c r="K815" s="534"/>
      <c r="L815" s="529"/>
    </row>
    <row r="816" spans="2:12" ht="31.5" customHeight="1">
      <c r="B816" s="692" t="s">
        <v>1156</v>
      </c>
      <c r="C816" s="1157" t="str">
        <f>'[8]ESC. JULIO MARIA'!C48</f>
        <v>ALVENARIA DE VEDAÇÃO DE BLOCOS CERÂMICOS FURADOS NA HORIZONTAL DE 9X19X19CM (ESPESSURA 9CM) DE PAREDES COM ÁREA LÍQUIDA MAIOR OU IGUAL A 6M² SEM VÃOS E ARGAMASSA DE ASSENTAMENTO COM PREPARO EM BETONEIRA. AF_06/2014</v>
      </c>
      <c r="D816" s="1158"/>
      <c r="E816" s="1158"/>
      <c r="F816" s="1158"/>
      <c r="G816" s="1158"/>
      <c r="H816" s="1158"/>
      <c r="I816" s="1158"/>
      <c r="J816" s="1159"/>
      <c r="K816" s="521" t="s">
        <v>7</v>
      </c>
      <c r="L816" s="522">
        <f>K819</f>
        <v>267.60000000000002</v>
      </c>
    </row>
    <row r="817" spans="2:12" ht="26.25" customHeight="1">
      <c r="B817" s="692"/>
      <c r="C817" s="1160" t="s">
        <v>20</v>
      </c>
      <c r="D817" s="1160"/>
      <c r="E817" s="1160"/>
      <c r="F817" s="523" t="s">
        <v>22</v>
      </c>
      <c r="G817" s="688" t="s">
        <v>111</v>
      </c>
      <c r="H817" s="523" t="s">
        <v>112</v>
      </c>
      <c r="I817" s="688" t="s">
        <v>113</v>
      </c>
      <c r="J817" s="688" t="s">
        <v>114</v>
      </c>
      <c r="K817" s="524" t="s">
        <v>25</v>
      </c>
      <c r="L817" s="1169" t="s">
        <v>30</v>
      </c>
    </row>
    <row r="818" spans="2:12">
      <c r="B818" s="692"/>
      <c r="C818" s="1164" t="s">
        <v>1244</v>
      </c>
      <c r="D818" s="1165"/>
      <c r="E818" s="1166"/>
      <c r="F818" s="525">
        <v>1</v>
      </c>
      <c r="G818" s="525">
        <v>3</v>
      </c>
      <c r="H818" s="525">
        <v>1</v>
      </c>
      <c r="I818" s="525">
        <v>89.2</v>
      </c>
      <c r="J818" s="525">
        <v>0</v>
      </c>
      <c r="K818" s="535">
        <f>(G818*H818*I818*F818)-J818</f>
        <v>267.60000000000002</v>
      </c>
      <c r="L818" s="1169"/>
    </row>
    <row r="819" spans="2:12">
      <c r="B819" s="692"/>
      <c r="C819" s="1167" t="s">
        <v>116</v>
      </c>
      <c r="D819" s="1167"/>
      <c r="E819" s="1167"/>
      <c r="F819" s="1167"/>
      <c r="G819" s="1167"/>
      <c r="H819" s="1167"/>
      <c r="I819" s="1167"/>
      <c r="J819" s="1167"/>
      <c r="K819" s="524">
        <f>K818</f>
        <v>267.60000000000002</v>
      </c>
      <c r="L819" s="1169"/>
    </row>
    <row r="820" spans="2:12">
      <c r="B820" s="692"/>
      <c r="C820" s="533"/>
      <c r="D820" s="533"/>
      <c r="E820" s="533"/>
      <c r="F820" s="533"/>
      <c r="G820" s="533"/>
      <c r="H820" s="533"/>
      <c r="I820" s="533"/>
      <c r="J820" s="533"/>
      <c r="K820" s="534"/>
      <c r="L820" s="529"/>
    </row>
    <row r="821" spans="2:12">
      <c r="B821" s="692" t="s">
        <v>1159</v>
      </c>
      <c r="C821" s="1157" t="str">
        <f>'[8]ESC. JULIO MARIA'!C49</f>
        <v>VERGA PRÉ-MOLDADA PARA PORTAS COM ATÉ 1,5 M DE VÃO. AF_03/2016</v>
      </c>
      <c r="D821" s="1158"/>
      <c r="E821" s="1158"/>
      <c r="F821" s="1158"/>
      <c r="G821" s="1158"/>
      <c r="H821" s="1158"/>
      <c r="I821" s="1158"/>
      <c r="J821" s="1159"/>
      <c r="K821" s="521" t="s">
        <v>77</v>
      </c>
      <c r="L821" s="522">
        <f>K824</f>
        <v>10.5</v>
      </c>
    </row>
    <row r="822" spans="2:12">
      <c r="B822" s="692"/>
      <c r="C822" s="1160" t="s">
        <v>20</v>
      </c>
      <c r="D822" s="1160"/>
      <c r="E822" s="1160"/>
      <c r="F822" s="523" t="s">
        <v>22</v>
      </c>
      <c r="G822" s="688" t="s">
        <v>111</v>
      </c>
      <c r="H822" s="523" t="s">
        <v>112</v>
      </c>
      <c r="I822" s="688" t="s">
        <v>113</v>
      </c>
      <c r="J822" s="688" t="s">
        <v>114</v>
      </c>
      <c r="K822" s="524" t="s">
        <v>25</v>
      </c>
      <c r="L822" s="1169" t="s">
        <v>77</v>
      </c>
    </row>
    <row r="823" spans="2:12" ht="43.5" customHeight="1">
      <c r="B823" s="692"/>
      <c r="C823" s="1164" t="s">
        <v>1245</v>
      </c>
      <c r="D823" s="1165"/>
      <c r="E823" s="1166"/>
      <c r="F823" s="525">
        <v>7</v>
      </c>
      <c r="G823" s="525">
        <v>1</v>
      </c>
      <c r="H823" s="525"/>
      <c r="I823" s="525">
        <v>1.5</v>
      </c>
      <c r="J823" s="525">
        <v>0</v>
      </c>
      <c r="K823" s="535">
        <f>I823*F823</f>
        <v>10.5</v>
      </c>
      <c r="L823" s="1169"/>
    </row>
    <row r="824" spans="2:12">
      <c r="B824" s="692"/>
      <c r="C824" s="1167" t="s">
        <v>116</v>
      </c>
      <c r="D824" s="1167"/>
      <c r="E824" s="1167"/>
      <c r="F824" s="1167"/>
      <c r="G824" s="1167"/>
      <c r="H824" s="1167"/>
      <c r="I824" s="1167"/>
      <c r="J824" s="1167"/>
      <c r="K824" s="524">
        <f>K823</f>
        <v>10.5</v>
      </c>
      <c r="L824" s="1169"/>
    </row>
    <row r="825" spans="2:12">
      <c r="B825" s="692"/>
      <c r="C825" s="533"/>
      <c r="D825" s="533"/>
      <c r="E825" s="533"/>
      <c r="F825" s="533"/>
      <c r="G825" s="533"/>
      <c r="H825" s="533"/>
      <c r="I825" s="533"/>
      <c r="J825" s="533"/>
      <c r="K825" s="534"/>
      <c r="L825" s="529"/>
    </row>
    <row r="826" spans="2:12">
      <c r="B826" s="692"/>
      <c r="C826" s="533"/>
      <c r="D826" s="533"/>
      <c r="E826" s="533"/>
      <c r="F826" s="533"/>
      <c r="G826" s="533"/>
      <c r="H826" s="533"/>
      <c r="I826" s="533"/>
      <c r="J826" s="533"/>
      <c r="K826" s="534"/>
      <c r="L826" s="529"/>
    </row>
    <row r="827" spans="2:12">
      <c r="B827" s="706" t="s">
        <v>584</v>
      </c>
      <c r="C827" s="707" t="str">
        <f>'[8]ESC. JULIO MARIA'!C50</f>
        <v>REVESTIMENTO</v>
      </c>
      <c r="D827" s="708"/>
      <c r="E827" s="708"/>
      <c r="F827" s="708"/>
      <c r="G827" s="708"/>
      <c r="H827" s="708"/>
      <c r="I827" s="708"/>
      <c r="J827" s="708"/>
      <c r="K827" s="709"/>
      <c r="L827" s="710"/>
    </row>
    <row r="828" spans="2:12" ht="27" customHeight="1">
      <c r="B828" s="692"/>
      <c r="C828" s="533"/>
      <c r="D828" s="533"/>
      <c r="E828" s="533"/>
      <c r="F828" s="533"/>
      <c r="G828" s="533"/>
      <c r="H828" s="533"/>
      <c r="I828" s="533"/>
      <c r="J828" s="533"/>
      <c r="K828" s="534"/>
      <c r="L828" s="529"/>
    </row>
    <row r="829" spans="2:12" ht="30.75" customHeight="1">
      <c r="B829" s="692" t="s">
        <v>1162</v>
      </c>
      <c r="C829" s="1157" t="str">
        <f>'[8]ESC. JULIO MARIA'!C51</f>
        <v>CHAPISCO APLICADO EM ALVENARIAS E ESTRUTURAS DE CONCRETO INTERNAS, COM COLHER DE PEDREIRO.  ARGAMASSA TRAÇO 1:3 COM PREPARO EM BETONEIRA 400L. AF_06/2014</v>
      </c>
      <c r="D829" s="1158"/>
      <c r="E829" s="1158"/>
      <c r="F829" s="1158"/>
      <c r="G829" s="1158"/>
      <c r="H829" s="1158"/>
      <c r="I829" s="1158"/>
      <c r="J829" s="1159"/>
      <c r="K829" s="521" t="s">
        <v>7</v>
      </c>
      <c r="L829" s="522">
        <f>K832</f>
        <v>535.20000000000005</v>
      </c>
    </row>
    <row r="830" spans="2:12" ht="23.25" customHeight="1">
      <c r="B830" s="692"/>
      <c r="C830" s="1160" t="s">
        <v>20</v>
      </c>
      <c r="D830" s="1160"/>
      <c r="E830" s="1160"/>
      <c r="F830" s="523" t="s">
        <v>22</v>
      </c>
      <c r="G830" s="688" t="s">
        <v>111</v>
      </c>
      <c r="H830" s="523" t="s">
        <v>112</v>
      </c>
      <c r="I830" s="688" t="s">
        <v>113</v>
      </c>
      <c r="J830" s="688" t="s">
        <v>114</v>
      </c>
      <c r="K830" s="524" t="s">
        <v>25</v>
      </c>
      <c r="L830" s="1161" t="s">
        <v>30</v>
      </c>
    </row>
    <row r="831" spans="2:12">
      <c r="B831" s="692"/>
      <c r="C831" s="1164" t="s">
        <v>1246</v>
      </c>
      <c r="D831" s="1165"/>
      <c r="E831" s="1166"/>
      <c r="F831" s="525">
        <v>2</v>
      </c>
      <c r="G831" s="525">
        <v>3</v>
      </c>
      <c r="H831" s="525">
        <v>1</v>
      </c>
      <c r="I831" s="525">
        <v>89.2</v>
      </c>
      <c r="J831" s="525">
        <v>0</v>
      </c>
      <c r="K831" s="535">
        <f>(G831*H831*I831*F831)-J831</f>
        <v>535.20000000000005</v>
      </c>
      <c r="L831" s="1162"/>
    </row>
    <row r="832" spans="2:12">
      <c r="B832" s="692"/>
      <c r="C832" s="1167" t="s">
        <v>116</v>
      </c>
      <c r="D832" s="1167"/>
      <c r="E832" s="1167"/>
      <c r="F832" s="1167"/>
      <c r="G832" s="1167"/>
      <c r="H832" s="1167"/>
      <c r="I832" s="1167"/>
      <c r="J832" s="1167"/>
      <c r="K832" s="524">
        <f>K831</f>
        <v>535.20000000000005</v>
      </c>
      <c r="L832" s="1163"/>
    </row>
    <row r="833" spans="2:12">
      <c r="B833" s="692"/>
      <c r="C833" s="533"/>
      <c r="D833" s="533"/>
      <c r="E833" s="533"/>
      <c r="F833" s="533"/>
      <c r="G833" s="533"/>
      <c r="H833" s="533"/>
      <c r="I833" s="533"/>
      <c r="J833" s="533"/>
      <c r="K833" s="534"/>
      <c r="L833" s="529"/>
    </row>
    <row r="834" spans="2:12" ht="37.5" customHeight="1">
      <c r="B834" s="692" t="s">
        <v>1165</v>
      </c>
      <c r="C834" s="1157" t="str">
        <f>'[8]ESC. JULIO MARIA'!C52</f>
        <v>MASSA ÚNICA, PARA RECEBIMENTO DE PINTURA, EM ARGAMASSA TRAÇO 1:2:8, PREPARO MECÂNICO COM BETONEIRA 400L, APLICADA MANUALMENTE EM FACES INTERNAS DE PAREDES, ESPESSURA DE 20MM, COM EXECUÇÃO DE TALISCAS. AF_06/2014</v>
      </c>
      <c r="D834" s="1158"/>
      <c r="E834" s="1158"/>
      <c r="F834" s="1158"/>
      <c r="G834" s="1158"/>
      <c r="H834" s="1158"/>
      <c r="I834" s="1158"/>
      <c r="J834" s="1159"/>
      <c r="K834" s="521" t="s">
        <v>7</v>
      </c>
      <c r="L834" s="522">
        <f>K837</f>
        <v>535.20000000000005</v>
      </c>
    </row>
    <row r="835" spans="2:12">
      <c r="B835" s="692"/>
      <c r="C835" s="1160" t="s">
        <v>20</v>
      </c>
      <c r="D835" s="1160"/>
      <c r="E835" s="1160"/>
      <c r="F835" s="523" t="s">
        <v>22</v>
      </c>
      <c r="G835" s="688" t="s">
        <v>111</v>
      </c>
      <c r="H835" s="523" t="s">
        <v>112</v>
      </c>
      <c r="I835" s="688" t="s">
        <v>113</v>
      </c>
      <c r="J835" s="688" t="s">
        <v>114</v>
      </c>
      <c r="K835" s="524" t="s">
        <v>25</v>
      </c>
      <c r="L835" s="1161" t="s">
        <v>30</v>
      </c>
    </row>
    <row r="836" spans="2:12" ht="27" customHeight="1">
      <c r="B836" s="692"/>
      <c r="C836" s="1164" t="s">
        <v>1246</v>
      </c>
      <c r="D836" s="1165"/>
      <c r="E836" s="1166"/>
      <c r="F836" s="525">
        <v>2</v>
      </c>
      <c r="G836" s="525">
        <v>3</v>
      </c>
      <c r="H836" s="525">
        <v>1</v>
      </c>
      <c r="I836" s="525">
        <v>89.2</v>
      </c>
      <c r="J836" s="525">
        <v>0</v>
      </c>
      <c r="K836" s="535">
        <f>(G836*H836*I836*F836)-J836</f>
        <v>535.20000000000005</v>
      </c>
      <c r="L836" s="1162"/>
    </row>
    <row r="837" spans="2:12">
      <c r="B837" s="692"/>
      <c r="C837" s="1167" t="s">
        <v>116</v>
      </c>
      <c r="D837" s="1167"/>
      <c r="E837" s="1167"/>
      <c r="F837" s="1167"/>
      <c r="G837" s="1167"/>
      <c r="H837" s="1167"/>
      <c r="I837" s="1167"/>
      <c r="J837" s="1167"/>
      <c r="K837" s="524">
        <f>K836</f>
        <v>535.20000000000005</v>
      </c>
      <c r="L837" s="1163"/>
    </row>
    <row r="838" spans="2:12">
      <c r="B838" s="493"/>
      <c r="C838" s="493"/>
      <c r="D838" s="493"/>
      <c r="E838" s="493"/>
      <c r="F838" s="493"/>
      <c r="G838" s="493"/>
      <c r="H838" s="493"/>
      <c r="I838" s="493"/>
      <c r="J838" s="493"/>
      <c r="K838" s="493"/>
      <c r="L838" s="493"/>
    </row>
    <row r="839" spans="2:12">
      <c r="B839" s="706" t="s">
        <v>585</v>
      </c>
      <c r="C839" s="707" t="str">
        <f>'[8]ESC. JULIO MARIA'!C53</f>
        <v>COBERTA</v>
      </c>
      <c r="D839" s="708"/>
      <c r="E839" s="708"/>
      <c r="F839" s="708"/>
      <c r="G839" s="708"/>
      <c r="H839" s="708"/>
      <c r="I839" s="708"/>
      <c r="J839" s="708"/>
      <c r="K839" s="709"/>
      <c r="L839" s="710"/>
    </row>
    <row r="840" spans="2:12" ht="27" customHeight="1">
      <c r="B840" s="692"/>
      <c r="C840" s="533"/>
      <c r="D840" s="533"/>
      <c r="E840" s="533"/>
      <c r="F840" s="533"/>
      <c r="G840" s="533"/>
      <c r="H840" s="533"/>
      <c r="I840" s="533"/>
      <c r="J840" s="533"/>
      <c r="K840" s="534"/>
      <c r="L840" s="529"/>
    </row>
    <row r="841" spans="2:12" ht="39" customHeight="1">
      <c r="B841" s="692" t="s">
        <v>1167</v>
      </c>
      <c r="C841" s="1157" t="str">
        <f>'[8]ESC. JULIO MARIA'!C54</f>
        <v>TRAMA DE MADEIRA COMPOSTA POR RIPAS, CAIBROS E TERÇAS PARA TELHADOS DE ATÉ 2 ÁGUAS PARA TELHA CERÂMICA CAPA-CANAL, INCLUSO TRANSPORTE VERTICAL. AF_07/2019</v>
      </c>
      <c r="D841" s="1158"/>
      <c r="E841" s="1158"/>
      <c r="F841" s="1158"/>
      <c r="G841" s="1158"/>
      <c r="H841" s="1158"/>
      <c r="I841" s="1158"/>
      <c r="J841" s="1159"/>
      <c r="K841" s="521" t="s">
        <v>7</v>
      </c>
      <c r="L841" s="522">
        <f>K846</f>
        <v>261.40999999999997</v>
      </c>
    </row>
    <row r="842" spans="2:12" ht="20.25" customHeight="1">
      <c r="B842" s="692"/>
      <c r="C842" s="1160" t="s">
        <v>20</v>
      </c>
      <c r="D842" s="1160"/>
      <c r="E842" s="1160"/>
      <c r="F842" s="523" t="s">
        <v>22</v>
      </c>
      <c r="G842" s="688" t="s">
        <v>111</v>
      </c>
      <c r="H842" s="523" t="s">
        <v>112</v>
      </c>
      <c r="I842" s="688" t="s">
        <v>113</v>
      </c>
      <c r="J842" s="688" t="s">
        <v>114</v>
      </c>
      <c r="K842" s="524" t="s">
        <v>25</v>
      </c>
      <c r="L842" s="1161" t="s">
        <v>30</v>
      </c>
    </row>
    <row r="843" spans="2:12" ht="23.25" customHeight="1">
      <c r="B843" s="692"/>
      <c r="C843" s="1164" t="s">
        <v>1246</v>
      </c>
      <c r="D843" s="1165"/>
      <c r="E843" s="1166"/>
      <c r="F843" s="525">
        <v>1</v>
      </c>
      <c r="G843" s="525"/>
      <c r="H843" s="525">
        <v>8.5</v>
      </c>
      <c r="I843" s="525">
        <v>24.5</v>
      </c>
      <c r="J843" s="525">
        <v>0</v>
      </c>
      <c r="K843" s="535">
        <f>I843*H843</f>
        <v>208.25</v>
      </c>
      <c r="L843" s="1162"/>
    </row>
    <row r="844" spans="2:12" ht="28.5" customHeight="1">
      <c r="B844" s="692"/>
      <c r="C844" s="1164" t="s">
        <v>1247</v>
      </c>
      <c r="D844" s="1165"/>
      <c r="E844" s="1166"/>
      <c r="F844" s="525">
        <v>1</v>
      </c>
      <c r="G844" s="525"/>
      <c r="H844" s="525">
        <v>3.35</v>
      </c>
      <c r="I844" s="525">
        <v>9.9499999999999993</v>
      </c>
      <c r="J844" s="525"/>
      <c r="K844" s="535">
        <f>I844*H844</f>
        <v>33.332499999999996</v>
      </c>
      <c r="L844" s="1162"/>
    </row>
    <row r="845" spans="2:12">
      <c r="B845" s="692"/>
      <c r="C845" s="1164" t="s">
        <v>1248</v>
      </c>
      <c r="D845" s="1165"/>
      <c r="E845" s="1166"/>
      <c r="F845" s="525">
        <v>1</v>
      </c>
      <c r="G845" s="525"/>
      <c r="H845" s="525">
        <v>3.85</v>
      </c>
      <c r="I845" s="525">
        <v>5.15</v>
      </c>
      <c r="J845" s="525"/>
      <c r="K845" s="535">
        <f>I845*H845</f>
        <v>19.827500000000001</v>
      </c>
      <c r="L845" s="1162"/>
    </row>
    <row r="846" spans="2:12">
      <c r="B846" s="692"/>
      <c r="C846" s="1167" t="s">
        <v>116</v>
      </c>
      <c r="D846" s="1167"/>
      <c r="E846" s="1167"/>
      <c r="F846" s="1167"/>
      <c r="G846" s="1167"/>
      <c r="H846" s="1167"/>
      <c r="I846" s="1167"/>
      <c r="J846" s="1167"/>
      <c r="K846" s="524">
        <f>SUM(K843:K845)</f>
        <v>261.40999999999997</v>
      </c>
      <c r="L846" s="1163"/>
    </row>
    <row r="847" spans="2:12" ht="15" customHeight="1">
      <c r="B847" s="692"/>
      <c r="C847" s="533"/>
      <c r="D847" s="533"/>
      <c r="E847" s="533"/>
      <c r="F847" s="533"/>
      <c r="G847" s="533"/>
      <c r="H847" s="533"/>
      <c r="I847" s="533"/>
      <c r="J847" s="533"/>
      <c r="K847" s="534"/>
      <c r="L847" s="529"/>
    </row>
    <row r="848" spans="2:12" ht="29.25" customHeight="1">
      <c r="B848" s="692" t="s">
        <v>1169</v>
      </c>
      <c r="C848" s="1157" t="str">
        <f>'[8]ESC. JULIO MARIA'!C55</f>
        <v>TELHAMENTO COM TELHA CERÂMICA CAPA-CANAL, TIPO PLAN, COM ATÉ 2 ÁGUAS, INCLUSO TRANSPORTE VERTICAL. AF_07/2019</v>
      </c>
      <c r="D848" s="1158"/>
      <c r="E848" s="1158"/>
      <c r="F848" s="1158"/>
      <c r="G848" s="1158"/>
      <c r="H848" s="1158"/>
      <c r="I848" s="1158"/>
      <c r="J848" s="1159"/>
      <c r="K848" s="521" t="s">
        <v>7</v>
      </c>
      <c r="L848" s="522">
        <f>K853</f>
        <v>261.40999999999997</v>
      </c>
    </row>
    <row r="849" spans="2:12">
      <c r="B849" s="692"/>
      <c r="C849" s="1160" t="s">
        <v>20</v>
      </c>
      <c r="D849" s="1160"/>
      <c r="E849" s="1160"/>
      <c r="F849" s="523" t="s">
        <v>22</v>
      </c>
      <c r="G849" s="688" t="s">
        <v>111</v>
      </c>
      <c r="H849" s="523" t="s">
        <v>112</v>
      </c>
      <c r="I849" s="688" t="s">
        <v>113</v>
      </c>
      <c r="J849" s="688" t="s">
        <v>114</v>
      </c>
      <c r="K849" s="524" t="s">
        <v>25</v>
      </c>
      <c r="L849" s="1161" t="s">
        <v>30</v>
      </c>
    </row>
    <row r="850" spans="2:12">
      <c r="B850" s="692"/>
      <c r="C850" s="1164" t="s">
        <v>1246</v>
      </c>
      <c r="D850" s="1165"/>
      <c r="E850" s="1166"/>
      <c r="F850" s="525">
        <v>1</v>
      </c>
      <c r="G850" s="525"/>
      <c r="H850" s="525">
        <v>8.5</v>
      </c>
      <c r="I850" s="525">
        <v>24.5</v>
      </c>
      <c r="J850" s="525">
        <v>0</v>
      </c>
      <c r="K850" s="535">
        <f>I850*H850</f>
        <v>208.25</v>
      </c>
      <c r="L850" s="1162"/>
    </row>
    <row r="851" spans="2:12" ht="15" customHeight="1">
      <c r="B851" s="692"/>
      <c r="C851" s="1164" t="s">
        <v>1247</v>
      </c>
      <c r="D851" s="1165"/>
      <c r="E851" s="1166"/>
      <c r="F851" s="525">
        <v>1</v>
      </c>
      <c r="G851" s="525"/>
      <c r="H851" s="525">
        <v>3.35</v>
      </c>
      <c r="I851" s="525">
        <v>9.9499999999999993</v>
      </c>
      <c r="J851" s="525"/>
      <c r="K851" s="535">
        <f>I851*H851</f>
        <v>33.332499999999996</v>
      </c>
      <c r="L851" s="1162"/>
    </row>
    <row r="852" spans="2:12" ht="15" customHeight="1">
      <c r="B852" s="692"/>
      <c r="C852" s="1164" t="s">
        <v>1248</v>
      </c>
      <c r="D852" s="1165"/>
      <c r="E852" s="1166"/>
      <c r="F852" s="525">
        <v>1</v>
      </c>
      <c r="G852" s="525"/>
      <c r="H852" s="525">
        <v>3.85</v>
      </c>
      <c r="I852" s="525">
        <v>5.15</v>
      </c>
      <c r="J852" s="525"/>
      <c r="K852" s="535">
        <f>I852*H852</f>
        <v>19.827500000000001</v>
      </c>
      <c r="L852" s="1162"/>
    </row>
    <row r="853" spans="2:12">
      <c r="B853" s="692"/>
      <c r="C853" s="1167" t="s">
        <v>116</v>
      </c>
      <c r="D853" s="1167"/>
      <c r="E853" s="1167"/>
      <c r="F853" s="1167"/>
      <c r="G853" s="1167"/>
      <c r="H853" s="1167"/>
      <c r="I853" s="1167"/>
      <c r="J853" s="1167"/>
      <c r="K853" s="524">
        <f>SUM(K850:K852)</f>
        <v>261.40999999999997</v>
      </c>
      <c r="L853" s="1163"/>
    </row>
    <row r="856" spans="2:12" ht="15.75" customHeight="1">
      <c r="B856" s="706" t="s">
        <v>717</v>
      </c>
      <c r="C856" s="707" t="str">
        <f>'[8]ESC. JULIO MARIA'!C58</f>
        <v>ESQUADRIAS</v>
      </c>
      <c r="D856" s="708"/>
      <c r="E856" s="708"/>
      <c r="F856" s="708"/>
      <c r="G856" s="708"/>
      <c r="H856" s="708"/>
      <c r="I856" s="708"/>
      <c r="J856" s="708"/>
      <c r="K856" s="709"/>
      <c r="L856" s="710"/>
    </row>
    <row r="857" spans="2:12" ht="39.75" customHeight="1">
      <c r="B857" s="692" t="s">
        <v>1171</v>
      </c>
      <c r="C857" s="1157" t="str">
        <f>'[8]ESC. JULIO MARIA'!C59</f>
        <v>KIT DE PORTA-PRONTA DE MADEIRA EM ACABAMENTO MELAMÍNICO BRANCO, FOLHA LEVE OU MÉDIA, E BATENTE METÁLICO, 90X210CM, FIXAÇÃO COM ARGAMASSA - FORNECIMENTO E INSTALAÇÃO. AF_12/2019</v>
      </c>
      <c r="D857" s="1158"/>
      <c r="E857" s="1158"/>
      <c r="F857" s="1158"/>
      <c r="G857" s="1158"/>
      <c r="H857" s="1158"/>
      <c r="I857" s="1158"/>
      <c r="J857" s="1159"/>
      <c r="K857" s="521" t="s">
        <v>21</v>
      </c>
      <c r="L857" s="522">
        <f>K864</f>
        <v>5</v>
      </c>
    </row>
    <row r="858" spans="2:12">
      <c r="B858" s="692"/>
      <c r="C858" s="1160" t="s">
        <v>20</v>
      </c>
      <c r="D858" s="1160"/>
      <c r="E858" s="1160"/>
      <c r="F858" s="523" t="s">
        <v>22</v>
      </c>
      <c r="G858" s="688" t="s">
        <v>111</v>
      </c>
      <c r="H858" s="523" t="s">
        <v>112</v>
      </c>
      <c r="I858" s="688" t="s">
        <v>113</v>
      </c>
      <c r="J858" s="688" t="s">
        <v>114</v>
      </c>
      <c r="K858" s="524" t="s">
        <v>25</v>
      </c>
      <c r="L858" s="1161" t="s">
        <v>21</v>
      </c>
    </row>
    <row r="859" spans="2:12">
      <c r="B859" s="692"/>
      <c r="C859" s="1164" t="s">
        <v>1249</v>
      </c>
      <c r="D859" s="1165"/>
      <c r="E859" s="1166"/>
      <c r="F859" s="525">
        <v>1</v>
      </c>
      <c r="G859" s="525">
        <v>2.1</v>
      </c>
      <c r="H859" s="525">
        <v>0.9</v>
      </c>
      <c r="I859" s="525"/>
      <c r="J859" s="525"/>
      <c r="K859" s="535">
        <f>F859</f>
        <v>1</v>
      </c>
      <c r="L859" s="1162"/>
    </row>
    <row r="860" spans="2:12">
      <c r="B860" s="692"/>
      <c r="C860" s="1164" t="s">
        <v>1250</v>
      </c>
      <c r="D860" s="1165"/>
      <c r="E860" s="1166"/>
      <c r="F860" s="525">
        <v>1</v>
      </c>
      <c r="G860" s="525">
        <v>2.1</v>
      </c>
      <c r="H860" s="525">
        <v>0.9</v>
      </c>
      <c r="I860" s="525"/>
      <c r="J860" s="525"/>
      <c r="K860" s="535">
        <f>F860</f>
        <v>1</v>
      </c>
      <c r="L860" s="1162"/>
    </row>
    <row r="861" spans="2:12">
      <c r="B861" s="692"/>
      <c r="C861" s="1164" t="s">
        <v>1251</v>
      </c>
      <c r="D861" s="1165"/>
      <c r="E861" s="1166"/>
      <c r="F861" s="525">
        <v>1</v>
      </c>
      <c r="G861" s="525">
        <v>2.1</v>
      </c>
      <c r="H861" s="525">
        <v>0.9</v>
      </c>
      <c r="I861" s="525"/>
      <c r="J861" s="525"/>
      <c r="K861" s="535">
        <f>F861</f>
        <v>1</v>
      </c>
      <c r="L861" s="1162"/>
    </row>
    <row r="862" spans="2:12">
      <c r="B862" s="692"/>
      <c r="C862" s="1164" t="s">
        <v>1252</v>
      </c>
      <c r="D862" s="1165"/>
      <c r="E862" s="1166"/>
      <c r="F862" s="525">
        <v>1</v>
      </c>
      <c r="G862" s="525">
        <v>2.1</v>
      </c>
      <c r="H862" s="525">
        <v>0.9</v>
      </c>
      <c r="I862" s="525"/>
      <c r="J862" s="525"/>
      <c r="K862" s="535">
        <f>F862</f>
        <v>1</v>
      </c>
      <c r="L862" s="1162"/>
    </row>
    <row r="863" spans="2:12">
      <c r="B863" s="692"/>
      <c r="C863" s="1164" t="s">
        <v>1253</v>
      </c>
      <c r="D863" s="1165"/>
      <c r="E863" s="1166"/>
      <c r="F863" s="525">
        <v>1</v>
      </c>
      <c r="G863" s="525">
        <v>2.1</v>
      </c>
      <c r="H863" s="525">
        <v>0.9</v>
      </c>
      <c r="I863" s="525"/>
      <c r="J863" s="525"/>
      <c r="K863" s="535">
        <f>F863</f>
        <v>1</v>
      </c>
      <c r="L863" s="1162"/>
    </row>
    <row r="864" spans="2:12" ht="42" customHeight="1">
      <c r="B864" s="692"/>
      <c r="C864" s="1167" t="s">
        <v>116</v>
      </c>
      <c r="D864" s="1167"/>
      <c r="E864" s="1167"/>
      <c r="F864" s="1167"/>
      <c r="G864" s="1167"/>
      <c r="H864" s="1167"/>
      <c r="I864" s="1167"/>
      <c r="J864" s="1167"/>
      <c r="K864" s="524">
        <f>SUM(K859:K863)</f>
        <v>5</v>
      </c>
      <c r="L864" s="1163"/>
    </row>
    <row r="865" spans="2:12">
      <c r="B865" s="692"/>
      <c r="C865" s="533"/>
      <c r="D865" s="533"/>
      <c r="E865" s="533"/>
      <c r="F865" s="533"/>
      <c r="G865" s="533"/>
      <c r="H865" s="533"/>
      <c r="I865" s="533"/>
      <c r="J865" s="533"/>
      <c r="K865" s="534"/>
      <c r="L865" s="529"/>
    </row>
    <row r="866" spans="2:12" ht="38.25" customHeight="1">
      <c r="B866" s="692" t="s">
        <v>1287</v>
      </c>
      <c r="C866" s="1157" t="str">
        <f>'[8]ESC. JULIO MARIA'!C60</f>
        <v>KIT DE PORTA-PRONTA DE MADEIRA EM ACABAMENTO MELAMÍNICO BRANCO, FOLHA LEVE OU MÉDIA, E BATENTE METÁLICO, 60X210CM, FIXAÇÃO COM ARGAMASSA - FORNECIMENTO E INSTALAÇÃO. AF_12/2019</v>
      </c>
      <c r="D866" s="1158"/>
      <c r="E866" s="1158"/>
      <c r="F866" s="1158"/>
      <c r="G866" s="1158"/>
      <c r="H866" s="1158"/>
      <c r="I866" s="1158"/>
      <c r="J866" s="1159"/>
      <c r="K866" s="521" t="s">
        <v>21</v>
      </c>
      <c r="L866" s="522">
        <f>K870</f>
        <v>6</v>
      </c>
    </row>
    <row r="867" spans="2:12">
      <c r="B867" s="692"/>
      <c r="C867" s="1160" t="s">
        <v>20</v>
      </c>
      <c r="D867" s="1160"/>
      <c r="E867" s="1160"/>
      <c r="F867" s="523" t="s">
        <v>22</v>
      </c>
      <c r="G867" s="688" t="s">
        <v>111</v>
      </c>
      <c r="H867" s="523" t="s">
        <v>112</v>
      </c>
      <c r="I867" s="688" t="s">
        <v>113</v>
      </c>
      <c r="J867" s="688" t="s">
        <v>114</v>
      </c>
      <c r="K867" s="524" t="s">
        <v>25</v>
      </c>
      <c r="L867" s="1161" t="s">
        <v>21</v>
      </c>
    </row>
    <row r="868" spans="2:12">
      <c r="B868" s="692"/>
      <c r="C868" s="1164" t="s">
        <v>1252</v>
      </c>
      <c r="D868" s="1165"/>
      <c r="E868" s="1166"/>
      <c r="F868" s="525">
        <v>3</v>
      </c>
      <c r="G868" s="525">
        <v>2.1</v>
      </c>
      <c r="H868" s="525">
        <v>0.9</v>
      </c>
      <c r="I868" s="525"/>
      <c r="J868" s="525"/>
      <c r="K868" s="535">
        <f>F868</f>
        <v>3</v>
      </c>
      <c r="L868" s="1162"/>
    </row>
    <row r="869" spans="2:12">
      <c r="B869" s="692"/>
      <c r="C869" s="1164" t="s">
        <v>1253</v>
      </c>
      <c r="D869" s="1165"/>
      <c r="E869" s="1166"/>
      <c r="F869" s="525">
        <v>3</v>
      </c>
      <c r="G869" s="525">
        <v>2.1</v>
      </c>
      <c r="H869" s="525">
        <v>0.9</v>
      </c>
      <c r="I869" s="525"/>
      <c r="J869" s="525"/>
      <c r="K869" s="535">
        <f>F869</f>
        <v>3</v>
      </c>
      <c r="L869" s="1162"/>
    </row>
    <row r="870" spans="2:12">
      <c r="B870" s="692"/>
      <c r="C870" s="1167" t="s">
        <v>116</v>
      </c>
      <c r="D870" s="1167"/>
      <c r="E870" s="1167"/>
      <c r="F870" s="1167"/>
      <c r="G870" s="1167"/>
      <c r="H870" s="1167"/>
      <c r="I870" s="1167"/>
      <c r="J870" s="1167"/>
      <c r="K870" s="524">
        <f>SUM(K868:K869)</f>
        <v>6</v>
      </c>
      <c r="L870" s="1163"/>
    </row>
    <row r="872" spans="2:12" ht="44.25" customHeight="1">
      <c r="B872" s="692" t="s">
        <v>1288</v>
      </c>
      <c r="C872" s="1157" t="str">
        <f>'[8]ESC. JULIO MARIA'!C61</f>
        <v>JANELA DE MADEIRA (PINUS/EUCALIPTO OU EQUIV.) DE ABRIR COM 4 FOLHAS (2 VENEZIANAS E 2 GUILHOTINAS PARA VIDRO), COM BATENTE, ALIZAR E FERRAGENS. EXCLUSIVE VIDROS, ACABAMENTO E CONTRAMARCO. FORNECIMENTO E INSTALAÇÃO. AF_12/2019</v>
      </c>
      <c r="D872" s="1158"/>
      <c r="E872" s="1158"/>
      <c r="F872" s="1158"/>
      <c r="G872" s="1158"/>
      <c r="H872" s="1158"/>
      <c r="I872" s="1158"/>
      <c r="J872" s="1159"/>
      <c r="K872" s="521" t="s">
        <v>7</v>
      </c>
      <c r="L872" s="522">
        <f>K875</f>
        <v>3.3</v>
      </c>
    </row>
    <row r="873" spans="2:12" ht="42" customHeight="1">
      <c r="B873" s="692"/>
      <c r="C873" s="1160" t="s">
        <v>20</v>
      </c>
      <c r="D873" s="1160"/>
      <c r="E873" s="1160"/>
      <c r="F873" s="523" t="s">
        <v>22</v>
      </c>
      <c r="G873" s="688" t="s">
        <v>111</v>
      </c>
      <c r="H873" s="523" t="s">
        <v>112</v>
      </c>
      <c r="I873" s="688" t="s">
        <v>113</v>
      </c>
      <c r="J873" s="688" t="s">
        <v>114</v>
      </c>
      <c r="K873" s="524" t="s">
        <v>25</v>
      </c>
      <c r="L873" s="1161" t="s">
        <v>30</v>
      </c>
    </row>
    <row r="874" spans="2:12" ht="36.75" customHeight="1">
      <c r="B874" s="692"/>
      <c r="C874" s="1164" t="s">
        <v>339</v>
      </c>
      <c r="D874" s="1165"/>
      <c r="E874" s="1166"/>
      <c r="F874" s="525">
        <v>2</v>
      </c>
      <c r="G874" s="525">
        <v>1</v>
      </c>
      <c r="H874" s="525">
        <v>1.65</v>
      </c>
      <c r="I874" s="525"/>
      <c r="J874" s="525"/>
      <c r="K874" s="535">
        <f>H874*G874*F874</f>
        <v>3.3</v>
      </c>
      <c r="L874" s="1162"/>
    </row>
    <row r="875" spans="2:12">
      <c r="B875" s="692"/>
      <c r="C875" s="1167" t="s">
        <v>116</v>
      </c>
      <c r="D875" s="1167"/>
      <c r="E875" s="1167"/>
      <c r="F875" s="1167"/>
      <c r="G875" s="1167"/>
      <c r="H875" s="1167"/>
      <c r="I875" s="1167"/>
      <c r="J875" s="1167"/>
      <c r="K875" s="524">
        <f>SUM(K874:K874)</f>
        <v>3.3</v>
      </c>
      <c r="L875" s="1163"/>
    </row>
    <row r="877" spans="2:12" ht="15" customHeight="1">
      <c r="B877" s="706" t="s">
        <v>718</v>
      </c>
      <c r="C877" s="707" t="str">
        <f>'[8]ESC. JULIO MARIA'!C62</f>
        <v>INSTALAÇÕES ELÉTRICAS</v>
      </c>
      <c r="D877" s="708"/>
      <c r="E877" s="708"/>
      <c r="F877" s="708"/>
      <c r="G877" s="708"/>
      <c r="H877" s="708"/>
      <c r="I877" s="708"/>
      <c r="J877" s="708"/>
      <c r="K877" s="709"/>
      <c r="L877" s="710"/>
    </row>
    <row r="878" spans="2:12" ht="23.25" customHeight="1">
      <c r="B878" s="692" t="s">
        <v>1173</v>
      </c>
      <c r="C878" s="1157" t="str">
        <f>'[8]ESC. JULIO MARIA'!C63</f>
        <v>CABO DE COBRE FLEXÍVEL ISOLADO, 2,5 MM², ANTI-CHAMA 450/750 V, PARA CIRCUITOS TERMINAIS - FORNECIMENTO E INSTALAÇÃO. AF_12/2015</v>
      </c>
      <c r="D878" s="1158"/>
      <c r="E878" s="1158"/>
      <c r="F878" s="1158"/>
      <c r="G878" s="1158"/>
      <c r="H878" s="1158"/>
      <c r="I878" s="1158"/>
      <c r="J878" s="1159"/>
      <c r="K878" s="521" t="s">
        <v>77</v>
      </c>
      <c r="L878" s="522">
        <f>K881</f>
        <v>400</v>
      </c>
    </row>
    <row r="879" spans="2:12">
      <c r="B879" s="692"/>
      <c r="C879" s="1160" t="s">
        <v>20</v>
      </c>
      <c r="D879" s="1160"/>
      <c r="E879" s="1160"/>
      <c r="F879" s="523" t="s">
        <v>22</v>
      </c>
      <c r="G879" s="688" t="s">
        <v>111</v>
      </c>
      <c r="H879" s="523" t="s">
        <v>112</v>
      </c>
      <c r="I879" s="688" t="s">
        <v>113</v>
      </c>
      <c r="J879" s="688" t="s">
        <v>114</v>
      </c>
      <c r="K879" s="524" t="s">
        <v>25</v>
      </c>
      <c r="L879" s="1161" t="s">
        <v>77</v>
      </c>
    </row>
    <row r="880" spans="2:12" ht="15" customHeight="1">
      <c r="B880" s="692"/>
      <c r="C880" s="1164" t="s">
        <v>66</v>
      </c>
      <c r="D880" s="1165"/>
      <c r="E880" s="1166"/>
      <c r="F880" s="525">
        <v>400</v>
      </c>
      <c r="G880" s="525"/>
      <c r="H880" s="525"/>
      <c r="I880" s="525"/>
      <c r="J880" s="525"/>
      <c r="K880" s="535">
        <f>F880</f>
        <v>400</v>
      </c>
      <c r="L880" s="1162"/>
    </row>
    <row r="881" spans="2:12" ht="36" customHeight="1">
      <c r="B881" s="692"/>
      <c r="C881" s="1167" t="s">
        <v>116</v>
      </c>
      <c r="D881" s="1167"/>
      <c r="E881" s="1167"/>
      <c r="F881" s="1167"/>
      <c r="G881" s="1167"/>
      <c r="H881" s="1167"/>
      <c r="I881" s="1167"/>
      <c r="J881" s="1167"/>
      <c r="K881" s="524">
        <f>SUM(K880:K880)</f>
        <v>400</v>
      </c>
      <c r="L881" s="1163"/>
    </row>
    <row r="883" spans="2:12" ht="39.75" customHeight="1">
      <c r="B883" s="692" t="s">
        <v>1176</v>
      </c>
      <c r="C883" s="1157" t="str">
        <f>'[8]ESC. JULIO MARIA'!C64</f>
        <v>LUMINÁRIA TIPO CALHA, DE SOBREPOR, COM 1 LÂMPADA TUBULAR FLUORESCENTE DE 36 W, COM REATOR DE PARTIDA RÁPIDA - FORNECIMENTO E INSTALAÇÃO. AF_02/2020</v>
      </c>
      <c r="D883" s="1158"/>
      <c r="E883" s="1158"/>
      <c r="F883" s="1158"/>
      <c r="G883" s="1158"/>
      <c r="H883" s="1158"/>
      <c r="I883" s="1158"/>
      <c r="J883" s="1159"/>
      <c r="K883" s="521" t="s">
        <v>21</v>
      </c>
      <c r="L883" s="522">
        <f>K891</f>
        <v>20</v>
      </c>
    </row>
    <row r="884" spans="2:12">
      <c r="B884" s="692"/>
      <c r="C884" s="1160" t="s">
        <v>20</v>
      </c>
      <c r="D884" s="1160"/>
      <c r="E884" s="1160"/>
      <c r="F884" s="523" t="s">
        <v>22</v>
      </c>
      <c r="G884" s="688" t="s">
        <v>111</v>
      </c>
      <c r="H884" s="523" t="s">
        <v>112</v>
      </c>
      <c r="I884" s="688" t="s">
        <v>113</v>
      </c>
      <c r="J884" s="688" t="s">
        <v>114</v>
      </c>
      <c r="K884" s="524" t="s">
        <v>25</v>
      </c>
      <c r="L884" s="1161" t="s">
        <v>21</v>
      </c>
    </row>
    <row r="885" spans="2:12" ht="30.75" customHeight="1">
      <c r="B885" s="692"/>
      <c r="C885" s="1164" t="s">
        <v>1249</v>
      </c>
      <c r="D885" s="1165"/>
      <c r="E885" s="1166"/>
      <c r="F885" s="525">
        <v>4</v>
      </c>
      <c r="G885" s="525"/>
      <c r="H885" s="525"/>
      <c r="I885" s="525"/>
      <c r="J885" s="525"/>
      <c r="K885" s="535">
        <f t="shared" ref="K885:K890" si="7">F885</f>
        <v>4</v>
      </c>
      <c r="L885" s="1162"/>
    </row>
    <row r="886" spans="2:12">
      <c r="B886" s="692"/>
      <c r="C886" s="1164" t="s">
        <v>1250</v>
      </c>
      <c r="D886" s="1165"/>
      <c r="E886" s="1166"/>
      <c r="F886" s="525">
        <v>4</v>
      </c>
      <c r="G886" s="525"/>
      <c r="H886" s="525"/>
      <c r="I886" s="525"/>
      <c r="J886" s="525"/>
      <c r="K886" s="535">
        <f t="shared" si="7"/>
        <v>4</v>
      </c>
      <c r="L886" s="1162"/>
    </row>
    <row r="887" spans="2:12">
      <c r="B887" s="692"/>
      <c r="C887" s="1164" t="s">
        <v>1251</v>
      </c>
      <c r="D887" s="1165"/>
      <c r="E887" s="1166"/>
      <c r="F887" s="525">
        <v>4</v>
      </c>
      <c r="G887" s="525"/>
      <c r="H887" s="525"/>
      <c r="I887" s="525"/>
      <c r="J887" s="525"/>
      <c r="K887" s="535">
        <f t="shared" si="7"/>
        <v>4</v>
      </c>
      <c r="L887" s="1162"/>
    </row>
    <row r="888" spans="2:12" ht="21" customHeight="1">
      <c r="B888" s="692"/>
      <c r="C888" s="1164" t="s">
        <v>1252</v>
      </c>
      <c r="D888" s="1165"/>
      <c r="E888" s="1166"/>
      <c r="F888" s="525">
        <v>2</v>
      </c>
      <c r="G888" s="525"/>
      <c r="H888" s="525"/>
      <c r="I888" s="525"/>
      <c r="J888" s="525"/>
      <c r="K888" s="535">
        <f t="shared" si="7"/>
        <v>2</v>
      </c>
      <c r="L888" s="1162"/>
    </row>
    <row r="889" spans="2:12" ht="28.5" customHeight="1">
      <c r="B889" s="692"/>
      <c r="C889" s="1164" t="s">
        <v>1253</v>
      </c>
      <c r="D889" s="1165"/>
      <c r="E889" s="1166"/>
      <c r="F889" s="525">
        <v>2</v>
      </c>
      <c r="G889" s="525"/>
      <c r="H889" s="525"/>
      <c r="I889" s="525"/>
      <c r="J889" s="525"/>
      <c r="K889" s="535">
        <f t="shared" si="7"/>
        <v>2</v>
      </c>
      <c r="L889" s="1162"/>
    </row>
    <row r="890" spans="2:12">
      <c r="B890" s="692"/>
      <c r="C890" s="1164" t="s">
        <v>1257</v>
      </c>
      <c r="D890" s="1165"/>
      <c r="E890" s="1166"/>
      <c r="F890" s="525">
        <v>4</v>
      </c>
      <c r="G890" s="525"/>
      <c r="H890" s="525"/>
      <c r="I890" s="525"/>
      <c r="J890" s="525"/>
      <c r="K890" s="535">
        <f t="shared" si="7"/>
        <v>4</v>
      </c>
      <c r="L890" s="1162"/>
    </row>
    <row r="891" spans="2:12">
      <c r="B891" s="692"/>
      <c r="C891" s="1167" t="s">
        <v>116</v>
      </c>
      <c r="D891" s="1167"/>
      <c r="E891" s="1167"/>
      <c r="F891" s="1167"/>
      <c r="G891" s="1167"/>
      <c r="H891" s="1167"/>
      <c r="I891" s="1167"/>
      <c r="J891" s="1167"/>
      <c r="K891" s="524">
        <f>SUM(K885:K890)</f>
        <v>20</v>
      </c>
      <c r="L891" s="1163"/>
    </row>
    <row r="893" spans="2:12" ht="48" customHeight="1">
      <c r="B893" s="692" t="s">
        <v>1178</v>
      </c>
      <c r="C893" s="1157" t="str">
        <f>'[8]ESC. JULIO MARIA'!C65</f>
        <v>PONTO DE ILUMINAÇÃO RESIDENCIAL INCLUINDO INTERRUPTOR SIMPLES, CAIXA ELÉTRICA, ELETRODUTO, CABO, RASGO, QUEBRA E CHUMBAMENTO (EXCLUINDO LUMINÁRIA E LÂMPADA). AF_01/2016</v>
      </c>
      <c r="D893" s="1158"/>
      <c r="E893" s="1158"/>
      <c r="F893" s="1158"/>
      <c r="G893" s="1158"/>
      <c r="H893" s="1158"/>
      <c r="I893" s="1158"/>
      <c r="J893" s="1159"/>
      <c r="K893" s="521" t="s">
        <v>21</v>
      </c>
      <c r="L893" s="522">
        <f>K901</f>
        <v>20</v>
      </c>
    </row>
    <row r="894" spans="2:12" ht="33" customHeight="1">
      <c r="B894" s="692"/>
      <c r="C894" s="1160" t="s">
        <v>20</v>
      </c>
      <c r="D894" s="1160"/>
      <c r="E894" s="1160"/>
      <c r="F894" s="523" t="s">
        <v>22</v>
      </c>
      <c r="G894" s="688" t="s">
        <v>111</v>
      </c>
      <c r="H894" s="523" t="s">
        <v>112</v>
      </c>
      <c r="I894" s="688" t="s">
        <v>113</v>
      </c>
      <c r="J894" s="688" t="s">
        <v>114</v>
      </c>
      <c r="K894" s="524" t="s">
        <v>25</v>
      </c>
      <c r="L894" s="1161" t="s">
        <v>21</v>
      </c>
    </row>
    <row r="895" spans="2:12">
      <c r="B895" s="692"/>
      <c r="C895" s="1164" t="s">
        <v>1249</v>
      </c>
      <c r="D895" s="1165"/>
      <c r="E895" s="1166"/>
      <c r="F895" s="525">
        <v>4</v>
      </c>
      <c r="G895" s="525"/>
      <c r="H895" s="525"/>
      <c r="I895" s="525"/>
      <c r="J895" s="525"/>
      <c r="K895" s="535">
        <f t="shared" ref="K895:K900" si="8">F895</f>
        <v>4</v>
      </c>
      <c r="L895" s="1162"/>
    </row>
    <row r="896" spans="2:12" ht="15" customHeight="1">
      <c r="B896" s="692"/>
      <c r="C896" s="1164" t="s">
        <v>1250</v>
      </c>
      <c r="D896" s="1165"/>
      <c r="E896" s="1166"/>
      <c r="F896" s="525">
        <v>4</v>
      </c>
      <c r="G896" s="525"/>
      <c r="H896" s="525"/>
      <c r="I896" s="525"/>
      <c r="J896" s="525"/>
      <c r="K896" s="535">
        <f t="shared" si="8"/>
        <v>4</v>
      </c>
      <c r="L896" s="1162"/>
    </row>
    <row r="897" spans="2:12" ht="15" customHeight="1">
      <c r="B897" s="692"/>
      <c r="C897" s="1164" t="s">
        <v>1251</v>
      </c>
      <c r="D897" s="1165"/>
      <c r="E897" s="1166"/>
      <c r="F897" s="525">
        <v>4</v>
      </c>
      <c r="G897" s="525"/>
      <c r="H897" s="525"/>
      <c r="I897" s="525"/>
      <c r="J897" s="525"/>
      <c r="K897" s="535">
        <f t="shared" si="8"/>
        <v>4</v>
      </c>
      <c r="L897" s="1162"/>
    </row>
    <row r="898" spans="2:12">
      <c r="B898" s="692"/>
      <c r="C898" s="1164" t="s">
        <v>1252</v>
      </c>
      <c r="D898" s="1165"/>
      <c r="E898" s="1166"/>
      <c r="F898" s="525">
        <v>2</v>
      </c>
      <c r="G898" s="525"/>
      <c r="H898" s="525"/>
      <c r="I898" s="525"/>
      <c r="J898" s="525"/>
      <c r="K898" s="535">
        <f t="shared" si="8"/>
        <v>2</v>
      </c>
      <c r="L898" s="1162"/>
    </row>
    <row r="899" spans="2:12">
      <c r="B899" s="692"/>
      <c r="C899" s="1164" t="s">
        <v>1253</v>
      </c>
      <c r="D899" s="1165"/>
      <c r="E899" s="1166"/>
      <c r="F899" s="525">
        <v>2</v>
      </c>
      <c r="G899" s="525"/>
      <c r="H899" s="525"/>
      <c r="I899" s="525"/>
      <c r="J899" s="525"/>
      <c r="K899" s="535">
        <f t="shared" si="8"/>
        <v>2</v>
      </c>
      <c r="L899" s="1162"/>
    </row>
    <row r="900" spans="2:12" ht="49.5" customHeight="1">
      <c r="B900" s="692"/>
      <c r="C900" s="1164" t="s">
        <v>1257</v>
      </c>
      <c r="D900" s="1165"/>
      <c r="E900" s="1166"/>
      <c r="F900" s="525">
        <v>4</v>
      </c>
      <c r="G900" s="525"/>
      <c r="H900" s="525"/>
      <c r="I900" s="525"/>
      <c r="J900" s="525"/>
      <c r="K900" s="535">
        <f t="shared" si="8"/>
        <v>4</v>
      </c>
      <c r="L900" s="1162"/>
    </row>
    <row r="901" spans="2:12">
      <c r="B901" s="692"/>
      <c r="C901" s="1167" t="s">
        <v>116</v>
      </c>
      <c r="D901" s="1167"/>
      <c r="E901" s="1167"/>
      <c r="F901" s="1167"/>
      <c r="G901" s="1167"/>
      <c r="H901" s="1167"/>
      <c r="I901" s="1167"/>
      <c r="J901" s="1167"/>
      <c r="K901" s="524">
        <f>SUM(K895:K900)</f>
        <v>20</v>
      </c>
      <c r="L901" s="1163"/>
    </row>
    <row r="903" spans="2:12" ht="33" customHeight="1">
      <c r="B903" s="692" t="s">
        <v>1289</v>
      </c>
      <c r="C903" s="1157" t="str">
        <f>'[8]ESC. JULIO MARIA'!C66</f>
        <v>PONTO DE TOMADA RESIDENCIAL INCLUINDO TOMADA (2 MÓDULOS) 10A/250V, CAIXA ELÉTRICA, ELETRODUTO, CABO, RASGO, QUEBRA E CHUMBAMENTO. AF_01/2016</v>
      </c>
      <c r="D903" s="1158"/>
      <c r="E903" s="1158"/>
      <c r="F903" s="1158"/>
      <c r="G903" s="1158"/>
      <c r="H903" s="1158"/>
      <c r="I903" s="1158"/>
      <c r="J903" s="1159"/>
      <c r="K903" s="521" t="s">
        <v>21</v>
      </c>
      <c r="L903" s="522">
        <f>K911</f>
        <v>20</v>
      </c>
    </row>
    <row r="904" spans="2:12" ht="30.75" customHeight="1">
      <c r="B904" s="692"/>
      <c r="C904" s="1160" t="s">
        <v>20</v>
      </c>
      <c r="D904" s="1160"/>
      <c r="E904" s="1160"/>
      <c r="F904" s="523" t="s">
        <v>22</v>
      </c>
      <c r="G904" s="688" t="s">
        <v>111</v>
      </c>
      <c r="H904" s="523" t="s">
        <v>112</v>
      </c>
      <c r="I904" s="688" t="s">
        <v>113</v>
      </c>
      <c r="J904" s="688" t="s">
        <v>114</v>
      </c>
      <c r="K904" s="524" t="s">
        <v>25</v>
      </c>
      <c r="L904" s="1161" t="s">
        <v>21</v>
      </c>
    </row>
    <row r="905" spans="2:12" ht="34.5" customHeight="1">
      <c r="B905" s="692"/>
      <c r="C905" s="1164" t="s">
        <v>1249</v>
      </c>
      <c r="D905" s="1165"/>
      <c r="E905" s="1166"/>
      <c r="F905" s="525">
        <v>6</v>
      </c>
      <c r="G905" s="525"/>
      <c r="H905" s="525"/>
      <c r="I905" s="525"/>
      <c r="J905" s="525"/>
      <c r="K905" s="535">
        <f t="shared" ref="K905:K910" si="9">F905</f>
        <v>6</v>
      </c>
      <c r="L905" s="1162"/>
    </row>
    <row r="906" spans="2:12">
      <c r="B906" s="692"/>
      <c r="C906" s="1164" t="s">
        <v>1250</v>
      </c>
      <c r="D906" s="1165"/>
      <c r="E906" s="1166"/>
      <c r="F906" s="525">
        <v>4</v>
      </c>
      <c r="G906" s="525"/>
      <c r="H906" s="525"/>
      <c r="I906" s="525"/>
      <c r="J906" s="525"/>
      <c r="K906" s="535">
        <f t="shared" si="9"/>
        <v>4</v>
      </c>
      <c r="L906" s="1162"/>
    </row>
    <row r="907" spans="2:12">
      <c r="B907" s="692"/>
      <c r="C907" s="1164" t="s">
        <v>1251</v>
      </c>
      <c r="D907" s="1165"/>
      <c r="E907" s="1166"/>
      <c r="F907" s="525">
        <v>4</v>
      </c>
      <c r="G907" s="525"/>
      <c r="H907" s="525"/>
      <c r="I907" s="525"/>
      <c r="J907" s="525"/>
      <c r="K907" s="535">
        <f t="shared" si="9"/>
        <v>4</v>
      </c>
      <c r="L907" s="1162"/>
    </row>
    <row r="908" spans="2:12">
      <c r="B908" s="692"/>
      <c r="C908" s="1164" t="s">
        <v>1252</v>
      </c>
      <c r="D908" s="1165"/>
      <c r="E908" s="1166"/>
      <c r="F908" s="525">
        <v>1</v>
      </c>
      <c r="G908" s="525"/>
      <c r="H908" s="525"/>
      <c r="I908" s="525"/>
      <c r="J908" s="525"/>
      <c r="K908" s="535">
        <f t="shared" si="9"/>
        <v>1</v>
      </c>
      <c r="L908" s="1162"/>
    </row>
    <row r="909" spans="2:12">
      <c r="B909" s="692"/>
      <c r="C909" s="1164" t="s">
        <v>1253</v>
      </c>
      <c r="D909" s="1165"/>
      <c r="E909" s="1166"/>
      <c r="F909" s="525">
        <v>1</v>
      </c>
      <c r="G909" s="525"/>
      <c r="H909" s="525"/>
      <c r="I909" s="525"/>
      <c r="J909" s="525"/>
      <c r="K909" s="535">
        <f t="shared" si="9"/>
        <v>1</v>
      </c>
      <c r="L909" s="1162"/>
    </row>
    <row r="910" spans="2:12">
      <c r="B910" s="692"/>
      <c r="C910" s="1164" t="s">
        <v>1257</v>
      </c>
      <c r="D910" s="1165"/>
      <c r="E910" s="1166"/>
      <c r="F910" s="525">
        <v>4</v>
      </c>
      <c r="G910" s="525"/>
      <c r="H910" s="525"/>
      <c r="I910" s="525"/>
      <c r="J910" s="525"/>
      <c r="K910" s="535">
        <f t="shared" si="9"/>
        <v>4</v>
      </c>
      <c r="L910" s="1162"/>
    </row>
    <row r="911" spans="2:12">
      <c r="B911" s="692"/>
      <c r="C911" s="1167" t="s">
        <v>116</v>
      </c>
      <c r="D911" s="1167"/>
      <c r="E911" s="1167"/>
      <c r="F911" s="1167"/>
      <c r="G911" s="1167"/>
      <c r="H911" s="1167"/>
      <c r="I911" s="1167"/>
      <c r="J911" s="1167"/>
      <c r="K911" s="524">
        <f>SUM(K905:K910)</f>
        <v>20</v>
      </c>
      <c r="L911" s="1163"/>
    </row>
    <row r="913" spans="2:12">
      <c r="B913" s="890" t="s">
        <v>1181</v>
      </c>
      <c r="C913" s="1168" t="str">
        <f>'[8]ESC. JULIO MARIA'!C67</f>
        <v>INSTALAÇÕES HIDROSSANITÁRIAS</v>
      </c>
      <c r="D913" s="1168"/>
      <c r="E913" s="1168"/>
      <c r="F913" s="1168"/>
      <c r="G913" s="1168"/>
      <c r="H913" s="1168"/>
      <c r="I913" s="1168"/>
      <c r="J913" s="1168"/>
      <c r="K913" s="615"/>
      <c r="L913" s="615"/>
    </row>
    <row r="914" spans="2:12" ht="30" customHeight="1">
      <c r="B914" s="692" t="s">
        <v>1182</v>
      </c>
      <c r="C914" s="1157" t="str">
        <f>'[8]ESC. JULIO MARIA'!C68</f>
        <v>PONTO DE CONSUMO TERMINAL DE ÁGUA FRIA (SUBRAMAL) COM TUBULAÇÃO DE PVC, DN 25 MM, INSTALADO EM RAMAL DE ÁGUA, INCLUSOS RASGO E CHUMBAMENTO EM ALVENARIA. AF_12/2014</v>
      </c>
      <c r="D914" s="1158"/>
      <c r="E914" s="1158"/>
      <c r="F914" s="1158"/>
      <c r="G914" s="1158"/>
      <c r="H914" s="1158"/>
      <c r="I914" s="1158"/>
      <c r="J914" s="1159"/>
      <c r="K914" s="521" t="s">
        <v>21</v>
      </c>
      <c r="L914" s="522">
        <f>K918</f>
        <v>10</v>
      </c>
    </row>
    <row r="915" spans="2:12">
      <c r="B915" s="692"/>
      <c r="C915" s="1160" t="s">
        <v>20</v>
      </c>
      <c r="D915" s="1160"/>
      <c r="E915" s="1160"/>
      <c r="F915" s="523" t="s">
        <v>22</v>
      </c>
      <c r="G915" s="688" t="s">
        <v>111</v>
      </c>
      <c r="H915" s="523" t="s">
        <v>112</v>
      </c>
      <c r="I915" s="688" t="s">
        <v>113</v>
      </c>
      <c r="J915" s="688" t="s">
        <v>114</v>
      </c>
      <c r="K915" s="524" t="s">
        <v>25</v>
      </c>
      <c r="L915" s="1161" t="s">
        <v>21</v>
      </c>
    </row>
    <row r="916" spans="2:12">
      <c r="B916" s="692"/>
      <c r="C916" s="1164" t="s">
        <v>1252</v>
      </c>
      <c r="D916" s="1165"/>
      <c r="E916" s="1166"/>
      <c r="F916" s="525">
        <v>5</v>
      </c>
      <c r="G916" s="525"/>
      <c r="H916" s="525"/>
      <c r="I916" s="525"/>
      <c r="J916" s="525"/>
      <c r="K916" s="535">
        <f>F916</f>
        <v>5</v>
      </c>
      <c r="L916" s="1162"/>
    </row>
    <row r="917" spans="2:12">
      <c r="B917" s="692"/>
      <c r="C917" s="1164" t="s">
        <v>1253</v>
      </c>
      <c r="D917" s="1165"/>
      <c r="E917" s="1166"/>
      <c r="F917" s="525">
        <v>5</v>
      </c>
      <c r="G917" s="525"/>
      <c r="H917" s="525"/>
      <c r="I917" s="525"/>
      <c r="J917" s="525"/>
      <c r="K917" s="535">
        <f>F917</f>
        <v>5</v>
      </c>
      <c r="L917" s="1162"/>
    </row>
    <row r="918" spans="2:12">
      <c r="B918" s="692"/>
      <c r="C918" s="1167" t="s">
        <v>116</v>
      </c>
      <c r="D918" s="1167"/>
      <c r="E918" s="1167"/>
      <c r="F918" s="1167"/>
      <c r="G918" s="1167"/>
      <c r="H918" s="1167"/>
      <c r="I918" s="1167"/>
      <c r="J918" s="1167"/>
      <c r="K918" s="524">
        <f>SUM(K916:K917)</f>
        <v>10</v>
      </c>
      <c r="L918" s="1163"/>
    </row>
    <row r="920" spans="2:12" ht="45" customHeight="1">
      <c r="B920" s="692" t="s">
        <v>1183</v>
      </c>
      <c r="C920" s="1157" t="str">
        <f>'[8]ESC. JULIO MARIA'!C69</f>
        <v>COLETOR PREDIAL DE ESGOTO, DA CAIXA ATÉ A REDE (DISTÂNCIA = 4 M, LARGURA DA VALA = 0,65 M), INCLUINDO ESCAVAÇÃO MECANIZADA, PREPARO DE FUNDO DE VALA E REATERRO COM COMPACTAÇÃO MECANIZADA, TUBO PVC P/ REDE COLETORA ESGOTO JEI DN 100 MM E CONEXÕES - FORNECIMENTO E INSTALAÇÃO. AF_03/2016</v>
      </c>
      <c r="D920" s="1158"/>
      <c r="E920" s="1158"/>
      <c r="F920" s="1158"/>
      <c r="G920" s="1158"/>
      <c r="H920" s="1158"/>
      <c r="I920" s="1158"/>
      <c r="J920" s="1159"/>
      <c r="K920" s="521" t="s">
        <v>21</v>
      </c>
      <c r="L920" s="522">
        <f>K924</f>
        <v>6</v>
      </c>
    </row>
    <row r="921" spans="2:12">
      <c r="B921" s="692"/>
      <c r="C921" s="1160" t="s">
        <v>20</v>
      </c>
      <c r="D921" s="1160"/>
      <c r="E921" s="1160"/>
      <c r="F921" s="523" t="s">
        <v>22</v>
      </c>
      <c r="G921" s="688" t="s">
        <v>111</v>
      </c>
      <c r="H921" s="523" t="s">
        <v>112</v>
      </c>
      <c r="I921" s="688" t="s">
        <v>113</v>
      </c>
      <c r="J921" s="688" t="s">
        <v>114</v>
      </c>
      <c r="K921" s="524" t="s">
        <v>25</v>
      </c>
      <c r="L921" s="1161" t="s">
        <v>21</v>
      </c>
    </row>
    <row r="922" spans="2:12" ht="34.5" customHeight="1">
      <c r="B922" s="692"/>
      <c r="C922" s="1164" t="s">
        <v>1252</v>
      </c>
      <c r="D922" s="1165"/>
      <c r="E922" s="1166"/>
      <c r="F922" s="525">
        <v>3</v>
      </c>
      <c r="G922" s="525"/>
      <c r="H922" s="525"/>
      <c r="I922" s="525"/>
      <c r="J922" s="525"/>
      <c r="K922" s="535">
        <f>F922</f>
        <v>3</v>
      </c>
      <c r="L922" s="1162"/>
    </row>
    <row r="923" spans="2:12">
      <c r="B923" s="692"/>
      <c r="C923" s="1164" t="s">
        <v>1253</v>
      </c>
      <c r="D923" s="1165"/>
      <c r="E923" s="1166"/>
      <c r="F923" s="525">
        <v>3</v>
      </c>
      <c r="G923" s="525"/>
      <c r="H923" s="525"/>
      <c r="I923" s="525"/>
      <c r="J923" s="525"/>
      <c r="K923" s="535">
        <f>F923</f>
        <v>3</v>
      </c>
      <c r="L923" s="1162"/>
    </row>
    <row r="924" spans="2:12">
      <c r="B924" s="692"/>
      <c r="C924" s="1167" t="s">
        <v>116</v>
      </c>
      <c r="D924" s="1167"/>
      <c r="E924" s="1167"/>
      <c r="F924" s="1167"/>
      <c r="G924" s="1167"/>
      <c r="H924" s="1167"/>
      <c r="I924" s="1167"/>
      <c r="J924" s="1167"/>
      <c r="K924" s="524">
        <f>SUM(K922:K923)</f>
        <v>6</v>
      </c>
      <c r="L924" s="1163"/>
    </row>
    <row r="925" spans="2:12" ht="28.5" customHeight="1"/>
    <row r="926" spans="2:12" ht="23.25" customHeight="1">
      <c r="B926" s="692" t="s">
        <v>1185</v>
      </c>
      <c r="C926" s="1157" t="s">
        <v>1524</v>
      </c>
      <c r="D926" s="1158"/>
      <c r="E926" s="1158"/>
      <c r="F926" s="1158"/>
      <c r="G926" s="1158"/>
      <c r="H926" s="1158"/>
      <c r="I926" s="1158"/>
      <c r="J926" s="1159"/>
      <c r="K926" s="521" t="s">
        <v>21</v>
      </c>
      <c r="L926" s="522">
        <f>K930</f>
        <v>6</v>
      </c>
    </row>
    <row r="927" spans="2:12">
      <c r="B927" s="692"/>
      <c r="C927" s="1160" t="s">
        <v>20</v>
      </c>
      <c r="D927" s="1160"/>
      <c r="E927" s="1160"/>
      <c r="F927" s="523" t="s">
        <v>22</v>
      </c>
      <c r="G927" s="688" t="s">
        <v>111</v>
      </c>
      <c r="H927" s="523" t="s">
        <v>112</v>
      </c>
      <c r="I927" s="688" t="s">
        <v>113</v>
      </c>
      <c r="J927" s="688" t="s">
        <v>114</v>
      </c>
      <c r="K927" s="524" t="s">
        <v>25</v>
      </c>
      <c r="L927" s="1161" t="s">
        <v>21</v>
      </c>
    </row>
    <row r="928" spans="2:12">
      <c r="B928" s="692"/>
      <c r="C928" s="1164" t="s">
        <v>1252</v>
      </c>
      <c r="D928" s="1165"/>
      <c r="E928" s="1166"/>
      <c r="F928" s="525">
        <v>3</v>
      </c>
      <c r="G928" s="525"/>
      <c r="H928" s="525"/>
      <c r="I928" s="525"/>
      <c r="J928" s="525"/>
      <c r="K928" s="535">
        <f>F928</f>
        <v>3</v>
      </c>
      <c r="L928" s="1162"/>
    </row>
    <row r="929" spans="2:12">
      <c r="B929" s="692"/>
      <c r="C929" s="1164" t="s">
        <v>1253</v>
      </c>
      <c r="D929" s="1165"/>
      <c r="E929" s="1166"/>
      <c r="F929" s="525">
        <v>3</v>
      </c>
      <c r="G929" s="525"/>
      <c r="H929" s="525"/>
      <c r="I929" s="525"/>
      <c r="J929" s="525"/>
      <c r="K929" s="535">
        <f>F929</f>
        <v>3</v>
      </c>
      <c r="L929" s="1162"/>
    </row>
    <row r="930" spans="2:12">
      <c r="B930" s="692"/>
      <c r="C930" s="1167" t="s">
        <v>116</v>
      </c>
      <c r="D930" s="1167"/>
      <c r="E930" s="1167"/>
      <c r="F930" s="1167"/>
      <c r="G930" s="1167"/>
      <c r="H930" s="1167"/>
      <c r="I930" s="1167"/>
      <c r="J930" s="1167"/>
      <c r="K930" s="524">
        <f>SUM(K928:K929)</f>
        <v>6</v>
      </c>
      <c r="L930" s="1163"/>
    </row>
    <row r="931" spans="2:12" ht="33" customHeight="1"/>
    <row r="932" spans="2:12">
      <c r="B932" s="692" t="s">
        <v>1186</v>
      </c>
      <c r="C932" s="1157" t="str">
        <f>'[8]ESC. JULIO MARIA'!C71</f>
        <v>ENGATE FLEXÍVEL EM PLÁSTICO BRANCO, 1/2 X 40CM - FORNECIMENTO E INSTALAÇÃO. AF_01/2020</v>
      </c>
      <c r="D932" s="1158"/>
      <c r="E932" s="1158"/>
      <c r="F932" s="1158"/>
      <c r="G932" s="1158"/>
      <c r="H932" s="1158"/>
      <c r="I932" s="1158"/>
      <c r="J932" s="1159"/>
      <c r="K932" s="521" t="s">
        <v>21</v>
      </c>
      <c r="L932" s="522">
        <f>K936</f>
        <v>12</v>
      </c>
    </row>
    <row r="933" spans="2:12">
      <c r="B933" s="692"/>
      <c r="C933" s="1160" t="s">
        <v>20</v>
      </c>
      <c r="D933" s="1160"/>
      <c r="E933" s="1160"/>
      <c r="F933" s="523" t="s">
        <v>22</v>
      </c>
      <c r="G933" s="688" t="s">
        <v>111</v>
      </c>
      <c r="H933" s="523" t="s">
        <v>112</v>
      </c>
      <c r="I933" s="688" t="s">
        <v>113</v>
      </c>
      <c r="J933" s="688" t="s">
        <v>114</v>
      </c>
      <c r="K933" s="524" t="s">
        <v>25</v>
      </c>
      <c r="L933" s="1161" t="s">
        <v>21</v>
      </c>
    </row>
    <row r="934" spans="2:12">
      <c r="B934" s="692"/>
      <c r="C934" s="1164" t="s">
        <v>1252</v>
      </c>
      <c r="D934" s="1165"/>
      <c r="E934" s="1166"/>
      <c r="F934" s="525">
        <v>6</v>
      </c>
      <c r="G934" s="525"/>
      <c r="H934" s="525"/>
      <c r="I934" s="525"/>
      <c r="J934" s="525"/>
      <c r="K934" s="535">
        <f>F934</f>
        <v>6</v>
      </c>
      <c r="L934" s="1162"/>
    </row>
    <row r="935" spans="2:12">
      <c r="B935" s="692"/>
      <c r="C935" s="1164" t="s">
        <v>1253</v>
      </c>
      <c r="D935" s="1165"/>
      <c r="E935" s="1166"/>
      <c r="F935" s="525">
        <v>6</v>
      </c>
      <c r="G935" s="525"/>
      <c r="H935" s="525"/>
      <c r="I935" s="525"/>
      <c r="J935" s="525"/>
      <c r="K935" s="535">
        <f>F935</f>
        <v>6</v>
      </c>
      <c r="L935" s="1162"/>
    </row>
    <row r="936" spans="2:12">
      <c r="B936" s="692"/>
      <c r="C936" s="1167" t="s">
        <v>116</v>
      </c>
      <c r="D936" s="1167"/>
      <c r="E936" s="1167"/>
      <c r="F936" s="1167"/>
      <c r="G936" s="1167"/>
      <c r="H936" s="1167"/>
      <c r="I936" s="1167"/>
      <c r="J936" s="1167"/>
      <c r="K936" s="524">
        <f>SUM(K934:K935)</f>
        <v>12</v>
      </c>
      <c r="L936" s="1163"/>
    </row>
    <row r="937" spans="2:12" ht="30.75" customHeight="1"/>
    <row r="938" spans="2:12">
      <c r="B938" s="692" t="s">
        <v>1290</v>
      </c>
      <c r="C938" s="1157" t="str">
        <f>'[8]ESC. JULIO MARIA'!C72</f>
        <v>SIFÃO DO TIPO FLEXÍVEL EM PVC 1  X 1.1/2  - FORNECIMENTO E INSTALAÇÃO. AF_01/2020</v>
      </c>
      <c r="D938" s="1158"/>
      <c r="E938" s="1158"/>
      <c r="F938" s="1158"/>
      <c r="G938" s="1158"/>
      <c r="H938" s="1158"/>
      <c r="I938" s="1158"/>
      <c r="J938" s="1159"/>
      <c r="K938" s="521" t="s">
        <v>21</v>
      </c>
      <c r="L938" s="522">
        <f>K942</f>
        <v>6</v>
      </c>
    </row>
    <row r="939" spans="2:12" ht="33" customHeight="1">
      <c r="B939" s="692"/>
      <c r="C939" s="1160" t="s">
        <v>20</v>
      </c>
      <c r="D939" s="1160"/>
      <c r="E939" s="1160"/>
      <c r="F939" s="523" t="s">
        <v>22</v>
      </c>
      <c r="G939" s="688" t="s">
        <v>111</v>
      </c>
      <c r="H939" s="523" t="s">
        <v>112</v>
      </c>
      <c r="I939" s="688" t="s">
        <v>113</v>
      </c>
      <c r="J939" s="688" t="s">
        <v>114</v>
      </c>
      <c r="K939" s="524" t="s">
        <v>25</v>
      </c>
      <c r="L939" s="1161" t="s">
        <v>21</v>
      </c>
    </row>
    <row r="940" spans="2:12">
      <c r="B940" s="692"/>
      <c r="C940" s="1164" t="s">
        <v>1252</v>
      </c>
      <c r="D940" s="1165"/>
      <c r="E940" s="1166"/>
      <c r="F940" s="525">
        <v>3</v>
      </c>
      <c r="G940" s="525"/>
      <c r="H940" s="525"/>
      <c r="I940" s="525"/>
      <c r="J940" s="525"/>
      <c r="K940" s="535">
        <f>F940</f>
        <v>3</v>
      </c>
      <c r="L940" s="1162"/>
    </row>
    <row r="941" spans="2:12">
      <c r="B941" s="692"/>
      <c r="C941" s="1164" t="s">
        <v>1253</v>
      </c>
      <c r="D941" s="1165"/>
      <c r="E941" s="1166"/>
      <c r="F941" s="525">
        <v>3</v>
      </c>
      <c r="G941" s="525"/>
      <c r="H941" s="525"/>
      <c r="I941" s="525"/>
      <c r="J941" s="525"/>
      <c r="K941" s="535">
        <f>F941</f>
        <v>3</v>
      </c>
      <c r="L941" s="1162"/>
    </row>
    <row r="942" spans="2:12">
      <c r="B942" s="692"/>
      <c r="C942" s="1167" t="s">
        <v>116</v>
      </c>
      <c r="D942" s="1167"/>
      <c r="E942" s="1167"/>
      <c r="F942" s="1167"/>
      <c r="G942" s="1167"/>
      <c r="H942" s="1167"/>
      <c r="I942" s="1167"/>
      <c r="J942" s="1167"/>
      <c r="K942" s="524">
        <f>SUM(K940:K941)</f>
        <v>6</v>
      </c>
      <c r="L942" s="1163"/>
    </row>
    <row r="944" spans="2:12" ht="27" customHeight="1">
      <c r="B944" s="692" t="s">
        <v>1291</v>
      </c>
      <c r="C944" s="1157" t="str">
        <f>'[8]ESC. JULIO MARIA'!C73</f>
        <v>BANCADA DE MÁRMORE BRANCO POLIDO, DE 0,50 X 0,60 M, PARA LAVATÓRIO - FORNECIMENTO E INSTALAÇÃO. AF_01/2020</v>
      </c>
      <c r="D944" s="1158"/>
      <c r="E944" s="1158"/>
      <c r="F944" s="1158"/>
      <c r="G944" s="1158"/>
      <c r="H944" s="1158"/>
      <c r="I944" s="1158"/>
      <c r="J944" s="1159"/>
      <c r="K944" s="521" t="s">
        <v>21</v>
      </c>
      <c r="L944" s="522">
        <f>K948</f>
        <v>6</v>
      </c>
    </row>
    <row r="945" spans="2:12">
      <c r="B945" s="692"/>
      <c r="C945" s="1160" t="s">
        <v>20</v>
      </c>
      <c r="D945" s="1160"/>
      <c r="E945" s="1160"/>
      <c r="F945" s="523" t="s">
        <v>22</v>
      </c>
      <c r="G945" s="688" t="s">
        <v>111</v>
      </c>
      <c r="H945" s="523" t="s">
        <v>112</v>
      </c>
      <c r="I945" s="688" t="s">
        <v>113</v>
      </c>
      <c r="J945" s="688" t="s">
        <v>114</v>
      </c>
      <c r="K945" s="524" t="s">
        <v>25</v>
      </c>
      <c r="L945" s="1161" t="s">
        <v>21</v>
      </c>
    </row>
    <row r="946" spans="2:12">
      <c r="B946" s="692"/>
      <c r="C946" s="1164" t="s">
        <v>1252</v>
      </c>
      <c r="D946" s="1165"/>
      <c r="E946" s="1166"/>
      <c r="F946" s="525">
        <v>3</v>
      </c>
      <c r="G946" s="525"/>
      <c r="H946" s="525"/>
      <c r="I946" s="525"/>
      <c r="J946" s="525"/>
      <c r="K946" s="535">
        <f>F946</f>
        <v>3</v>
      </c>
      <c r="L946" s="1162"/>
    </row>
    <row r="947" spans="2:12">
      <c r="B947" s="692"/>
      <c r="C947" s="1164" t="s">
        <v>1253</v>
      </c>
      <c r="D947" s="1165"/>
      <c r="E947" s="1166"/>
      <c r="F947" s="525">
        <v>3</v>
      </c>
      <c r="G947" s="525"/>
      <c r="H947" s="525"/>
      <c r="I947" s="525"/>
      <c r="J947" s="525"/>
      <c r="K947" s="535">
        <f>F947</f>
        <v>3</v>
      </c>
      <c r="L947" s="1162"/>
    </row>
    <row r="948" spans="2:12" ht="15" customHeight="1">
      <c r="B948" s="692"/>
      <c r="C948" s="1167" t="s">
        <v>116</v>
      </c>
      <c r="D948" s="1167"/>
      <c r="E948" s="1167"/>
      <c r="F948" s="1167"/>
      <c r="G948" s="1167"/>
      <c r="H948" s="1167"/>
      <c r="I948" s="1167"/>
      <c r="J948" s="1167"/>
      <c r="K948" s="524">
        <f>SUM(K946:K947)</f>
        <v>6</v>
      </c>
      <c r="L948" s="1163"/>
    </row>
    <row r="950" spans="2:12" ht="38.25" customHeight="1">
      <c r="B950" s="692" t="s">
        <v>1292</v>
      </c>
      <c r="C950" s="1157" t="str">
        <f>'[8]ESC. JULIO MARIA'!C74</f>
        <v>TORNEIRA CROMADA DE MESA, 1/2 OU 3/4, PARA LAVATÓRIO, PADRÃO POPULAR - FORNECIMENTO E INSTALAÇÃO. AF_01/2020</v>
      </c>
      <c r="D950" s="1158"/>
      <c r="E950" s="1158"/>
      <c r="F950" s="1158"/>
      <c r="G950" s="1158"/>
      <c r="H950" s="1158"/>
      <c r="I950" s="1158"/>
      <c r="J950" s="1159"/>
      <c r="K950" s="521" t="s">
        <v>21</v>
      </c>
      <c r="L950" s="522">
        <f>K954</f>
        <v>6</v>
      </c>
    </row>
    <row r="951" spans="2:12">
      <c r="B951" s="692"/>
      <c r="C951" s="1160" t="s">
        <v>20</v>
      </c>
      <c r="D951" s="1160"/>
      <c r="E951" s="1160"/>
      <c r="F951" s="523" t="s">
        <v>22</v>
      </c>
      <c r="G951" s="688" t="s">
        <v>111</v>
      </c>
      <c r="H951" s="523" t="s">
        <v>112</v>
      </c>
      <c r="I951" s="688" t="s">
        <v>113</v>
      </c>
      <c r="J951" s="688" t="s">
        <v>114</v>
      </c>
      <c r="K951" s="524" t="s">
        <v>25</v>
      </c>
      <c r="L951" s="1161" t="s">
        <v>21</v>
      </c>
    </row>
    <row r="952" spans="2:12">
      <c r="B952" s="692"/>
      <c r="C952" s="1164" t="s">
        <v>1252</v>
      </c>
      <c r="D952" s="1165"/>
      <c r="E952" s="1166"/>
      <c r="F952" s="525">
        <v>3</v>
      </c>
      <c r="G952" s="525"/>
      <c r="H952" s="525"/>
      <c r="I952" s="525"/>
      <c r="J952" s="525"/>
      <c r="K952" s="535">
        <f>F952</f>
        <v>3</v>
      </c>
      <c r="L952" s="1162"/>
    </row>
    <row r="953" spans="2:12">
      <c r="B953" s="692"/>
      <c r="C953" s="1164" t="s">
        <v>1253</v>
      </c>
      <c r="D953" s="1165"/>
      <c r="E953" s="1166"/>
      <c r="F953" s="525">
        <v>3</v>
      </c>
      <c r="G953" s="525"/>
      <c r="H953" s="525"/>
      <c r="I953" s="525"/>
      <c r="J953" s="525"/>
      <c r="K953" s="535">
        <f>F953</f>
        <v>3</v>
      </c>
      <c r="L953" s="1162"/>
    </row>
    <row r="954" spans="2:12" ht="24.75" customHeight="1">
      <c r="B954" s="692"/>
      <c r="C954" s="1167" t="s">
        <v>116</v>
      </c>
      <c r="D954" s="1167"/>
      <c r="E954" s="1167"/>
      <c r="F954" s="1167"/>
      <c r="G954" s="1167"/>
      <c r="H954" s="1167"/>
      <c r="I954" s="1167"/>
      <c r="J954" s="1167"/>
      <c r="K954" s="524">
        <f>SUM(K952:K953)</f>
        <v>6</v>
      </c>
      <c r="L954" s="1163"/>
    </row>
    <row r="955" spans="2:12" ht="29.25" customHeight="1"/>
    <row r="956" spans="2:12" ht="31.5" customHeight="1">
      <c r="B956" s="692" t="s">
        <v>1293</v>
      </c>
      <c r="C956" s="1157" t="str">
        <f>'[8]ESC. JULIO MARIA'!C75</f>
        <v>CAIXA DE GORDURA SIMPLES (CAPACIDADE: 36 L), RETANGULAR, EM ALVENARIA COM BLOCOS DE CONCRETO, DIMENSÕES INTERNAS = 0,2X0,4 M, ALTURA INTERNA = 0,8 M. AF_12/2020</v>
      </c>
      <c r="D956" s="1158"/>
      <c r="E956" s="1158"/>
      <c r="F956" s="1158"/>
      <c r="G956" s="1158"/>
      <c r="H956" s="1158"/>
      <c r="I956" s="1158"/>
      <c r="J956" s="1159"/>
      <c r="K956" s="521" t="s">
        <v>21</v>
      </c>
      <c r="L956" s="522">
        <f>K959</f>
        <v>1</v>
      </c>
    </row>
    <row r="957" spans="2:12">
      <c r="B957" s="692"/>
      <c r="C957" s="1160" t="s">
        <v>20</v>
      </c>
      <c r="D957" s="1160"/>
      <c r="E957" s="1160"/>
      <c r="F957" s="523" t="s">
        <v>22</v>
      </c>
      <c r="G957" s="688" t="s">
        <v>111</v>
      </c>
      <c r="H957" s="523" t="s">
        <v>112</v>
      </c>
      <c r="I957" s="688" t="s">
        <v>113</v>
      </c>
      <c r="J957" s="688" t="s">
        <v>114</v>
      </c>
      <c r="K957" s="524" t="s">
        <v>25</v>
      </c>
      <c r="L957" s="1161" t="s">
        <v>21</v>
      </c>
    </row>
    <row r="958" spans="2:12">
      <c r="B958" s="692"/>
      <c r="C958" s="1164" t="s">
        <v>1258</v>
      </c>
      <c r="D958" s="1165"/>
      <c r="E958" s="1166"/>
      <c r="F958" s="525">
        <v>1</v>
      </c>
      <c r="G958" s="525"/>
      <c r="H958" s="525"/>
      <c r="I958" s="525"/>
      <c r="J958" s="525"/>
      <c r="K958" s="535">
        <f>F958</f>
        <v>1</v>
      </c>
      <c r="L958" s="1162"/>
    </row>
    <row r="959" spans="2:12">
      <c r="B959" s="692"/>
      <c r="C959" s="1167" t="s">
        <v>116</v>
      </c>
      <c r="D959" s="1167"/>
      <c r="E959" s="1167"/>
      <c r="F959" s="1167"/>
      <c r="G959" s="1167"/>
      <c r="H959" s="1167"/>
      <c r="I959" s="1167"/>
      <c r="J959" s="1167"/>
      <c r="K959" s="524">
        <f>SUM(K958:K958)</f>
        <v>1</v>
      </c>
      <c r="L959" s="1163"/>
    </row>
    <row r="961" spans="2:12" ht="18.75" customHeight="1">
      <c r="B961" s="614" t="s">
        <v>1187</v>
      </c>
      <c r="C961" s="1168" t="str">
        <f>'[8]ESC. JULIO MARIA'!C76</f>
        <v>DIVERSOS</v>
      </c>
      <c r="D961" s="1168"/>
      <c r="E961" s="1168"/>
      <c r="F961" s="1168"/>
      <c r="G961" s="1168"/>
      <c r="H961" s="1168"/>
      <c r="I961" s="1168"/>
      <c r="J961" s="1168"/>
      <c r="K961" s="615"/>
      <c r="L961" s="615"/>
    </row>
    <row r="962" spans="2:12" ht="6.75" customHeight="1"/>
    <row r="963" spans="2:12" ht="6.75" customHeight="1"/>
    <row r="964" spans="2:12" ht="11.25" customHeight="1">
      <c r="B964" s="692" t="s">
        <v>1189</v>
      </c>
      <c r="C964" s="1157" t="str">
        <f>'[8]ESC. JULIO MARIA'!C77</f>
        <v>GRADIL EM FERRO FIXADO EM VÃOS DE JANELAS, FORMADO POR BARRAS CHATAS DE 25X4,8 MM. AF_04/2019</v>
      </c>
      <c r="D964" s="1158"/>
      <c r="E964" s="1158"/>
      <c r="F964" s="1158"/>
      <c r="G964" s="1158"/>
      <c r="H964" s="1158"/>
      <c r="I964" s="1158"/>
      <c r="J964" s="1159"/>
      <c r="K964" s="521" t="s">
        <v>7</v>
      </c>
      <c r="L964" s="522">
        <f>K969</f>
        <v>70.95</v>
      </c>
    </row>
    <row r="965" spans="2:12">
      <c r="B965" s="692"/>
      <c r="C965" s="1160" t="s">
        <v>20</v>
      </c>
      <c r="D965" s="1160"/>
      <c r="E965" s="1160"/>
      <c r="F965" s="523" t="s">
        <v>22</v>
      </c>
      <c r="G965" s="688" t="s">
        <v>111</v>
      </c>
      <c r="H965" s="523" t="s">
        <v>112</v>
      </c>
      <c r="I965" s="688" t="s">
        <v>113</v>
      </c>
      <c r="J965" s="688" t="s">
        <v>114</v>
      </c>
      <c r="K965" s="524" t="s">
        <v>25</v>
      </c>
      <c r="L965" s="1161" t="s">
        <v>30</v>
      </c>
    </row>
    <row r="966" spans="2:12" ht="28.5" customHeight="1">
      <c r="B966" s="692"/>
      <c r="C966" s="1164" t="s">
        <v>1232</v>
      </c>
      <c r="D966" s="1165"/>
      <c r="E966" s="1166"/>
      <c r="F966" s="525">
        <v>1</v>
      </c>
      <c r="G966" s="525">
        <v>1.5</v>
      </c>
      <c r="H966" s="525"/>
      <c r="I966" s="525">
        <v>38</v>
      </c>
      <c r="J966" s="525"/>
      <c r="K966" s="535">
        <f>I966*G966</f>
        <v>57</v>
      </c>
      <c r="L966" s="1162"/>
    </row>
    <row r="967" spans="2:12">
      <c r="B967" s="692"/>
      <c r="C967" s="1164" t="s">
        <v>1259</v>
      </c>
      <c r="D967" s="1165"/>
      <c r="E967" s="1166"/>
      <c r="F967" s="525">
        <v>1</v>
      </c>
      <c r="G967" s="525">
        <v>1.5</v>
      </c>
      <c r="H967" s="525"/>
      <c r="I967" s="525">
        <v>9.3000000000000007</v>
      </c>
      <c r="J967" s="525"/>
      <c r="K967" s="535">
        <f>I967*G967</f>
        <v>13.950000000000001</v>
      </c>
      <c r="L967" s="1162"/>
    </row>
    <row r="968" spans="2:12">
      <c r="B968" s="692"/>
      <c r="C968" s="689"/>
      <c r="D968" s="690"/>
      <c r="E968" s="691"/>
      <c r="F968" s="525"/>
      <c r="G968" s="525"/>
      <c r="H968" s="525"/>
      <c r="I968" s="525"/>
      <c r="J968" s="525"/>
      <c r="K968" s="535"/>
      <c r="L968" s="1162"/>
    </row>
    <row r="969" spans="2:12" ht="25.5" customHeight="1">
      <c r="B969" s="692"/>
      <c r="C969" s="1167" t="s">
        <v>116</v>
      </c>
      <c r="D969" s="1167"/>
      <c r="E969" s="1167"/>
      <c r="F969" s="1167"/>
      <c r="G969" s="1167"/>
      <c r="H969" s="1167"/>
      <c r="I969" s="1167"/>
      <c r="J969" s="1167"/>
      <c r="K969" s="524">
        <f>SUM(K966:K967)</f>
        <v>70.95</v>
      </c>
      <c r="L969" s="1163"/>
    </row>
    <row r="971" spans="2:12">
      <c r="B971" s="692" t="s">
        <v>1191</v>
      </c>
      <c r="C971" s="1157" t="str">
        <f>'[8]ESC. JULIO MARIA'!C78</f>
        <v>PORTÃO EM TUBO DE AÇO GALVANIZADO D=1", MEDINDO 4,00X3,00 M, PADRÃO ESCOLAS</v>
      </c>
      <c r="D971" s="1158"/>
      <c r="E971" s="1158"/>
      <c r="F971" s="1158"/>
      <c r="G971" s="1158"/>
      <c r="H971" s="1158"/>
      <c r="I971" s="1158"/>
      <c r="J971" s="1159"/>
      <c r="K971" s="521" t="s">
        <v>21</v>
      </c>
      <c r="L971" s="522">
        <v>1</v>
      </c>
    </row>
    <row r="972" spans="2:12">
      <c r="B972" s="692"/>
      <c r="C972" s="1160" t="s">
        <v>20</v>
      </c>
      <c r="D972" s="1160"/>
      <c r="E972" s="1160"/>
      <c r="F972" s="523" t="s">
        <v>22</v>
      </c>
      <c r="G972" s="688" t="s">
        <v>111</v>
      </c>
      <c r="H972" s="523" t="s">
        <v>112</v>
      </c>
      <c r="I972" s="688" t="s">
        <v>113</v>
      </c>
      <c r="J972" s="688" t="s">
        <v>114</v>
      </c>
      <c r="K972" s="524" t="s">
        <v>25</v>
      </c>
      <c r="L972" s="1161" t="s">
        <v>21</v>
      </c>
    </row>
    <row r="973" spans="2:12">
      <c r="B973" s="692"/>
      <c r="C973" s="1164" t="s">
        <v>1260</v>
      </c>
      <c r="D973" s="1165"/>
      <c r="E973" s="1166"/>
      <c r="F973" s="525">
        <v>1</v>
      </c>
      <c r="G973" s="525">
        <v>3</v>
      </c>
      <c r="H973" s="525"/>
      <c r="I973" s="525">
        <v>4</v>
      </c>
      <c r="J973" s="525"/>
      <c r="K973" s="535">
        <f>I973*G973</f>
        <v>12</v>
      </c>
      <c r="L973" s="1162"/>
    </row>
    <row r="974" spans="2:12">
      <c r="B974" s="692"/>
      <c r="C974" s="1167" t="s">
        <v>116</v>
      </c>
      <c r="D974" s="1167"/>
      <c r="E974" s="1167"/>
      <c r="F974" s="1167"/>
      <c r="G974" s="1167"/>
      <c r="H974" s="1167"/>
      <c r="I974" s="1167"/>
      <c r="J974" s="1167"/>
      <c r="K974" s="524">
        <f>SUM(K973:K973)</f>
        <v>12</v>
      </c>
      <c r="L974" s="1163"/>
    </row>
    <row r="975" spans="2:12" ht="28.5" customHeight="1"/>
    <row r="976" spans="2:12">
      <c r="B976" s="614" t="s">
        <v>1197</v>
      </c>
      <c r="C976" s="1168" t="str">
        <f>'[8]ESC. JULIO MARIA'!C79</f>
        <v>LIMPEZA FINAL DA OBRA</v>
      </c>
      <c r="D976" s="1168"/>
      <c r="E976" s="1168"/>
      <c r="F976" s="1168"/>
      <c r="G976" s="1168"/>
      <c r="H976" s="1168"/>
      <c r="I976" s="1168"/>
      <c r="J976" s="1168"/>
      <c r="K976" s="615"/>
      <c r="L976" s="615"/>
    </row>
    <row r="978" spans="2:12">
      <c r="B978" s="692" t="s">
        <v>1200</v>
      </c>
      <c r="C978" s="1157" t="str">
        <f>'[8]ESC. JULIO MARIA'!C80</f>
        <v>LIMPEZA DE PISO CERÂMICO OU PORCELANATO COM VASSOURA A SECO. AF_04/2019</v>
      </c>
      <c r="D978" s="1158"/>
      <c r="E978" s="1158"/>
      <c r="F978" s="1158"/>
      <c r="G978" s="1158"/>
      <c r="H978" s="1158"/>
      <c r="I978" s="1158"/>
      <c r="J978" s="1159"/>
      <c r="K978" s="521" t="s">
        <v>7</v>
      </c>
      <c r="L978" s="522">
        <f>K981</f>
        <v>990</v>
      </c>
    </row>
    <row r="979" spans="2:12" ht="41.25" customHeight="1">
      <c r="B979" s="692"/>
      <c r="C979" s="1160" t="s">
        <v>20</v>
      </c>
      <c r="D979" s="1160"/>
      <c r="E979" s="1160"/>
      <c r="F979" s="523" t="s">
        <v>22</v>
      </c>
      <c r="G979" s="688" t="s">
        <v>111</v>
      </c>
      <c r="H979" s="523" t="s">
        <v>112</v>
      </c>
      <c r="I979" s="688" t="s">
        <v>113</v>
      </c>
      <c r="J979" s="688" t="s">
        <v>114</v>
      </c>
      <c r="K979" s="524" t="s">
        <v>25</v>
      </c>
      <c r="L979" s="1161" t="s">
        <v>30</v>
      </c>
    </row>
    <row r="980" spans="2:12" ht="41.25" customHeight="1">
      <c r="B980" s="692"/>
      <c r="C980" s="1164" t="s">
        <v>510</v>
      </c>
      <c r="D980" s="1165"/>
      <c r="E980" s="1166"/>
      <c r="F980" s="525">
        <v>990</v>
      </c>
      <c r="G980" s="525"/>
      <c r="H980" s="525"/>
      <c r="I980" s="525"/>
      <c r="J980" s="525"/>
      <c r="K980" s="535">
        <f>F980</f>
        <v>990</v>
      </c>
      <c r="L980" s="1162"/>
    </row>
    <row r="981" spans="2:12">
      <c r="B981" s="692"/>
      <c r="C981" s="1167" t="s">
        <v>116</v>
      </c>
      <c r="D981" s="1167"/>
      <c r="E981" s="1167"/>
      <c r="F981" s="1167"/>
      <c r="G981" s="1167"/>
      <c r="H981" s="1167"/>
      <c r="I981" s="1167"/>
      <c r="J981" s="1167"/>
      <c r="K981" s="524">
        <f>SUM(K980:K980)</f>
        <v>990</v>
      </c>
      <c r="L981" s="1163"/>
    </row>
    <row r="982" spans="2:12" ht="15" customHeight="1"/>
    <row r="986" spans="2:12" ht="38.25" customHeight="1"/>
    <row r="992" spans="2:12" ht="31.5" customHeight="1"/>
    <row r="998" ht="28.5" customHeight="1"/>
    <row r="1010" ht="31.5" customHeight="1"/>
    <row r="1016" ht="24.75" customHeight="1"/>
    <row r="1022" ht="30" customHeight="1"/>
    <row r="1028" ht="25.5" customHeight="1"/>
  </sheetData>
  <mergeCells count="859">
    <mergeCell ref="C8:D8"/>
    <mergeCell ref="C12:J12"/>
    <mergeCell ref="C13:J13"/>
    <mergeCell ref="C14:E14"/>
    <mergeCell ref="C15:E15"/>
    <mergeCell ref="C16:J16"/>
    <mergeCell ref="B2:C5"/>
    <mergeCell ref="D2:I2"/>
    <mergeCell ref="J2:L5"/>
    <mergeCell ref="D3:I3"/>
    <mergeCell ref="D4:I5"/>
    <mergeCell ref="B7:C7"/>
    <mergeCell ref="C25:E25"/>
    <mergeCell ref="C26:E26"/>
    <mergeCell ref="C27:J27"/>
    <mergeCell ref="C29:J29"/>
    <mergeCell ref="C30:J30"/>
    <mergeCell ref="C31:E31"/>
    <mergeCell ref="C18:J18"/>
    <mergeCell ref="C19:E19"/>
    <mergeCell ref="C20:E20"/>
    <mergeCell ref="C21:J21"/>
    <mergeCell ref="C23:J23"/>
    <mergeCell ref="C24:E24"/>
    <mergeCell ref="C39:J39"/>
    <mergeCell ref="C41:J41"/>
    <mergeCell ref="C42:E42"/>
    <mergeCell ref="C43:E43"/>
    <mergeCell ref="C44:E44"/>
    <mergeCell ref="C45:E45"/>
    <mergeCell ref="C32:E32"/>
    <mergeCell ref="C33:J33"/>
    <mergeCell ref="C35:J35"/>
    <mergeCell ref="C36:J36"/>
    <mergeCell ref="C37:E37"/>
    <mergeCell ref="C38:E38"/>
    <mergeCell ref="C53:E53"/>
    <mergeCell ref="C54:J54"/>
    <mergeCell ref="C56:J56"/>
    <mergeCell ref="C57:J57"/>
    <mergeCell ref="C58:E58"/>
    <mergeCell ref="C59:E59"/>
    <mergeCell ref="C46:E46"/>
    <mergeCell ref="C47:E47"/>
    <mergeCell ref="C48:E48"/>
    <mergeCell ref="C49:J49"/>
    <mergeCell ref="C51:J51"/>
    <mergeCell ref="C52:E52"/>
    <mergeCell ref="C67:J67"/>
    <mergeCell ref="C68:E68"/>
    <mergeCell ref="C69:E69"/>
    <mergeCell ref="C70:E70"/>
    <mergeCell ref="C71:E71"/>
    <mergeCell ref="C72:E72"/>
    <mergeCell ref="C60:E60"/>
    <mergeCell ref="C61:E61"/>
    <mergeCell ref="C62:E62"/>
    <mergeCell ref="C63:E63"/>
    <mergeCell ref="C64:E64"/>
    <mergeCell ref="C65:J65"/>
    <mergeCell ref="C80:E80"/>
    <mergeCell ref="C81:E81"/>
    <mergeCell ref="C82:E82"/>
    <mergeCell ref="C83:J83"/>
    <mergeCell ref="C85:J85"/>
    <mergeCell ref="C86:E86"/>
    <mergeCell ref="C73:E73"/>
    <mergeCell ref="C74:J74"/>
    <mergeCell ref="C76:J76"/>
    <mergeCell ref="C77:E77"/>
    <mergeCell ref="C78:E78"/>
    <mergeCell ref="C79:E79"/>
    <mergeCell ref="C95:J95"/>
    <mergeCell ref="C96:E96"/>
    <mergeCell ref="C97:E97"/>
    <mergeCell ref="C98:J98"/>
    <mergeCell ref="C100:J100"/>
    <mergeCell ref="C101:J101"/>
    <mergeCell ref="C87:E87"/>
    <mergeCell ref="C88:J88"/>
    <mergeCell ref="C90:J90"/>
    <mergeCell ref="C91:E91"/>
    <mergeCell ref="C92:E92"/>
    <mergeCell ref="C93:J93"/>
    <mergeCell ref="C109:E109"/>
    <mergeCell ref="C110:E110"/>
    <mergeCell ref="C111:J111"/>
    <mergeCell ref="C113:J113"/>
    <mergeCell ref="C114:E114"/>
    <mergeCell ref="C115:E115"/>
    <mergeCell ref="C102:E102"/>
    <mergeCell ref="C103:E103"/>
    <mergeCell ref="C104:J104"/>
    <mergeCell ref="C106:J106"/>
    <mergeCell ref="C107:E107"/>
    <mergeCell ref="C108:E108"/>
    <mergeCell ref="C123:E123"/>
    <mergeCell ref="C124:E124"/>
    <mergeCell ref="C125:E125"/>
    <mergeCell ref="C126:E126"/>
    <mergeCell ref="C127:E127"/>
    <mergeCell ref="C128:E128"/>
    <mergeCell ref="C116:E116"/>
    <mergeCell ref="C117:E117"/>
    <mergeCell ref="C118:E118"/>
    <mergeCell ref="C119:E119"/>
    <mergeCell ref="C120:J120"/>
    <mergeCell ref="C122:J122"/>
    <mergeCell ref="C136:J136"/>
    <mergeCell ref="C138:J138"/>
    <mergeCell ref="C139:E139"/>
    <mergeCell ref="C140:E140"/>
    <mergeCell ref="C141:E141"/>
    <mergeCell ref="C142:J142"/>
    <mergeCell ref="C129:J129"/>
    <mergeCell ref="C131:J131"/>
    <mergeCell ref="C132:E132"/>
    <mergeCell ref="C133:E133"/>
    <mergeCell ref="C134:E134"/>
    <mergeCell ref="C135:E135"/>
    <mergeCell ref="C151:E151"/>
    <mergeCell ref="C152:E152"/>
    <mergeCell ref="C153:E153"/>
    <mergeCell ref="C154:J154"/>
    <mergeCell ref="C156:J156"/>
    <mergeCell ref="C157:E157"/>
    <mergeCell ref="C144:J144"/>
    <mergeCell ref="C145:E145"/>
    <mergeCell ref="C146:E146"/>
    <mergeCell ref="C147:E147"/>
    <mergeCell ref="C148:J148"/>
    <mergeCell ref="C150:J150"/>
    <mergeCell ref="C166:J166"/>
    <mergeCell ref="C167:E167"/>
    <mergeCell ref="C168:E168"/>
    <mergeCell ref="C169:J169"/>
    <mergeCell ref="C171:J171"/>
    <mergeCell ref="C172:E172"/>
    <mergeCell ref="C158:E158"/>
    <mergeCell ref="C159:J159"/>
    <mergeCell ref="C161:J161"/>
    <mergeCell ref="C162:E162"/>
    <mergeCell ref="C163:E163"/>
    <mergeCell ref="C164:J164"/>
    <mergeCell ref="C181:J181"/>
    <mergeCell ref="C182:J182"/>
    <mergeCell ref="C183:E183"/>
    <mergeCell ref="C184:E184"/>
    <mergeCell ref="C185:E185"/>
    <mergeCell ref="C186:E186"/>
    <mergeCell ref="C173:E173"/>
    <mergeCell ref="C174:J174"/>
    <mergeCell ref="C176:J176"/>
    <mergeCell ref="C177:E177"/>
    <mergeCell ref="C178:E178"/>
    <mergeCell ref="C179:J179"/>
    <mergeCell ref="C196:J196"/>
    <mergeCell ref="C197:E197"/>
    <mergeCell ref="L197:L199"/>
    <mergeCell ref="C198:E198"/>
    <mergeCell ref="C199:J199"/>
    <mergeCell ref="C202:J202"/>
    <mergeCell ref="C187:J187"/>
    <mergeCell ref="C189:J189"/>
    <mergeCell ref="C191:J191"/>
    <mergeCell ref="C192:E192"/>
    <mergeCell ref="L192:L194"/>
    <mergeCell ref="C193:E193"/>
    <mergeCell ref="C194:J194"/>
    <mergeCell ref="C209:E209"/>
    <mergeCell ref="C210:E210"/>
    <mergeCell ref="C211:E211"/>
    <mergeCell ref="C212:J212"/>
    <mergeCell ref="C214:J214"/>
    <mergeCell ref="C215:E215"/>
    <mergeCell ref="C203:E203"/>
    <mergeCell ref="L203:L205"/>
    <mergeCell ref="C204:E204"/>
    <mergeCell ref="C205:J205"/>
    <mergeCell ref="C207:E207"/>
    <mergeCell ref="C208:E208"/>
    <mergeCell ref="C224:E224"/>
    <mergeCell ref="C225:E225"/>
    <mergeCell ref="C226:E226"/>
    <mergeCell ref="C227:E227"/>
    <mergeCell ref="C228:E228"/>
    <mergeCell ref="C229:E229"/>
    <mergeCell ref="C216:E216"/>
    <mergeCell ref="C217:E217"/>
    <mergeCell ref="C218:E218"/>
    <mergeCell ref="C219:E219"/>
    <mergeCell ref="C220:J220"/>
    <mergeCell ref="C222:J222"/>
    <mergeCell ref="C236:J236"/>
    <mergeCell ref="C238:J238"/>
    <mergeCell ref="C239:E239"/>
    <mergeCell ref="C240:E240"/>
    <mergeCell ref="C241:J241"/>
    <mergeCell ref="C243:J243"/>
    <mergeCell ref="C230:J230"/>
    <mergeCell ref="C231:E231"/>
    <mergeCell ref="C232:E232"/>
    <mergeCell ref="C233:J233"/>
    <mergeCell ref="C234:E234"/>
    <mergeCell ref="C235:E235"/>
    <mergeCell ref="C251:E251"/>
    <mergeCell ref="C252:J252"/>
    <mergeCell ref="C254:J254"/>
    <mergeCell ref="C255:E255"/>
    <mergeCell ref="C256:E256"/>
    <mergeCell ref="C257:J257"/>
    <mergeCell ref="C244:E244"/>
    <mergeCell ref="C245:J245"/>
    <mergeCell ref="C246:E246"/>
    <mergeCell ref="C247:J247"/>
    <mergeCell ref="C249:J249"/>
    <mergeCell ref="C250:E250"/>
    <mergeCell ref="C266:E266"/>
    <mergeCell ref="C267:J267"/>
    <mergeCell ref="C269:J269"/>
    <mergeCell ref="C270:E270"/>
    <mergeCell ref="C271:E271"/>
    <mergeCell ref="C272:J272"/>
    <mergeCell ref="C259:J259"/>
    <mergeCell ref="C260:E260"/>
    <mergeCell ref="C261:E261"/>
    <mergeCell ref="C262:J262"/>
    <mergeCell ref="C264:J264"/>
    <mergeCell ref="C265:E265"/>
    <mergeCell ref="C281:E281"/>
    <mergeCell ref="C282:J282"/>
    <mergeCell ref="C284:J284"/>
    <mergeCell ref="C285:E285"/>
    <mergeCell ref="C286:E286"/>
    <mergeCell ref="C287:J287"/>
    <mergeCell ref="C274:J274"/>
    <mergeCell ref="C275:E275"/>
    <mergeCell ref="C276:E276"/>
    <mergeCell ref="C277:J277"/>
    <mergeCell ref="C279:J279"/>
    <mergeCell ref="C280:E280"/>
    <mergeCell ref="C296:E296"/>
    <mergeCell ref="C297:J297"/>
    <mergeCell ref="C299:J299"/>
    <mergeCell ref="C300:J300"/>
    <mergeCell ref="C301:E301"/>
    <mergeCell ref="C302:E302"/>
    <mergeCell ref="C289:J289"/>
    <mergeCell ref="C290:E290"/>
    <mergeCell ref="C291:E291"/>
    <mergeCell ref="C292:J292"/>
    <mergeCell ref="C294:J294"/>
    <mergeCell ref="C295:E295"/>
    <mergeCell ref="C311:E311"/>
    <mergeCell ref="C312:E312"/>
    <mergeCell ref="C313:J313"/>
    <mergeCell ref="C315:J315"/>
    <mergeCell ref="C316:E316"/>
    <mergeCell ref="C317:E317"/>
    <mergeCell ref="C303:J303"/>
    <mergeCell ref="C305:J305"/>
    <mergeCell ref="C306:E306"/>
    <mergeCell ref="C307:E307"/>
    <mergeCell ref="C308:J308"/>
    <mergeCell ref="C310:J310"/>
    <mergeCell ref="C326:E326"/>
    <mergeCell ref="C327:E327"/>
    <mergeCell ref="C328:J328"/>
    <mergeCell ref="C330:J330"/>
    <mergeCell ref="C331:E331"/>
    <mergeCell ref="C332:E332"/>
    <mergeCell ref="C318:J318"/>
    <mergeCell ref="C320:J320"/>
    <mergeCell ref="C321:E321"/>
    <mergeCell ref="C322:E322"/>
    <mergeCell ref="C323:J323"/>
    <mergeCell ref="C325:J325"/>
    <mergeCell ref="C341:E341"/>
    <mergeCell ref="C342:E342"/>
    <mergeCell ref="C343:J343"/>
    <mergeCell ref="C345:J345"/>
    <mergeCell ref="C346:E346"/>
    <mergeCell ref="C347:E347"/>
    <mergeCell ref="C333:J333"/>
    <mergeCell ref="C335:J335"/>
    <mergeCell ref="C336:E336"/>
    <mergeCell ref="C337:E337"/>
    <mergeCell ref="C338:J338"/>
    <mergeCell ref="C340:J340"/>
    <mergeCell ref="C356:E356"/>
    <mergeCell ref="C357:E357"/>
    <mergeCell ref="C358:J358"/>
    <mergeCell ref="C360:J360"/>
    <mergeCell ref="C361:E361"/>
    <mergeCell ref="C362:E362"/>
    <mergeCell ref="C348:J348"/>
    <mergeCell ref="C350:J350"/>
    <mergeCell ref="C351:E351"/>
    <mergeCell ref="C352:E352"/>
    <mergeCell ref="C353:J353"/>
    <mergeCell ref="C355:J355"/>
    <mergeCell ref="C371:E371"/>
    <mergeCell ref="C372:E372"/>
    <mergeCell ref="C373:J373"/>
    <mergeCell ref="C375:J375"/>
    <mergeCell ref="C376:J376"/>
    <mergeCell ref="C377:E377"/>
    <mergeCell ref="C363:J363"/>
    <mergeCell ref="C365:J365"/>
    <mergeCell ref="C366:E366"/>
    <mergeCell ref="C367:E367"/>
    <mergeCell ref="C368:J368"/>
    <mergeCell ref="C370:J370"/>
    <mergeCell ref="C385:J385"/>
    <mergeCell ref="C386:E386"/>
    <mergeCell ref="C387:E387"/>
    <mergeCell ref="C388:E388"/>
    <mergeCell ref="C389:E389"/>
    <mergeCell ref="C390:E390"/>
    <mergeCell ref="C378:E378"/>
    <mergeCell ref="C379:E379"/>
    <mergeCell ref="C380:E380"/>
    <mergeCell ref="C381:E381"/>
    <mergeCell ref="C382:E382"/>
    <mergeCell ref="C383:J383"/>
    <mergeCell ref="C398:E398"/>
    <mergeCell ref="C399:E399"/>
    <mergeCell ref="C400:E400"/>
    <mergeCell ref="C401:J401"/>
    <mergeCell ref="C403:J403"/>
    <mergeCell ref="C404:E404"/>
    <mergeCell ref="C391:E391"/>
    <mergeCell ref="C392:J392"/>
    <mergeCell ref="C394:J394"/>
    <mergeCell ref="C395:E395"/>
    <mergeCell ref="C396:E396"/>
    <mergeCell ref="C397:E397"/>
    <mergeCell ref="C412:E412"/>
    <mergeCell ref="C413:J413"/>
    <mergeCell ref="C415:J415"/>
    <mergeCell ref="C416:E416"/>
    <mergeCell ref="C417:E417"/>
    <mergeCell ref="C418:E418"/>
    <mergeCell ref="C405:E405"/>
    <mergeCell ref="C406:E406"/>
    <mergeCell ref="C407:J407"/>
    <mergeCell ref="C409:J409"/>
    <mergeCell ref="C410:E410"/>
    <mergeCell ref="C411:E411"/>
    <mergeCell ref="C426:J426"/>
    <mergeCell ref="C428:J428"/>
    <mergeCell ref="C429:E429"/>
    <mergeCell ref="C430:E430"/>
    <mergeCell ref="C431:J431"/>
    <mergeCell ref="C433:J433"/>
    <mergeCell ref="C419:J419"/>
    <mergeCell ref="C421:J421"/>
    <mergeCell ref="C422:J422"/>
    <mergeCell ref="C423:J423"/>
    <mergeCell ref="C424:E424"/>
    <mergeCell ref="C425:E425"/>
    <mergeCell ref="C441:E441"/>
    <mergeCell ref="C442:J442"/>
    <mergeCell ref="C444:J444"/>
    <mergeCell ref="C445:E445"/>
    <mergeCell ref="C446:E446"/>
    <mergeCell ref="C447:E447"/>
    <mergeCell ref="C434:E434"/>
    <mergeCell ref="C435:E435"/>
    <mergeCell ref="C436:J436"/>
    <mergeCell ref="C438:J438"/>
    <mergeCell ref="C439:E439"/>
    <mergeCell ref="C440:E440"/>
    <mergeCell ref="C455:J455"/>
    <mergeCell ref="C457:J457"/>
    <mergeCell ref="C458:E458"/>
    <mergeCell ref="C459:E459"/>
    <mergeCell ref="C460:J460"/>
    <mergeCell ref="C462:J462"/>
    <mergeCell ref="C448:E448"/>
    <mergeCell ref="C449:J449"/>
    <mergeCell ref="C451:J451"/>
    <mergeCell ref="C452:J452"/>
    <mergeCell ref="C453:E453"/>
    <mergeCell ref="C454:E454"/>
    <mergeCell ref="C470:E470"/>
    <mergeCell ref="C471:E471"/>
    <mergeCell ref="C472:J472"/>
    <mergeCell ref="C474:J474"/>
    <mergeCell ref="C475:E475"/>
    <mergeCell ref="C476:E476"/>
    <mergeCell ref="C463:E463"/>
    <mergeCell ref="C464:E464"/>
    <mergeCell ref="C465:J465"/>
    <mergeCell ref="C467:J467"/>
    <mergeCell ref="C468:E468"/>
    <mergeCell ref="C469:E469"/>
    <mergeCell ref="C484:E484"/>
    <mergeCell ref="C485:E485"/>
    <mergeCell ref="C486:E486"/>
    <mergeCell ref="C487:J487"/>
    <mergeCell ref="C489:J489"/>
    <mergeCell ref="C490:E490"/>
    <mergeCell ref="C477:E477"/>
    <mergeCell ref="C478:E478"/>
    <mergeCell ref="C479:J479"/>
    <mergeCell ref="C481:J481"/>
    <mergeCell ref="C482:J482"/>
    <mergeCell ref="C483:E483"/>
    <mergeCell ref="C498:E498"/>
    <mergeCell ref="C499:J499"/>
    <mergeCell ref="C501:J501"/>
    <mergeCell ref="C502:E502"/>
    <mergeCell ref="C503:E503"/>
    <mergeCell ref="C504:E504"/>
    <mergeCell ref="C491:E491"/>
    <mergeCell ref="C492:J492"/>
    <mergeCell ref="C494:J494"/>
    <mergeCell ref="C495:E495"/>
    <mergeCell ref="C496:E496"/>
    <mergeCell ref="C497:E497"/>
    <mergeCell ref="C513:J513"/>
    <mergeCell ref="C514:J514"/>
    <mergeCell ref="C515:E515"/>
    <mergeCell ref="C516:E516"/>
    <mergeCell ref="C517:J517"/>
    <mergeCell ref="C519:J519"/>
    <mergeCell ref="C505:J505"/>
    <mergeCell ref="C507:J507"/>
    <mergeCell ref="C508:E508"/>
    <mergeCell ref="C509:E509"/>
    <mergeCell ref="C510:E510"/>
    <mergeCell ref="C511:J511"/>
    <mergeCell ref="C527:J527"/>
    <mergeCell ref="C529:J529"/>
    <mergeCell ref="C530:E530"/>
    <mergeCell ref="C531:E531"/>
    <mergeCell ref="C532:E532"/>
    <mergeCell ref="C533:J533"/>
    <mergeCell ref="C520:E520"/>
    <mergeCell ref="C521:E521"/>
    <mergeCell ref="C522:J522"/>
    <mergeCell ref="C524:J524"/>
    <mergeCell ref="C525:E525"/>
    <mergeCell ref="C526:E526"/>
    <mergeCell ref="C542:J542"/>
    <mergeCell ref="C543:E543"/>
    <mergeCell ref="C544:E544"/>
    <mergeCell ref="C545:J545"/>
    <mergeCell ref="C547:J547"/>
    <mergeCell ref="C548:E548"/>
    <mergeCell ref="C535:J535"/>
    <mergeCell ref="C536:E536"/>
    <mergeCell ref="C537:E537"/>
    <mergeCell ref="C538:E538"/>
    <mergeCell ref="C539:J539"/>
    <mergeCell ref="C541:J541"/>
    <mergeCell ref="C557:J557"/>
    <mergeCell ref="C558:E558"/>
    <mergeCell ref="C559:E559"/>
    <mergeCell ref="C560:E560"/>
    <mergeCell ref="C561:J561"/>
    <mergeCell ref="C563:J563"/>
    <mergeCell ref="C549:E549"/>
    <mergeCell ref="C550:J550"/>
    <mergeCell ref="C552:J552"/>
    <mergeCell ref="C553:E553"/>
    <mergeCell ref="C554:E554"/>
    <mergeCell ref="C555:J555"/>
    <mergeCell ref="C571:E571"/>
    <mergeCell ref="C572:E572"/>
    <mergeCell ref="C573:J573"/>
    <mergeCell ref="C575:J575"/>
    <mergeCell ref="C576:J576"/>
    <mergeCell ref="C577:E577"/>
    <mergeCell ref="C564:E564"/>
    <mergeCell ref="C565:E565"/>
    <mergeCell ref="C566:E566"/>
    <mergeCell ref="C567:J567"/>
    <mergeCell ref="C569:J569"/>
    <mergeCell ref="C570:J570"/>
    <mergeCell ref="C586:J586"/>
    <mergeCell ref="C588:J588"/>
    <mergeCell ref="C589:E589"/>
    <mergeCell ref="C590:E590"/>
    <mergeCell ref="C591:J591"/>
    <mergeCell ref="C593:J593"/>
    <mergeCell ref="C578:E578"/>
    <mergeCell ref="C579:J579"/>
    <mergeCell ref="C582:J582"/>
    <mergeCell ref="C583:E583"/>
    <mergeCell ref="C584:E584"/>
    <mergeCell ref="C585:E585"/>
    <mergeCell ref="C604:E604"/>
    <mergeCell ref="C605:E605"/>
    <mergeCell ref="C606:E606"/>
    <mergeCell ref="C607:E607"/>
    <mergeCell ref="C608:E608"/>
    <mergeCell ref="C609:E609"/>
    <mergeCell ref="C595:J595"/>
    <mergeCell ref="C596:E596"/>
    <mergeCell ref="L596:L630"/>
    <mergeCell ref="C597:E597"/>
    <mergeCell ref="C598:E598"/>
    <mergeCell ref="C599:E599"/>
    <mergeCell ref="C600:E600"/>
    <mergeCell ref="C601:E601"/>
    <mergeCell ref="C602:E602"/>
    <mergeCell ref="C603:E603"/>
    <mergeCell ref="C616:E616"/>
    <mergeCell ref="C617:E617"/>
    <mergeCell ref="C618:E618"/>
    <mergeCell ref="C619:E619"/>
    <mergeCell ref="C620:E620"/>
    <mergeCell ref="C621:E621"/>
    <mergeCell ref="C610:E610"/>
    <mergeCell ref="C611:E611"/>
    <mergeCell ref="C612:E612"/>
    <mergeCell ref="C613:E613"/>
    <mergeCell ref="C614:E614"/>
    <mergeCell ref="C615:E615"/>
    <mergeCell ref="L633:L641"/>
    <mergeCell ref="C634:E634"/>
    <mergeCell ref="C635:E635"/>
    <mergeCell ref="C636:E636"/>
    <mergeCell ref="C637:E637"/>
    <mergeCell ref="C622:E622"/>
    <mergeCell ref="C623:E623"/>
    <mergeCell ref="C624:E624"/>
    <mergeCell ref="C625:E625"/>
    <mergeCell ref="C626:E626"/>
    <mergeCell ref="C627:E627"/>
    <mergeCell ref="C638:E638"/>
    <mergeCell ref="C639:E639"/>
    <mergeCell ref="C640:E640"/>
    <mergeCell ref="C641:J641"/>
    <mergeCell ref="C642:E642"/>
    <mergeCell ref="C644:J644"/>
    <mergeCell ref="C628:E628"/>
    <mergeCell ref="C629:E629"/>
    <mergeCell ref="C630:J630"/>
    <mergeCell ref="C632:J632"/>
    <mergeCell ref="C633:E633"/>
    <mergeCell ref="C645:E645"/>
    <mergeCell ref="L645:L679"/>
    <mergeCell ref="C646:E646"/>
    <mergeCell ref="C647:E647"/>
    <mergeCell ref="C648:E648"/>
    <mergeCell ref="C649:E649"/>
    <mergeCell ref="C650:E650"/>
    <mergeCell ref="C651:E651"/>
    <mergeCell ref="C652:E652"/>
    <mergeCell ref="C653:E653"/>
    <mergeCell ref="C660:E660"/>
    <mergeCell ref="C661:E661"/>
    <mergeCell ref="C662:E662"/>
    <mergeCell ref="C663:E663"/>
    <mergeCell ref="C664:E664"/>
    <mergeCell ref="C665:E665"/>
    <mergeCell ref="C654:E654"/>
    <mergeCell ref="C655:E655"/>
    <mergeCell ref="C656:E656"/>
    <mergeCell ref="C657:E657"/>
    <mergeCell ref="C658:E658"/>
    <mergeCell ref="C659:E659"/>
    <mergeCell ref="C672:E672"/>
    <mergeCell ref="C673:E673"/>
    <mergeCell ref="C674:E674"/>
    <mergeCell ref="C675:E675"/>
    <mergeCell ref="C676:E676"/>
    <mergeCell ref="C677:E677"/>
    <mergeCell ref="C666:E666"/>
    <mergeCell ref="C667:E667"/>
    <mergeCell ref="C668:E668"/>
    <mergeCell ref="C669:E669"/>
    <mergeCell ref="C670:E670"/>
    <mergeCell ref="C671:E671"/>
    <mergeCell ref="C678:E678"/>
    <mergeCell ref="C679:J679"/>
    <mergeCell ref="C681:J681"/>
    <mergeCell ref="C682:E682"/>
    <mergeCell ref="L682:L690"/>
    <mergeCell ref="C683:E683"/>
    <mergeCell ref="C684:E684"/>
    <mergeCell ref="C685:E685"/>
    <mergeCell ref="C686:E686"/>
    <mergeCell ref="C687:E687"/>
    <mergeCell ref="C697:J697"/>
    <mergeCell ref="C698:E698"/>
    <mergeCell ref="L698:L703"/>
    <mergeCell ref="C699:E699"/>
    <mergeCell ref="C700:E700"/>
    <mergeCell ref="C701:E701"/>
    <mergeCell ref="C702:E702"/>
    <mergeCell ref="C703:J703"/>
    <mergeCell ref="C688:E688"/>
    <mergeCell ref="C689:E689"/>
    <mergeCell ref="C690:J690"/>
    <mergeCell ref="C692:J692"/>
    <mergeCell ref="C693:E693"/>
    <mergeCell ref="L693:L695"/>
    <mergeCell ref="C694:E694"/>
    <mergeCell ref="C695:J695"/>
    <mergeCell ref="C706:J706"/>
    <mergeCell ref="C707:E707"/>
    <mergeCell ref="L707:L755"/>
    <mergeCell ref="C708:E708"/>
    <mergeCell ref="C709:E709"/>
    <mergeCell ref="C710:E710"/>
    <mergeCell ref="C711:E711"/>
    <mergeCell ref="C712:E712"/>
    <mergeCell ref="C713:E713"/>
    <mergeCell ref="C714:E714"/>
    <mergeCell ref="C721:E721"/>
    <mergeCell ref="C722:E722"/>
    <mergeCell ref="C723:E723"/>
    <mergeCell ref="C724:E724"/>
    <mergeCell ref="C725:E725"/>
    <mergeCell ref="C726:E726"/>
    <mergeCell ref="C715:E715"/>
    <mergeCell ref="C716:E716"/>
    <mergeCell ref="C717:E717"/>
    <mergeCell ref="C718:E718"/>
    <mergeCell ref="C719:E719"/>
    <mergeCell ref="C720:E720"/>
    <mergeCell ref="C733:E733"/>
    <mergeCell ref="C734:E734"/>
    <mergeCell ref="C735:E735"/>
    <mergeCell ref="C736:E736"/>
    <mergeCell ref="C737:E737"/>
    <mergeCell ref="C738:E738"/>
    <mergeCell ref="C727:E727"/>
    <mergeCell ref="C728:E728"/>
    <mergeCell ref="C729:E729"/>
    <mergeCell ref="C730:E730"/>
    <mergeCell ref="C731:E731"/>
    <mergeCell ref="C732:E732"/>
    <mergeCell ref="C745:E745"/>
    <mergeCell ref="C746:E746"/>
    <mergeCell ref="C747:E747"/>
    <mergeCell ref="C748:E748"/>
    <mergeCell ref="C749:E749"/>
    <mergeCell ref="C750:E750"/>
    <mergeCell ref="C739:E739"/>
    <mergeCell ref="C740:E740"/>
    <mergeCell ref="C741:E741"/>
    <mergeCell ref="C742:E742"/>
    <mergeCell ref="C743:E743"/>
    <mergeCell ref="C744:E744"/>
    <mergeCell ref="C759:E759"/>
    <mergeCell ref="L759:L761"/>
    <mergeCell ref="C760:E760"/>
    <mergeCell ref="C761:J761"/>
    <mergeCell ref="C763:J763"/>
    <mergeCell ref="C764:J764"/>
    <mergeCell ref="C751:E751"/>
    <mergeCell ref="C752:E752"/>
    <mergeCell ref="C753:E753"/>
    <mergeCell ref="C755:J755"/>
    <mergeCell ref="C757:J757"/>
    <mergeCell ref="C758:J758"/>
    <mergeCell ref="C784:J784"/>
    <mergeCell ref="C785:E785"/>
    <mergeCell ref="L785:L787"/>
    <mergeCell ref="C786:E786"/>
    <mergeCell ref="C787:J787"/>
    <mergeCell ref="C789:J789"/>
    <mergeCell ref="C765:E765"/>
    <mergeCell ref="L765:L767"/>
    <mergeCell ref="C766:E766"/>
    <mergeCell ref="C767:J767"/>
    <mergeCell ref="C772:J772"/>
    <mergeCell ref="C773:E773"/>
    <mergeCell ref="L773:L775"/>
    <mergeCell ref="C774:E774"/>
    <mergeCell ref="C775:J775"/>
    <mergeCell ref="C777:J777"/>
    <mergeCell ref="C778:E778"/>
    <mergeCell ref="C779:E779"/>
    <mergeCell ref="C780:J780"/>
    <mergeCell ref="L778:L780"/>
    <mergeCell ref="C790:E790"/>
    <mergeCell ref="L790:L792"/>
    <mergeCell ref="C791:E791"/>
    <mergeCell ref="C792:J792"/>
    <mergeCell ref="C794:J794"/>
    <mergeCell ref="C795:E795"/>
    <mergeCell ref="L795:L797"/>
    <mergeCell ref="C796:E796"/>
    <mergeCell ref="C797:J797"/>
    <mergeCell ref="L806:L808"/>
    <mergeCell ref="C807:E807"/>
    <mergeCell ref="C808:J808"/>
    <mergeCell ref="C810:J810"/>
    <mergeCell ref="C811:E811"/>
    <mergeCell ref="L811:L813"/>
    <mergeCell ref="C812:E812"/>
    <mergeCell ref="C813:J813"/>
    <mergeCell ref="C800:J800"/>
    <mergeCell ref="C801:E801"/>
    <mergeCell ref="C802:E802"/>
    <mergeCell ref="C803:J803"/>
    <mergeCell ref="C805:J805"/>
    <mergeCell ref="C806:E806"/>
    <mergeCell ref="C822:E822"/>
    <mergeCell ref="L822:L824"/>
    <mergeCell ref="C823:E823"/>
    <mergeCell ref="C824:J824"/>
    <mergeCell ref="C829:J829"/>
    <mergeCell ref="C816:J816"/>
    <mergeCell ref="C817:E817"/>
    <mergeCell ref="L817:L819"/>
    <mergeCell ref="C818:E818"/>
    <mergeCell ref="C819:J819"/>
    <mergeCell ref="C821:J821"/>
    <mergeCell ref="C830:E830"/>
    <mergeCell ref="L830:L832"/>
    <mergeCell ref="C831:E831"/>
    <mergeCell ref="C832:J832"/>
    <mergeCell ref="C834:J834"/>
    <mergeCell ref="C835:E835"/>
    <mergeCell ref="L835:L837"/>
    <mergeCell ref="C836:E836"/>
    <mergeCell ref="C837:J837"/>
    <mergeCell ref="C848:J848"/>
    <mergeCell ref="C849:E849"/>
    <mergeCell ref="L849:L853"/>
    <mergeCell ref="C850:E850"/>
    <mergeCell ref="C851:E851"/>
    <mergeCell ref="C852:E852"/>
    <mergeCell ref="C853:J853"/>
    <mergeCell ref="C841:J841"/>
    <mergeCell ref="C842:E842"/>
    <mergeCell ref="L842:L846"/>
    <mergeCell ref="C843:E843"/>
    <mergeCell ref="C844:E844"/>
    <mergeCell ref="C845:E845"/>
    <mergeCell ref="C846:J846"/>
    <mergeCell ref="C866:J866"/>
    <mergeCell ref="C867:E867"/>
    <mergeCell ref="L867:L870"/>
    <mergeCell ref="C868:E868"/>
    <mergeCell ref="C869:E869"/>
    <mergeCell ref="C870:J870"/>
    <mergeCell ref="C857:J857"/>
    <mergeCell ref="C858:E858"/>
    <mergeCell ref="L858:L864"/>
    <mergeCell ref="C859:E859"/>
    <mergeCell ref="C860:E860"/>
    <mergeCell ref="C861:E861"/>
    <mergeCell ref="C862:E862"/>
    <mergeCell ref="C863:E863"/>
    <mergeCell ref="C864:J864"/>
    <mergeCell ref="C878:J878"/>
    <mergeCell ref="C879:E879"/>
    <mergeCell ref="L879:L881"/>
    <mergeCell ref="C880:E880"/>
    <mergeCell ref="C881:J881"/>
    <mergeCell ref="C883:J883"/>
    <mergeCell ref="C872:J872"/>
    <mergeCell ref="C873:E873"/>
    <mergeCell ref="L873:L875"/>
    <mergeCell ref="C874:E874"/>
    <mergeCell ref="C875:J875"/>
    <mergeCell ref="C884:E884"/>
    <mergeCell ref="L884:L891"/>
    <mergeCell ref="C885:E885"/>
    <mergeCell ref="C886:E886"/>
    <mergeCell ref="C887:E887"/>
    <mergeCell ref="C888:E888"/>
    <mergeCell ref="C889:E889"/>
    <mergeCell ref="C890:E890"/>
    <mergeCell ref="C891:J891"/>
    <mergeCell ref="C893:J893"/>
    <mergeCell ref="C894:E894"/>
    <mergeCell ref="L894:L901"/>
    <mergeCell ref="C895:E895"/>
    <mergeCell ref="C896:E896"/>
    <mergeCell ref="C897:E897"/>
    <mergeCell ref="C898:E898"/>
    <mergeCell ref="C899:E899"/>
    <mergeCell ref="C900:E900"/>
    <mergeCell ref="C901:J901"/>
    <mergeCell ref="C913:J913"/>
    <mergeCell ref="C914:J914"/>
    <mergeCell ref="C915:E915"/>
    <mergeCell ref="L915:L918"/>
    <mergeCell ref="C916:E916"/>
    <mergeCell ref="C917:E917"/>
    <mergeCell ref="C918:J918"/>
    <mergeCell ref="C903:J903"/>
    <mergeCell ref="C904:E904"/>
    <mergeCell ref="L904:L911"/>
    <mergeCell ref="C905:E905"/>
    <mergeCell ref="C906:E906"/>
    <mergeCell ref="C907:E907"/>
    <mergeCell ref="C908:E908"/>
    <mergeCell ref="C909:E909"/>
    <mergeCell ref="C910:E910"/>
    <mergeCell ref="C911:J911"/>
    <mergeCell ref="C926:J926"/>
    <mergeCell ref="C927:E927"/>
    <mergeCell ref="L927:L930"/>
    <mergeCell ref="C928:E928"/>
    <mergeCell ref="C929:E929"/>
    <mergeCell ref="C930:J930"/>
    <mergeCell ref="C920:J920"/>
    <mergeCell ref="C921:E921"/>
    <mergeCell ref="L921:L924"/>
    <mergeCell ref="C922:E922"/>
    <mergeCell ref="C923:E923"/>
    <mergeCell ref="C924:J924"/>
    <mergeCell ref="C938:J938"/>
    <mergeCell ref="C939:E939"/>
    <mergeCell ref="L939:L942"/>
    <mergeCell ref="C940:E940"/>
    <mergeCell ref="C941:E941"/>
    <mergeCell ref="C942:J942"/>
    <mergeCell ref="C932:J932"/>
    <mergeCell ref="C933:E933"/>
    <mergeCell ref="L933:L936"/>
    <mergeCell ref="C934:E934"/>
    <mergeCell ref="C935:E935"/>
    <mergeCell ref="C936:J936"/>
    <mergeCell ref="C950:J950"/>
    <mergeCell ref="C951:E951"/>
    <mergeCell ref="L951:L954"/>
    <mergeCell ref="C952:E952"/>
    <mergeCell ref="C953:E953"/>
    <mergeCell ref="C954:J954"/>
    <mergeCell ref="C944:J944"/>
    <mergeCell ref="C945:E945"/>
    <mergeCell ref="L945:L948"/>
    <mergeCell ref="C946:E946"/>
    <mergeCell ref="C947:E947"/>
    <mergeCell ref="C948:J948"/>
    <mergeCell ref="C964:J964"/>
    <mergeCell ref="C965:E965"/>
    <mergeCell ref="L965:L969"/>
    <mergeCell ref="C966:E966"/>
    <mergeCell ref="C967:E967"/>
    <mergeCell ref="C969:J969"/>
    <mergeCell ref="C956:J956"/>
    <mergeCell ref="C957:E957"/>
    <mergeCell ref="L957:L959"/>
    <mergeCell ref="C958:E958"/>
    <mergeCell ref="C959:J959"/>
    <mergeCell ref="C961:J961"/>
    <mergeCell ref="C978:J978"/>
    <mergeCell ref="C979:E979"/>
    <mergeCell ref="L979:L981"/>
    <mergeCell ref="C980:E980"/>
    <mergeCell ref="C981:J981"/>
    <mergeCell ref="C971:J971"/>
    <mergeCell ref="C972:E972"/>
    <mergeCell ref="L972:L974"/>
    <mergeCell ref="C973:E973"/>
    <mergeCell ref="C974:J974"/>
    <mergeCell ref="C976:J97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45" orientation="portrait" horizontalDpi="360" verticalDpi="360" r:id="rId1"/>
  <headerFooter>
    <oddFooter>Página &amp;P de &amp;N</oddFooter>
  </headerFooter>
  <rowBreaks count="6" manualBreakCount="6">
    <brk id="641" min="1" max="11" man="1"/>
    <brk id="705" min="1" max="11" man="1"/>
    <brk id="780" min="1" max="11" man="1"/>
    <brk id="838" min="1" max="11" man="1"/>
    <brk id="901" min="1" max="11" man="1"/>
    <brk id="981" min="1" max="11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04"/>
  <sheetViews>
    <sheetView view="pageBreakPreview" topLeftCell="A741" zoomScale="70" zoomScaleNormal="100" zoomScaleSheetLayoutView="70" workbookViewId="0">
      <selection activeCell="B144" activeCellId="1" sqref="B153 B144"/>
    </sheetView>
  </sheetViews>
  <sheetFormatPr defaultRowHeight="15"/>
  <cols>
    <col min="2" max="2" width="18.7109375" customWidth="1"/>
    <col min="3" max="3" width="57.140625" customWidth="1"/>
    <col min="4" max="4" width="16.7109375" customWidth="1"/>
    <col min="5" max="5" width="11.5703125" bestFit="1" customWidth="1"/>
    <col min="6" max="6" width="14" customWidth="1"/>
    <col min="7" max="7" width="22.28515625" customWidth="1"/>
  </cols>
  <sheetData>
    <row r="1" spans="2:7">
      <c r="B1" s="1255" t="s">
        <v>1053</v>
      </c>
      <c r="C1" s="1255"/>
      <c r="D1" s="1255"/>
      <c r="E1" s="1255"/>
      <c r="F1" s="1255"/>
      <c r="G1" s="1255"/>
    </row>
    <row r="2" spans="2:7">
      <c r="B2" s="1255"/>
      <c r="C2" s="1255"/>
      <c r="D2" s="1255"/>
      <c r="E2" s="1255"/>
      <c r="F2" s="1255"/>
      <c r="G2" s="1255"/>
    </row>
    <row r="3" spans="2:7">
      <c r="B3" s="1255"/>
      <c r="C3" s="1255"/>
      <c r="D3" s="1255"/>
      <c r="E3" s="1255"/>
      <c r="F3" s="1255"/>
      <c r="G3" s="1255"/>
    </row>
    <row r="4" spans="2:7">
      <c r="B4" s="1255"/>
      <c r="C4" s="1255"/>
      <c r="D4" s="1255"/>
      <c r="E4" s="1255"/>
      <c r="F4" s="1255"/>
      <c r="G4" s="1255"/>
    </row>
    <row r="5" spans="2:7" ht="44.25" customHeight="1">
      <c r="B5" s="915" t="s">
        <v>84</v>
      </c>
      <c r="C5" s="626" t="s">
        <v>195</v>
      </c>
      <c r="D5" s="627" t="s">
        <v>21</v>
      </c>
      <c r="E5" s="628" t="s">
        <v>291</v>
      </c>
      <c r="F5" s="629" t="s">
        <v>292</v>
      </c>
      <c r="G5" s="630" t="s">
        <v>293</v>
      </c>
    </row>
    <row r="6" spans="2:7">
      <c r="B6" s="138" t="s">
        <v>335</v>
      </c>
      <c r="C6" s="139" t="s">
        <v>309</v>
      </c>
      <c r="D6" s="140" t="s">
        <v>296</v>
      </c>
      <c r="E6" s="141">
        <v>0.2</v>
      </c>
      <c r="F6" s="141">
        <v>17.32</v>
      </c>
      <c r="G6" s="149">
        <f>E6*F6</f>
        <v>3.4640000000000004</v>
      </c>
    </row>
    <row r="7" spans="2:7" ht="24.75">
      <c r="B7" s="142" t="s">
        <v>614</v>
      </c>
      <c r="C7" s="143" t="s">
        <v>323</v>
      </c>
      <c r="D7" s="140" t="s">
        <v>296</v>
      </c>
      <c r="E7" s="141">
        <v>0.35</v>
      </c>
      <c r="F7" s="141">
        <v>69.19</v>
      </c>
      <c r="G7" s="149">
        <f>E7*F7</f>
        <v>24.216499999999996</v>
      </c>
    </row>
    <row r="8" spans="2:7" ht="51.75" customHeight="1">
      <c r="B8" s="144" t="s">
        <v>614</v>
      </c>
      <c r="C8" s="145" t="s">
        <v>322</v>
      </c>
      <c r="D8" s="146" t="s">
        <v>296</v>
      </c>
      <c r="E8" s="148">
        <v>0.25</v>
      </c>
      <c r="F8" s="147">
        <v>57.07</v>
      </c>
      <c r="G8" s="150">
        <f>E8*F8</f>
        <v>14.2675</v>
      </c>
    </row>
    <row r="9" spans="2:7" ht="51.75" customHeight="1">
      <c r="B9" s="144" t="s">
        <v>614</v>
      </c>
      <c r="C9" s="143" t="s">
        <v>324</v>
      </c>
      <c r="D9" s="152" t="s">
        <v>296</v>
      </c>
      <c r="E9" s="141">
        <v>0.2</v>
      </c>
      <c r="F9" s="158">
        <v>28.63</v>
      </c>
      <c r="G9" s="150">
        <f>E9*F9</f>
        <v>5.726</v>
      </c>
    </row>
    <row r="10" spans="2:7" ht="51.75" customHeight="1">
      <c r="B10" s="152" t="s">
        <v>1616</v>
      </c>
      <c r="C10" s="159" t="s">
        <v>325</v>
      </c>
      <c r="D10" s="152" t="s">
        <v>15</v>
      </c>
      <c r="E10" s="141">
        <v>1.2</v>
      </c>
      <c r="F10" s="158">
        <v>90</v>
      </c>
      <c r="G10" s="151">
        <f>E10*F10</f>
        <v>108</v>
      </c>
    </row>
    <row r="11" spans="2:7">
      <c r="B11" s="160"/>
      <c r="C11" s="161"/>
      <c r="D11" s="1265" t="s">
        <v>297</v>
      </c>
      <c r="E11" s="1245"/>
      <c r="F11" s="162"/>
      <c r="G11" s="163">
        <f>G6</f>
        <v>3.4640000000000004</v>
      </c>
    </row>
    <row r="12" spans="2:7">
      <c r="B12" s="160"/>
      <c r="C12" s="161"/>
      <c r="D12" s="680" t="s">
        <v>298</v>
      </c>
      <c r="E12" s="164"/>
      <c r="F12" s="162"/>
      <c r="G12" s="163">
        <f>SUM(G10)</f>
        <v>108</v>
      </c>
    </row>
    <row r="13" spans="2:7">
      <c r="B13" s="160"/>
      <c r="C13" s="161"/>
      <c r="D13" s="1266" t="s">
        <v>299</v>
      </c>
      <c r="E13" s="1246"/>
      <c r="F13" s="162"/>
      <c r="G13" s="165">
        <f>SUM(G9,G8,G7)</f>
        <v>44.209999999999994</v>
      </c>
    </row>
    <row r="14" spans="2:7" ht="15.75" thickBot="1">
      <c r="B14" s="166"/>
      <c r="C14" s="167"/>
      <c r="D14" s="168" t="s">
        <v>300</v>
      </c>
      <c r="E14" s="169"/>
      <c r="F14" s="170"/>
      <c r="G14" s="171">
        <f>SUM(G11:G13)</f>
        <v>155.67399999999998</v>
      </c>
    </row>
    <row r="15" spans="2:7" ht="15.75" thickBot="1">
      <c r="B15" s="219"/>
      <c r="C15" s="219"/>
      <c r="D15" s="219"/>
      <c r="E15" s="219"/>
      <c r="F15" s="219"/>
      <c r="G15" s="219"/>
    </row>
    <row r="16" spans="2:7">
      <c r="B16" s="915" t="s">
        <v>301</v>
      </c>
      <c r="C16" s="324" t="s">
        <v>645</v>
      </c>
      <c r="D16" s="154" t="s">
        <v>21</v>
      </c>
      <c r="E16" s="155" t="s">
        <v>291</v>
      </c>
      <c r="F16" s="156" t="s">
        <v>292</v>
      </c>
      <c r="G16" s="157" t="s">
        <v>293</v>
      </c>
    </row>
    <row r="17" spans="2:7">
      <c r="B17" s="138" t="s">
        <v>335</v>
      </c>
      <c r="C17" s="139" t="s">
        <v>309</v>
      </c>
      <c r="D17" s="140" t="s">
        <v>296</v>
      </c>
      <c r="E17" s="141">
        <v>1</v>
      </c>
      <c r="F17" s="142">
        <v>17.32</v>
      </c>
      <c r="G17" s="173">
        <f>E17*F17</f>
        <v>17.32</v>
      </c>
    </row>
    <row r="18" spans="2:7">
      <c r="B18" s="142" t="s">
        <v>453</v>
      </c>
      <c r="C18" s="321" t="s">
        <v>454</v>
      </c>
      <c r="D18" s="142" t="s">
        <v>296</v>
      </c>
      <c r="E18" s="142">
        <v>0.1</v>
      </c>
      <c r="F18" s="142">
        <v>21.65</v>
      </c>
      <c r="G18" s="173">
        <f>E18*F18</f>
        <v>2.165</v>
      </c>
    </row>
    <row r="19" spans="2:7">
      <c r="B19" s="160"/>
      <c r="C19" s="161"/>
      <c r="D19" s="1267" t="s">
        <v>297</v>
      </c>
      <c r="E19" s="1256"/>
      <c r="F19" s="174"/>
      <c r="G19" s="175">
        <f>SUM(G17:G18)</f>
        <v>19.484999999999999</v>
      </c>
    </row>
    <row r="20" spans="2:7">
      <c r="B20" s="160"/>
      <c r="C20" s="161"/>
      <c r="D20" s="680" t="s">
        <v>298</v>
      </c>
      <c r="E20" s="164"/>
      <c r="F20" s="162"/>
      <c r="G20" s="163">
        <v>0</v>
      </c>
    </row>
    <row r="21" spans="2:7">
      <c r="B21" s="160"/>
      <c r="C21" s="161"/>
      <c r="D21" s="1266" t="s">
        <v>299</v>
      </c>
      <c r="E21" s="1246"/>
      <c r="F21" s="162"/>
      <c r="G21" s="163">
        <v>0</v>
      </c>
    </row>
    <row r="22" spans="2:7" ht="15.75" thickBot="1">
      <c r="B22" s="166"/>
      <c r="C22" s="167"/>
      <c r="D22" s="168" t="s">
        <v>300</v>
      </c>
      <c r="E22" s="169"/>
      <c r="F22" s="170"/>
      <c r="G22" s="171">
        <f>SUM(G19:G21)</f>
        <v>19.484999999999999</v>
      </c>
    </row>
    <row r="23" spans="2:7" ht="15.75" thickBot="1">
      <c r="B23" s="219"/>
      <c r="C23" s="219"/>
      <c r="D23" s="219"/>
      <c r="E23" s="219"/>
      <c r="F23" s="219"/>
      <c r="G23" s="219"/>
    </row>
    <row r="24" spans="2:7" ht="55.5" customHeight="1">
      <c r="B24" s="915" t="s">
        <v>302</v>
      </c>
      <c r="C24" s="345" t="s">
        <v>86</v>
      </c>
      <c r="D24" s="154" t="s">
        <v>21</v>
      </c>
      <c r="E24" s="155" t="s">
        <v>291</v>
      </c>
      <c r="F24" s="156" t="s">
        <v>292</v>
      </c>
      <c r="G24" s="157" t="s">
        <v>293</v>
      </c>
    </row>
    <row r="25" spans="2:7" ht="36">
      <c r="B25" s="138" t="s">
        <v>1542</v>
      </c>
      <c r="C25" s="139" t="s">
        <v>294</v>
      </c>
      <c r="D25" s="140" t="s">
        <v>21</v>
      </c>
      <c r="E25" s="316">
        <v>1</v>
      </c>
      <c r="F25" s="172">
        <v>14.56</v>
      </c>
      <c r="G25" s="317">
        <f>E25*F25</f>
        <v>14.56</v>
      </c>
    </row>
    <row r="26" spans="2:7" ht="24">
      <c r="B26" s="138" t="s">
        <v>1543</v>
      </c>
      <c r="C26" s="139" t="s">
        <v>295</v>
      </c>
      <c r="D26" s="140" t="s">
        <v>296</v>
      </c>
      <c r="E26" s="316">
        <v>0.2</v>
      </c>
      <c r="F26" s="172">
        <v>20.43</v>
      </c>
      <c r="G26" s="317">
        <f>E26*F26</f>
        <v>4.0860000000000003</v>
      </c>
    </row>
    <row r="27" spans="2:7">
      <c r="B27" s="160"/>
      <c r="C27" s="161"/>
      <c r="D27" s="1267" t="s">
        <v>297</v>
      </c>
      <c r="E27" s="1256"/>
      <c r="F27" s="174"/>
      <c r="G27" s="318">
        <f>G26</f>
        <v>4.0860000000000003</v>
      </c>
    </row>
    <row r="28" spans="2:7">
      <c r="B28" s="160"/>
      <c r="C28" s="161"/>
      <c r="D28" s="680" t="s">
        <v>298</v>
      </c>
      <c r="E28" s="164"/>
      <c r="F28" s="162"/>
      <c r="G28" s="319">
        <f>G25</f>
        <v>14.56</v>
      </c>
    </row>
    <row r="29" spans="2:7">
      <c r="B29" s="160"/>
      <c r="C29" s="161"/>
      <c r="D29" s="1266" t="s">
        <v>299</v>
      </c>
      <c r="E29" s="1246"/>
      <c r="F29" s="162"/>
      <c r="G29" s="319">
        <v>0</v>
      </c>
    </row>
    <row r="30" spans="2:7" ht="15.75" thickBot="1">
      <c r="B30" s="166"/>
      <c r="C30" s="167"/>
      <c r="D30" s="168" t="s">
        <v>300</v>
      </c>
      <c r="E30" s="169"/>
      <c r="F30" s="170"/>
      <c r="G30" s="320">
        <f>SUM(G27:G29)</f>
        <v>18.646000000000001</v>
      </c>
    </row>
    <row r="31" spans="2:7" ht="15.75" thickBot="1">
      <c r="B31" s="219"/>
      <c r="C31" s="219"/>
      <c r="D31" s="219"/>
      <c r="E31" s="219"/>
      <c r="F31" s="219"/>
      <c r="G31" s="219"/>
    </row>
    <row r="32" spans="2:7">
      <c r="B32" s="915" t="s">
        <v>314</v>
      </c>
      <c r="C32" s="345" t="s">
        <v>303</v>
      </c>
      <c r="D32" s="154" t="s">
        <v>21</v>
      </c>
      <c r="E32" s="155" t="s">
        <v>291</v>
      </c>
      <c r="F32" s="156" t="s">
        <v>292</v>
      </c>
      <c r="G32" s="157" t="s">
        <v>293</v>
      </c>
    </row>
    <row r="33" spans="2:7">
      <c r="B33" s="138" t="s">
        <v>304</v>
      </c>
      <c r="C33" s="139" t="s">
        <v>305</v>
      </c>
      <c r="D33" s="140" t="s">
        <v>21</v>
      </c>
      <c r="E33" s="316">
        <v>0.25</v>
      </c>
      <c r="F33" s="172">
        <v>62.33</v>
      </c>
      <c r="G33" s="317">
        <f>E33*F33</f>
        <v>15.5825</v>
      </c>
    </row>
    <row r="34" spans="2:7" ht="24">
      <c r="B34" s="138" t="s">
        <v>306</v>
      </c>
      <c r="C34" s="139" t="s">
        <v>307</v>
      </c>
      <c r="D34" s="140" t="s">
        <v>296</v>
      </c>
      <c r="E34" s="316">
        <v>0.34599999999999997</v>
      </c>
      <c r="F34" s="172">
        <v>21.16</v>
      </c>
      <c r="G34" s="317">
        <f>E34*F34</f>
        <v>7.3213599999999994</v>
      </c>
    </row>
    <row r="35" spans="2:7">
      <c r="B35" s="138" t="s">
        <v>308</v>
      </c>
      <c r="C35" s="139" t="s">
        <v>309</v>
      </c>
      <c r="D35" s="140" t="s">
        <v>296</v>
      </c>
      <c r="E35" s="316">
        <v>0.315</v>
      </c>
      <c r="F35" s="172">
        <v>17.32</v>
      </c>
      <c r="G35" s="317">
        <f>E35*F35</f>
        <v>5.4558</v>
      </c>
    </row>
    <row r="36" spans="2:7" ht="24">
      <c r="B36" s="138" t="s">
        <v>310</v>
      </c>
      <c r="C36" s="139" t="s">
        <v>311</v>
      </c>
      <c r="D36" s="140" t="s">
        <v>77</v>
      </c>
      <c r="E36" s="316">
        <v>0.3</v>
      </c>
      <c r="F36" s="172">
        <v>16.5</v>
      </c>
      <c r="G36" s="317">
        <f>E36*F36</f>
        <v>4.95</v>
      </c>
    </row>
    <row r="37" spans="2:7">
      <c r="B37" s="138" t="s">
        <v>312</v>
      </c>
      <c r="C37" s="139" t="s">
        <v>313</v>
      </c>
      <c r="D37" s="140" t="s">
        <v>21</v>
      </c>
      <c r="E37" s="316">
        <v>0.1</v>
      </c>
      <c r="F37" s="172">
        <v>24.83</v>
      </c>
      <c r="G37" s="317">
        <f>E37*F37</f>
        <v>2.4830000000000001</v>
      </c>
    </row>
    <row r="38" spans="2:7">
      <c r="B38" s="160"/>
      <c r="C38" s="161"/>
      <c r="D38" s="1267" t="s">
        <v>297</v>
      </c>
      <c r="E38" s="1256"/>
      <c r="F38" s="174"/>
      <c r="G38" s="318">
        <f>G34+G35</f>
        <v>12.777159999999999</v>
      </c>
    </row>
    <row r="39" spans="2:7">
      <c r="B39" s="160"/>
      <c r="C39" s="161"/>
      <c r="D39" s="680" t="s">
        <v>298</v>
      </c>
      <c r="E39" s="164"/>
      <c r="F39" s="162"/>
      <c r="G39" s="319">
        <f>G33+G36+G37</f>
        <v>23.015499999999999</v>
      </c>
    </row>
    <row r="40" spans="2:7">
      <c r="B40" s="160"/>
      <c r="C40" s="161"/>
      <c r="D40" s="1266" t="s">
        <v>299</v>
      </c>
      <c r="E40" s="1246"/>
      <c r="F40" s="162"/>
      <c r="G40" s="319">
        <v>0</v>
      </c>
    </row>
    <row r="41" spans="2:7" ht="15.75" thickBot="1">
      <c r="B41" s="166"/>
      <c r="C41" s="167"/>
      <c r="D41" s="168" t="s">
        <v>300</v>
      </c>
      <c r="E41" s="169"/>
      <c r="F41" s="170"/>
      <c r="G41" s="320">
        <f>SUM(G38:G40)</f>
        <v>35.792659999999998</v>
      </c>
    </row>
    <row r="42" spans="2:7">
      <c r="B42" s="219"/>
      <c r="C42" s="219"/>
      <c r="D42" s="219"/>
      <c r="E42" s="219"/>
      <c r="F42" s="219"/>
      <c r="G42" s="219"/>
    </row>
    <row r="43" spans="2:7">
      <c r="B43" s="219"/>
      <c r="C43" s="219"/>
      <c r="D43" s="219"/>
      <c r="E43" s="219"/>
      <c r="F43" s="219"/>
      <c r="G43" s="219"/>
    </row>
    <row r="44" spans="2:7">
      <c r="B44" s="219"/>
      <c r="C44" s="219"/>
      <c r="D44" s="219"/>
      <c r="E44" s="219"/>
      <c r="F44" s="219"/>
      <c r="G44" s="219"/>
    </row>
    <row r="45" spans="2:7" ht="15.75" thickBot="1">
      <c r="B45" s="219"/>
      <c r="C45" s="219"/>
      <c r="D45" s="219"/>
      <c r="E45" s="219"/>
      <c r="F45" s="219"/>
      <c r="G45" s="219"/>
    </row>
    <row r="46" spans="2:7">
      <c r="B46" s="915" t="s">
        <v>315</v>
      </c>
      <c r="C46" s="345" t="s">
        <v>98</v>
      </c>
      <c r="D46" s="154" t="s">
        <v>7</v>
      </c>
      <c r="E46" s="155" t="s">
        <v>291</v>
      </c>
      <c r="F46" s="156" t="s">
        <v>292</v>
      </c>
      <c r="G46" s="157" t="s">
        <v>293</v>
      </c>
    </row>
    <row r="47" spans="2:7">
      <c r="B47" s="138" t="s">
        <v>614</v>
      </c>
      <c r="C47" s="847" t="s">
        <v>336</v>
      </c>
      <c r="D47" s="138" t="s">
        <v>21</v>
      </c>
      <c r="E47" s="138">
        <v>0.5</v>
      </c>
      <c r="F47" s="172">
        <v>179.9</v>
      </c>
      <c r="G47" s="173">
        <f>E47*F47</f>
        <v>89.95</v>
      </c>
    </row>
    <row r="48" spans="2:7" ht="24">
      <c r="B48" s="138" t="s">
        <v>614</v>
      </c>
      <c r="C48" s="139" t="s">
        <v>318</v>
      </c>
      <c r="D48" s="140" t="s">
        <v>317</v>
      </c>
      <c r="E48" s="316">
        <f>0.18*5.12</f>
        <v>0.92159999999999997</v>
      </c>
      <c r="F48" s="172">
        <v>12.56</v>
      </c>
      <c r="G48" s="173">
        <f>E48*F48</f>
        <v>11.575296</v>
      </c>
    </row>
    <row r="49" spans="2:7" ht="24">
      <c r="B49" s="138" t="s">
        <v>614</v>
      </c>
      <c r="C49" s="139" t="s">
        <v>319</v>
      </c>
      <c r="D49" s="140" t="s">
        <v>77</v>
      </c>
      <c r="E49" s="316">
        <v>0.29899999999999999</v>
      </c>
      <c r="F49" s="172">
        <v>48.83</v>
      </c>
      <c r="G49" s="173">
        <f>E49*F49</f>
        <v>14.600169999999999</v>
      </c>
    </row>
    <row r="50" spans="2:7">
      <c r="B50" s="138" t="s">
        <v>1271</v>
      </c>
      <c r="C50" s="139" t="s">
        <v>320</v>
      </c>
      <c r="D50" s="140" t="s">
        <v>296</v>
      </c>
      <c r="E50" s="316">
        <v>0.1111</v>
      </c>
      <c r="F50" s="172">
        <v>17.27</v>
      </c>
      <c r="G50" s="173">
        <f>E50*F50</f>
        <v>1.9186970000000001</v>
      </c>
    </row>
    <row r="51" spans="2:7">
      <c r="B51" s="138" t="s">
        <v>1550</v>
      </c>
      <c r="C51" s="139" t="s">
        <v>321</v>
      </c>
      <c r="D51" s="140" t="s">
        <v>296</v>
      </c>
      <c r="E51" s="316">
        <v>0.9</v>
      </c>
      <c r="F51" s="172">
        <v>21.53</v>
      </c>
      <c r="G51" s="173">
        <f>E51*F51</f>
        <v>19.377000000000002</v>
      </c>
    </row>
    <row r="52" spans="2:7">
      <c r="B52" s="160"/>
      <c r="C52" s="161"/>
      <c r="D52" s="1267" t="s">
        <v>297</v>
      </c>
      <c r="E52" s="1256"/>
      <c r="F52" s="174"/>
      <c r="G52" s="175">
        <f>G50+G51</f>
        <v>21.295697000000004</v>
      </c>
    </row>
    <row r="53" spans="2:7">
      <c r="B53" s="160"/>
      <c r="C53" s="161"/>
      <c r="D53" s="680" t="s">
        <v>298</v>
      </c>
      <c r="E53" s="164"/>
      <c r="F53" s="162"/>
      <c r="G53" s="163">
        <f>G48+G49+G47</f>
        <v>116.125466</v>
      </c>
    </row>
    <row r="54" spans="2:7">
      <c r="B54" s="160"/>
      <c r="C54" s="161"/>
      <c r="D54" s="1266" t="s">
        <v>299</v>
      </c>
      <c r="E54" s="1246"/>
      <c r="F54" s="162"/>
      <c r="G54" s="163">
        <v>0</v>
      </c>
    </row>
    <row r="55" spans="2:7" ht="15.75" thickBot="1">
      <c r="B55" s="166"/>
      <c r="C55" s="167"/>
      <c r="D55" s="168" t="s">
        <v>300</v>
      </c>
      <c r="E55" s="169"/>
      <c r="F55" s="170"/>
      <c r="G55" s="171">
        <f>SUM(G52:G54)</f>
        <v>137.42116300000001</v>
      </c>
    </row>
    <row r="56" spans="2:7">
      <c r="B56" s="219"/>
      <c r="C56" s="219"/>
      <c r="D56" s="219"/>
      <c r="E56" s="219"/>
      <c r="F56" s="219"/>
      <c r="G56" s="219"/>
    </row>
    <row r="57" spans="2:7">
      <c r="B57" s="219"/>
      <c r="C57" s="219"/>
      <c r="D57" s="219"/>
      <c r="E57" s="219"/>
      <c r="F57" s="219"/>
      <c r="G57" s="219"/>
    </row>
    <row r="58" spans="2:7" ht="15.75" thickBot="1">
      <c r="B58" s="219"/>
      <c r="C58" s="219"/>
      <c r="D58" s="219"/>
      <c r="E58" s="219"/>
      <c r="F58" s="219"/>
      <c r="G58" s="219"/>
    </row>
    <row r="59" spans="2:7">
      <c r="B59" s="915" t="s">
        <v>316</v>
      </c>
      <c r="C59" s="345" t="s">
        <v>326</v>
      </c>
      <c r="D59" s="154" t="s">
        <v>7</v>
      </c>
      <c r="E59" s="155" t="s">
        <v>291</v>
      </c>
      <c r="F59" s="156" t="s">
        <v>292</v>
      </c>
      <c r="G59" s="157" t="s">
        <v>293</v>
      </c>
    </row>
    <row r="60" spans="2:7">
      <c r="B60" s="142" t="s">
        <v>333</v>
      </c>
      <c r="C60" s="321" t="s">
        <v>334</v>
      </c>
      <c r="D60" s="142" t="s">
        <v>296</v>
      </c>
      <c r="E60" s="323">
        <v>0.9</v>
      </c>
      <c r="F60" s="323">
        <v>21.43</v>
      </c>
      <c r="G60" s="323">
        <f t="shared" ref="G60:G66" si="0">E60*F60</f>
        <v>19.286999999999999</v>
      </c>
    </row>
    <row r="61" spans="2:7">
      <c r="B61" s="138" t="s">
        <v>335</v>
      </c>
      <c r="C61" s="139" t="s">
        <v>309</v>
      </c>
      <c r="D61" s="142" t="s">
        <v>296</v>
      </c>
      <c r="E61" s="323">
        <v>0.18</v>
      </c>
      <c r="F61" s="323">
        <v>17.32</v>
      </c>
      <c r="G61" s="323">
        <f t="shared" si="0"/>
        <v>3.1175999999999999</v>
      </c>
    </row>
    <row r="62" spans="2:7" ht="24">
      <c r="B62" s="142" t="s">
        <v>614</v>
      </c>
      <c r="C62" s="322" t="s">
        <v>327</v>
      </c>
      <c r="D62" s="152" t="s">
        <v>77</v>
      </c>
      <c r="E62" s="323">
        <v>0.9</v>
      </c>
      <c r="F62" s="323">
        <v>28.93</v>
      </c>
      <c r="G62" s="232">
        <f t="shared" si="0"/>
        <v>26.036999999999999</v>
      </c>
    </row>
    <row r="63" spans="2:7" ht="24">
      <c r="B63" s="142" t="s">
        <v>328</v>
      </c>
      <c r="C63" s="297" t="s">
        <v>329</v>
      </c>
      <c r="D63" s="152" t="s">
        <v>21</v>
      </c>
      <c r="E63" s="323">
        <v>0.54</v>
      </c>
      <c r="F63" s="323">
        <v>12.63</v>
      </c>
      <c r="G63" s="232">
        <f t="shared" si="0"/>
        <v>6.8202000000000007</v>
      </c>
    </row>
    <row r="64" spans="2:7" ht="24">
      <c r="B64" s="142" t="s">
        <v>614</v>
      </c>
      <c r="C64" s="322" t="s">
        <v>330</v>
      </c>
      <c r="D64" s="152" t="s">
        <v>77</v>
      </c>
      <c r="E64" s="323">
        <v>0.18</v>
      </c>
      <c r="F64" s="323">
        <v>6.33</v>
      </c>
      <c r="G64" s="232">
        <f t="shared" si="0"/>
        <v>1.1394</v>
      </c>
    </row>
    <row r="65" spans="2:7">
      <c r="B65" s="142" t="s">
        <v>614</v>
      </c>
      <c r="C65" s="322" t="s">
        <v>331</v>
      </c>
      <c r="D65" s="152" t="s">
        <v>21</v>
      </c>
      <c r="E65" s="323">
        <v>1.08</v>
      </c>
      <c r="F65" s="323">
        <v>3.48</v>
      </c>
      <c r="G65" s="232">
        <f t="shared" si="0"/>
        <v>3.7584000000000004</v>
      </c>
    </row>
    <row r="66" spans="2:7" ht="48">
      <c r="B66" s="142" t="s">
        <v>614</v>
      </c>
      <c r="C66" s="258" t="s">
        <v>332</v>
      </c>
      <c r="D66" s="152" t="s">
        <v>21</v>
      </c>
      <c r="E66" s="323">
        <v>0.18</v>
      </c>
      <c r="F66" s="323">
        <v>55.54</v>
      </c>
      <c r="G66" s="232">
        <f t="shared" si="0"/>
        <v>9.9971999999999994</v>
      </c>
    </row>
    <row r="67" spans="2:7">
      <c r="B67" s="233"/>
      <c r="C67" s="234"/>
      <c r="D67" s="1267" t="s">
        <v>297</v>
      </c>
      <c r="E67" s="1256"/>
      <c r="F67" s="174"/>
      <c r="G67" s="175">
        <f>G64+G65</f>
        <v>4.8978000000000002</v>
      </c>
    </row>
    <row r="68" spans="2:7">
      <c r="B68" s="233"/>
      <c r="C68" s="234"/>
      <c r="D68" s="680" t="s">
        <v>298</v>
      </c>
      <c r="E68" s="164"/>
      <c r="F68" s="162"/>
      <c r="G68" s="163">
        <f>SUM(G62,G63,G64,G65,G66)</f>
        <v>47.752200000000002</v>
      </c>
    </row>
    <row r="69" spans="2:7">
      <c r="B69" s="233"/>
      <c r="C69" s="234"/>
      <c r="D69" s="1266" t="s">
        <v>299</v>
      </c>
      <c r="E69" s="1246"/>
      <c r="F69" s="162"/>
      <c r="G69" s="163">
        <v>0</v>
      </c>
    </row>
    <row r="70" spans="2:7" ht="15.75" thickBot="1">
      <c r="B70" s="235"/>
      <c r="C70" s="236"/>
      <c r="D70" s="168" t="s">
        <v>300</v>
      </c>
      <c r="E70" s="169"/>
      <c r="F70" s="170"/>
      <c r="G70" s="171">
        <f>SUM(G67:G69)</f>
        <v>52.650000000000006</v>
      </c>
    </row>
    <row r="71" spans="2:7">
      <c r="B71" s="219"/>
      <c r="C71" s="219"/>
      <c r="D71" s="219"/>
      <c r="E71" s="219"/>
      <c r="F71" s="219"/>
      <c r="G71" s="219"/>
    </row>
    <row r="72" spans="2:7">
      <c r="B72" s="219"/>
      <c r="C72" s="219"/>
      <c r="D72" s="219"/>
      <c r="E72" s="219"/>
      <c r="F72" s="219"/>
      <c r="G72" s="219"/>
    </row>
    <row r="73" spans="2:7" ht="15.75" thickBot="1">
      <c r="B73" s="219"/>
      <c r="C73" s="219"/>
      <c r="D73" s="219"/>
      <c r="E73" s="219"/>
      <c r="F73" s="219"/>
      <c r="G73" s="219"/>
    </row>
    <row r="74" spans="2:7" ht="24.75" customHeight="1" thickBot="1">
      <c r="B74" s="918" t="s">
        <v>350</v>
      </c>
      <c r="C74" s="919" t="s">
        <v>343</v>
      </c>
      <c r="D74" s="920" t="s">
        <v>7</v>
      </c>
      <c r="E74" s="921" t="s">
        <v>291</v>
      </c>
      <c r="F74" s="922" t="s">
        <v>292</v>
      </c>
      <c r="G74" s="923" t="s">
        <v>293</v>
      </c>
    </row>
    <row r="75" spans="2:7" ht="24.75">
      <c r="B75" s="916" t="s">
        <v>346</v>
      </c>
      <c r="C75" s="231" t="s">
        <v>347</v>
      </c>
      <c r="D75" s="916" t="s">
        <v>21</v>
      </c>
      <c r="E75" s="916">
        <v>0.25</v>
      </c>
      <c r="F75" s="916">
        <v>0.48</v>
      </c>
      <c r="G75" s="917">
        <f>E75*F75</f>
        <v>0.12</v>
      </c>
    </row>
    <row r="76" spans="2:7">
      <c r="B76" s="138" t="s">
        <v>348</v>
      </c>
      <c r="C76" s="139" t="s">
        <v>349</v>
      </c>
      <c r="D76" s="142" t="s">
        <v>296</v>
      </c>
      <c r="E76" s="142">
        <v>0.14000000000000001</v>
      </c>
      <c r="F76" s="142">
        <v>22.64</v>
      </c>
      <c r="G76" s="232">
        <f>E76*F76</f>
        <v>3.1696000000000004</v>
      </c>
    </row>
    <row r="77" spans="2:7">
      <c r="B77" s="233"/>
      <c r="C77" s="234"/>
      <c r="D77" s="1267" t="s">
        <v>297</v>
      </c>
      <c r="E77" s="1256"/>
      <c r="F77" s="174"/>
      <c r="G77" s="175">
        <f>G76</f>
        <v>3.1696000000000004</v>
      </c>
    </row>
    <row r="78" spans="2:7">
      <c r="B78" s="233"/>
      <c r="C78" s="234"/>
      <c r="D78" s="680" t="s">
        <v>298</v>
      </c>
      <c r="E78" s="164"/>
      <c r="F78" s="162"/>
      <c r="G78" s="163">
        <f>G75</f>
        <v>0.12</v>
      </c>
    </row>
    <row r="79" spans="2:7">
      <c r="B79" s="233"/>
      <c r="C79" s="234"/>
      <c r="D79" s="1266" t="s">
        <v>299</v>
      </c>
      <c r="E79" s="1246"/>
      <c r="F79" s="162"/>
      <c r="G79" s="163">
        <v>0</v>
      </c>
    </row>
    <row r="80" spans="2:7" ht="15.75" thickBot="1">
      <c r="B80" s="235"/>
      <c r="C80" s="236"/>
      <c r="D80" s="168" t="s">
        <v>300</v>
      </c>
      <c r="E80" s="169"/>
      <c r="F80" s="170"/>
      <c r="G80" s="171">
        <f>SUM(G77:G79)</f>
        <v>3.2896000000000005</v>
      </c>
    </row>
    <row r="81" spans="2:7">
      <c r="B81" s="234"/>
      <c r="C81" s="234"/>
      <c r="D81" s="740"/>
      <c r="E81" s="164"/>
      <c r="F81" s="162"/>
      <c r="G81" s="901"/>
    </row>
    <row r="82" spans="2:7" hidden="1">
      <c r="B82" s="153" t="s">
        <v>350</v>
      </c>
      <c r="C82" s="345" t="s">
        <v>326</v>
      </c>
      <c r="D82" s="154" t="s">
        <v>7</v>
      </c>
      <c r="E82" s="155" t="s">
        <v>291</v>
      </c>
      <c r="F82" s="156" t="s">
        <v>292</v>
      </c>
      <c r="G82" s="157" t="s">
        <v>293</v>
      </c>
    </row>
    <row r="83" spans="2:7" hidden="1">
      <c r="B83" s="142" t="s">
        <v>333</v>
      </c>
      <c r="C83" s="321" t="s">
        <v>334</v>
      </c>
      <c r="D83" s="142" t="s">
        <v>296</v>
      </c>
      <c r="E83" s="323">
        <v>0.1</v>
      </c>
      <c r="F83" s="323">
        <v>21.43</v>
      </c>
      <c r="G83" s="323">
        <f t="shared" ref="G83:G89" si="1">E83*F83</f>
        <v>2.1430000000000002</v>
      </c>
    </row>
    <row r="84" spans="2:7" hidden="1">
      <c r="B84" s="138" t="s">
        <v>335</v>
      </c>
      <c r="C84" s="139" t="s">
        <v>309</v>
      </c>
      <c r="D84" s="142" t="s">
        <v>296</v>
      </c>
      <c r="E84" s="323">
        <v>0.1</v>
      </c>
      <c r="F84" s="323">
        <v>17.32</v>
      </c>
      <c r="G84" s="323">
        <f t="shared" si="1"/>
        <v>1.7320000000000002</v>
      </c>
    </row>
    <row r="85" spans="2:7" hidden="1">
      <c r="B85" s="142" t="s">
        <v>614</v>
      </c>
      <c r="C85" s="322" t="s">
        <v>1593</v>
      </c>
      <c r="D85" s="152" t="s">
        <v>77</v>
      </c>
      <c r="E85" s="323">
        <v>0.1</v>
      </c>
      <c r="F85" s="323">
        <v>3</v>
      </c>
      <c r="G85" s="232">
        <f t="shared" si="1"/>
        <v>0.30000000000000004</v>
      </c>
    </row>
    <row r="86" spans="2:7" ht="24" hidden="1">
      <c r="B86" s="142" t="s">
        <v>328</v>
      </c>
      <c r="C86" s="297" t="s">
        <v>329</v>
      </c>
      <c r="D86" s="152" t="s">
        <v>21</v>
      </c>
      <c r="E86" s="323">
        <v>0.1</v>
      </c>
      <c r="F86" s="323">
        <v>12.63</v>
      </c>
      <c r="G86" s="232">
        <f t="shared" si="1"/>
        <v>1.2630000000000001</v>
      </c>
    </row>
    <row r="87" spans="2:7" hidden="1">
      <c r="B87" s="142" t="s">
        <v>614</v>
      </c>
      <c r="C87" s="322" t="s">
        <v>1595</v>
      </c>
      <c r="D87" s="152" t="s">
        <v>77</v>
      </c>
      <c r="E87" s="323">
        <v>0.18</v>
      </c>
      <c r="F87" s="323">
        <v>1.5</v>
      </c>
      <c r="G87" s="232">
        <f t="shared" si="1"/>
        <v>0.27</v>
      </c>
    </row>
    <row r="88" spans="2:7" hidden="1">
      <c r="B88" s="142" t="s">
        <v>614</v>
      </c>
      <c r="C88" s="322" t="s">
        <v>1594</v>
      </c>
      <c r="D88" s="152" t="s">
        <v>21</v>
      </c>
      <c r="E88" s="323">
        <v>1.0880000000000001</v>
      </c>
      <c r="F88" s="323">
        <v>0.5</v>
      </c>
      <c r="G88" s="232">
        <f t="shared" si="1"/>
        <v>0.54400000000000004</v>
      </c>
    </row>
    <row r="89" spans="2:7" ht="48" hidden="1">
      <c r="B89" s="142" t="s">
        <v>614</v>
      </c>
      <c r="C89" s="258" t="s">
        <v>332</v>
      </c>
      <c r="D89" s="152" t="s">
        <v>21</v>
      </c>
      <c r="E89" s="323">
        <v>0.1</v>
      </c>
      <c r="F89" s="323">
        <v>1</v>
      </c>
      <c r="G89" s="232">
        <f t="shared" si="1"/>
        <v>0.1</v>
      </c>
    </row>
    <row r="90" spans="2:7" hidden="1">
      <c r="B90" s="233"/>
      <c r="C90" s="234"/>
      <c r="D90" s="1267" t="s">
        <v>297</v>
      </c>
      <c r="E90" s="1256"/>
      <c r="F90" s="174"/>
      <c r="G90" s="175">
        <f>G87+G88</f>
        <v>0.81400000000000006</v>
      </c>
    </row>
    <row r="91" spans="2:7" hidden="1">
      <c r="B91" s="233"/>
      <c r="C91" s="234"/>
      <c r="D91" s="900" t="s">
        <v>298</v>
      </c>
      <c r="E91" s="164"/>
      <c r="F91" s="162"/>
      <c r="G91" s="163">
        <f>SUM(G85,G86,G87,G88,G89)</f>
        <v>2.4770000000000003</v>
      </c>
    </row>
    <row r="92" spans="2:7" hidden="1">
      <c r="B92" s="233"/>
      <c r="C92" s="234"/>
      <c r="D92" s="1266" t="s">
        <v>299</v>
      </c>
      <c r="E92" s="1246"/>
      <c r="F92" s="162"/>
      <c r="G92" s="163">
        <v>0</v>
      </c>
    </row>
    <row r="93" spans="2:7" ht="15.75" hidden="1" thickBot="1">
      <c r="B93" s="235"/>
      <c r="C93" s="236"/>
      <c r="D93" s="168" t="s">
        <v>300</v>
      </c>
      <c r="E93" s="169"/>
      <c r="F93" s="170"/>
      <c r="G93" s="171">
        <f>SUM(G90:G92)</f>
        <v>3.2910000000000004</v>
      </c>
    </row>
    <row r="94" spans="2:7" ht="15.75" thickBot="1">
      <c r="B94" s="234"/>
      <c r="C94" s="234"/>
      <c r="D94" s="740"/>
      <c r="E94" s="164"/>
      <c r="F94" s="162"/>
      <c r="G94" s="901"/>
    </row>
    <row r="95" spans="2:7" ht="15.75" thickBot="1">
      <c r="B95" s="918" t="s">
        <v>450</v>
      </c>
      <c r="C95" s="324" t="s">
        <v>1548</v>
      </c>
      <c r="D95" s="154" t="s">
        <v>21</v>
      </c>
      <c r="E95" s="155" t="s">
        <v>291</v>
      </c>
      <c r="F95" s="156" t="s">
        <v>292</v>
      </c>
      <c r="G95" s="157" t="s">
        <v>293</v>
      </c>
    </row>
    <row r="96" spans="2:7">
      <c r="B96" s="138" t="s">
        <v>335</v>
      </c>
      <c r="C96" s="139" t="s">
        <v>309</v>
      </c>
      <c r="D96" s="140" t="s">
        <v>296</v>
      </c>
      <c r="E96" s="172">
        <v>0.5</v>
      </c>
      <c r="F96" s="172">
        <v>17.32</v>
      </c>
      <c r="G96" s="173">
        <f>E96*F96</f>
        <v>8.66</v>
      </c>
    </row>
    <row r="97" spans="2:7">
      <c r="B97" s="160"/>
      <c r="C97" s="161"/>
      <c r="D97" s="1267" t="s">
        <v>297</v>
      </c>
      <c r="E97" s="1256"/>
      <c r="F97" s="174"/>
      <c r="G97" s="175">
        <f>G96</f>
        <v>8.66</v>
      </c>
    </row>
    <row r="98" spans="2:7">
      <c r="B98" s="160"/>
      <c r="C98" s="161"/>
      <c r="D98" s="680" t="s">
        <v>298</v>
      </c>
      <c r="E98" s="164"/>
      <c r="F98" s="162"/>
      <c r="G98" s="163">
        <v>0</v>
      </c>
    </row>
    <row r="99" spans="2:7">
      <c r="B99" s="160"/>
      <c r="C99" s="161"/>
      <c r="D99" s="1266" t="s">
        <v>299</v>
      </c>
      <c r="E99" s="1246"/>
      <c r="F99" s="162"/>
      <c r="G99" s="163">
        <v>0</v>
      </c>
    </row>
    <row r="100" spans="2:7" ht="15.75" thickBot="1">
      <c r="B100" s="166"/>
      <c r="C100" s="167"/>
      <c r="D100" s="168" t="s">
        <v>300</v>
      </c>
      <c r="E100" s="169"/>
      <c r="F100" s="170"/>
      <c r="G100" s="171">
        <f>SUM(G97:G99)</f>
        <v>8.66</v>
      </c>
    </row>
    <row r="101" spans="2:7" ht="15.75" thickBot="1">
      <c r="B101" s="219"/>
      <c r="C101" s="219"/>
      <c r="D101" s="219"/>
      <c r="E101" s="219"/>
      <c r="F101" s="219"/>
      <c r="G101" s="219"/>
    </row>
    <row r="102" spans="2:7" ht="39.75" customHeight="1" thickBot="1">
      <c r="B102" s="918" t="s">
        <v>457</v>
      </c>
      <c r="C102" s="324" t="s">
        <v>452</v>
      </c>
      <c r="D102" s="154" t="s">
        <v>7</v>
      </c>
      <c r="E102" s="155" t="s">
        <v>291</v>
      </c>
      <c r="F102" s="156" t="s">
        <v>292</v>
      </c>
      <c r="G102" s="157" t="s">
        <v>293</v>
      </c>
    </row>
    <row r="103" spans="2:7">
      <c r="B103" s="142" t="s">
        <v>453</v>
      </c>
      <c r="C103" s="321" t="s">
        <v>454</v>
      </c>
      <c r="D103" s="142" t="s">
        <v>296</v>
      </c>
      <c r="E103" s="142">
        <v>1</v>
      </c>
      <c r="F103" s="142">
        <v>21.65</v>
      </c>
      <c r="G103" s="232">
        <f>E103*F103</f>
        <v>21.65</v>
      </c>
    </row>
    <row r="104" spans="2:7">
      <c r="B104" s="138" t="s">
        <v>335</v>
      </c>
      <c r="C104" s="139" t="s">
        <v>309</v>
      </c>
      <c r="D104" s="142" t="s">
        <v>296</v>
      </c>
      <c r="E104" s="142">
        <v>0.18</v>
      </c>
      <c r="F104" s="142">
        <v>17.32</v>
      </c>
      <c r="G104" s="232">
        <f>E104*F104</f>
        <v>3.1175999999999999</v>
      </c>
    </row>
    <row r="105" spans="2:7" ht="48">
      <c r="B105" s="142" t="s">
        <v>614</v>
      </c>
      <c r="C105" s="322" t="s">
        <v>455</v>
      </c>
      <c r="D105" s="152" t="s">
        <v>7</v>
      </c>
      <c r="E105" s="323">
        <v>1</v>
      </c>
      <c r="F105" s="142">
        <v>581.27</v>
      </c>
      <c r="G105" s="232">
        <f>E105*F105</f>
        <v>581.27</v>
      </c>
    </row>
    <row r="106" spans="2:7" ht="36">
      <c r="B106" s="142" t="s">
        <v>614</v>
      </c>
      <c r="C106" s="312" t="s">
        <v>456</v>
      </c>
      <c r="D106" s="152" t="s">
        <v>15</v>
      </c>
      <c r="E106" s="323">
        <v>3.0000000000000001E-3</v>
      </c>
      <c r="F106" s="142">
        <v>449.72</v>
      </c>
      <c r="G106" s="232">
        <f>E106*F106</f>
        <v>1.3491600000000001</v>
      </c>
    </row>
    <row r="107" spans="2:7">
      <c r="B107" s="233"/>
      <c r="C107" s="234"/>
      <c r="D107" s="1267" t="s">
        <v>297</v>
      </c>
      <c r="E107" s="1256"/>
      <c r="F107" s="174"/>
      <c r="G107" s="175">
        <f>SUM(G103:G104)</f>
        <v>24.767599999999998</v>
      </c>
    </row>
    <row r="108" spans="2:7">
      <c r="B108" s="233"/>
      <c r="C108" s="234"/>
      <c r="D108" s="680" t="s">
        <v>298</v>
      </c>
      <c r="E108" s="164"/>
      <c r="F108" s="162"/>
      <c r="G108" s="163">
        <f>G106</f>
        <v>1.3491600000000001</v>
      </c>
    </row>
    <row r="109" spans="2:7">
      <c r="B109" s="233"/>
      <c r="C109" s="234"/>
      <c r="D109" s="1266" t="s">
        <v>299</v>
      </c>
      <c r="E109" s="1246"/>
      <c r="F109" s="162"/>
      <c r="G109" s="163">
        <f>G105</f>
        <v>581.27</v>
      </c>
    </row>
    <row r="110" spans="2:7" ht="15.75" thickBot="1">
      <c r="B110" s="235"/>
      <c r="C110" s="236"/>
      <c r="D110" s="168" t="s">
        <v>300</v>
      </c>
      <c r="E110" s="169"/>
      <c r="F110" s="170"/>
      <c r="G110" s="171">
        <f>SUM(G107:G109)</f>
        <v>607.38675999999998</v>
      </c>
    </row>
    <row r="111" spans="2:7" ht="15.75" thickBot="1">
      <c r="B111" s="219"/>
      <c r="C111" s="219"/>
      <c r="D111" s="219"/>
      <c r="E111" s="219"/>
      <c r="F111" s="219"/>
      <c r="G111" s="219"/>
    </row>
    <row r="112" spans="2:7" ht="24.75" thickBot="1">
      <c r="B112" s="918" t="s">
        <v>480</v>
      </c>
      <c r="C112" s="324" t="s">
        <v>451</v>
      </c>
      <c r="D112" s="154" t="s">
        <v>7</v>
      </c>
      <c r="E112" s="155" t="s">
        <v>291</v>
      </c>
      <c r="F112" s="156" t="s">
        <v>292</v>
      </c>
      <c r="G112" s="157" t="s">
        <v>293</v>
      </c>
    </row>
    <row r="113" spans="1:7">
      <c r="B113" s="142" t="s">
        <v>453</v>
      </c>
      <c r="C113" s="321" t="s">
        <v>454</v>
      </c>
      <c r="D113" s="142" t="s">
        <v>296</v>
      </c>
      <c r="E113" s="142">
        <v>1</v>
      </c>
      <c r="F113" s="142">
        <v>21.65</v>
      </c>
      <c r="G113" s="232">
        <f>E113*F113</f>
        <v>21.65</v>
      </c>
    </row>
    <row r="114" spans="1:7">
      <c r="B114" s="138" t="s">
        <v>335</v>
      </c>
      <c r="C114" s="139" t="s">
        <v>309</v>
      </c>
      <c r="D114" s="142" t="s">
        <v>296</v>
      </c>
      <c r="E114" s="142">
        <v>0.18</v>
      </c>
      <c r="F114" s="142">
        <v>17.32</v>
      </c>
      <c r="G114" s="232">
        <f>E114*F114</f>
        <v>3.1175999999999999</v>
      </c>
    </row>
    <row r="115" spans="1:7" ht="48">
      <c r="B115" s="142" t="s">
        <v>614</v>
      </c>
      <c r="C115" s="322" t="s">
        <v>479</v>
      </c>
      <c r="D115" s="152" t="s">
        <v>77</v>
      </c>
      <c r="E115" s="323">
        <v>0.5</v>
      </c>
      <c r="F115" s="323">
        <v>100.75</v>
      </c>
      <c r="G115" s="232">
        <f>E115*F115</f>
        <v>50.375</v>
      </c>
    </row>
    <row r="116" spans="1:7">
      <c r="B116" s="233"/>
      <c r="C116" s="234"/>
      <c r="D116" s="1267" t="s">
        <v>297</v>
      </c>
      <c r="E116" s="1256"/>
      <c r="F116" s="174"/>
      <c r="G116" s="175">
        <f>SUM(G113:G114)</f>
        <v>24.767599999999998</v>
      </c>
    </row>
    <row r="117" spans="1:7">
      <c r="B117" s="233"/>
      <c r="C117" s="234"/>
      <c r="D117" s="680" t="s">
        <v>298</v>
      </c>
      <c r="E117" s="164"/>
      <c r="F117" s="162"/>
      <c r="G117" s="163">
        <f>G115</f>
        <v>50.375</v>
      </c>
    </row>
    <row r="118" spans="1:7">
      <c r="B118" s="233"/>
      <c r="C118" s="234"/>
      <c r="D118" s="1266" t="s">
        <v>299</v>
      </c>
      <c r="E118" s="1246"/>
      <c r="F118" s="162"/>
      <c r="G118" s="163"/>
    </row>
    <row r="119" spans="1:7" ht="15.75" thickBot="1">
      <c r="B119" s="235"/>
      <c r="C119" s="236"/>
      <c r="D119" s="168" t="s">
        <v>300</v>
      </c>
      <c r="E119" s="169"/>
      <c r="F119" s="170"/>
      <c r="G119" s="171">
        <f>SUM(G116:G118)</f>
        <v>75.142600000000002</v>
      </c>
    </row>
    <row r="120" spans="1:7" ht="15.75" thickBot="1">
      <c r="B120" s="219"/>
      <c r="C120" s="219"/>
      <c r="D120" s="219"/>
      <c r="E120" s="219"/>
      <c r="F120" s="219"/>
      <c r="G120" s="219"/>
    </row>
    <row r="121" spans="1:7" ht="15.75" thickBot="1">
      <c r="B121" s="918" t="s">
        <v>522</v>
      </c>
      <c r="C121" s="324" t="s">
        <v>648</v>
      </c>
      <c r="D121" s="154" t="s">
        <v>7</v>
      </c>
      <c r="E121" s="155" t="s">
        <v>291</v>
      </c>
      <c r="F121" s="156" t="s">
        <v>292</v>
      </c>
      <c r="G121" s="157" t="s">
        <v>293</v>
      </c>
    </row>
    <row r="122" spans="1:7">
      <c r="A122" t="s">
        <v>523</v>
      </c>
      <c r="B122" s="152" t="s">
        <v>614</v>
      </c>
      <c r="C122" s="312" t="s">
        <v>647</v>
      </c>
      <c r="D122" s="152" t="s">
        <v>7</v>
      </c>
      <c r="E122" s="152">
        <v>1</v>
      </c>
      <c r="F122" s="152">
        <v>22.5</v>
      </c>
      <c r="G122" s="359">
        <f t="shared" ref="G122:G127" si="2">E122*F122</f>
        <v>22.5</v>
      </c>
    </row>
    <row r="123" spans="1:7">
      <c r="B123" s="152" t="s">
        <v>614</v>
      </c>
      <c r="C123" s="312" t="s">
        <v>649</v>
      </c>
      <c r="D123" s="152" t="s">
        <v>7</v>
      </c>
      <c r="E123" s="152">
        <v>1</v>
      </c>
      <c r="F123" s="152">
        <v>50.68</v>
      </c>
      <c r="G123" s="359">
        <f t="shared" si="2"/>
        <v>50.68</v>
      </c>
    </row>
    <row r="124" spans="1:7" ht="24.75">
      <c r="B124" s="152" t="s">
        <v>346</v>
      </c>
      <c r="C124" s="283" t="s">
        <v>347</v>
      </c>
      <c r="D124" s="152" t="s">
        <v>21</v>
      </c>
      <c r="E124" s="152">
        <v>1</v>
      </c>
      <c r="F124" s="152">
        <v>0.48</v>
      </c>
      <c r="G124" s="359">
        <f t="shared" si="2"/>
        <v>0.48</v>
      </c>
    </row>
    <row r="125" spans="1:7">
      <c r="B125" s="140" t="s">
        <v>348</v>
      </c>
      <c r="C125" s="139" t="s">
        <v>349</v>
      </c>
      <c r="D125" s="152" t="s">
        <v>296</v>
      </c>
      <c r="E125" s="152">
        <v>1</v>
      </c>
      <c r="F125" s="152">
        <v>22.64</v>
      </c>
      <c r="G125" s="359">
        <f t="shared" si="2"/>
        <v>22.64</v>
      </c>
    </row>
    <row r="126" spans="1:7">
      <c r="B126" s="142" t="s">
        <v>333</v>
      </c>
      <c r="C126" s="321" t="s">
        <v>334</v>
      </c>
      <c r="D126" s="142" t="s">
        <v>296</v>
      </c>
      <c r="E126" s="142">
        <v>0.9</v>
      </c>
      <c r="F126" s="142">
        <v>21.43</v>
      </c>
      <c r="G126" s="359">
        <f t="shared" si="2"/>
        <v>19.286999999999999</v>
      </c>
    </row>
    <row r="127" spans="1:7">
      <c r="B127" s="138" t="s">
        <v>335</v>
      </c>
      <c r="C127" s="139" t="s">
        <v>309</v>
      </c>
      <c r="D127" s="142" t="s">
        <v>296</v>
      </c>
      <c r="E127" s="142">
        <v>0.5</v>
      </c>
      <c r="F127" s="142">
        <v>17.32</v>
      </c>
      <c r="G127" s="359">
        <f t="shared" si="2"/>
        <v>8.66</v>
      </c>
    </row>
    <row r="128" spans="1:7">
      <c r="B128" s="233"/>
      <c r="C128" s="234"/>
      <c r="D128" s="1267" t="s">
        <v>297</v>
      </c>
      <c r="E128" s="1256"/>
      <c r="F128" s="174"/>
      <c r="G128" s="175">
        <f>SUM(G125:G127)</f>
        <v>50.587000000000003</v>
      </c>
    </row>
    <row r="129" spans="2:7">
      <c r="B129" s="233"/>
      <c r="C129" s="234"/>
      <c r="D129" s="680" t="s">
        <v>298</v>
      </c>
      <c r="E129" s="164"/>
      <c r="F129" s="162"/>
      <c r="G129" s="165">
        <f>SUM(G124,G123,G122)</f>
        <v>73.66</v>
      </c>
    </row>
    <row r="130" spans="2:7">
      <c r="B130" s="233"/>
      <c r="C130" s="234"/>
      <c r="D130" s="1266" t="s">
        <v>299</v>
      </c>
      <c r="E130" s="1246"/>
      <c r="F130" s="162"/>
      <c r="G130" s="163"/>
    </row>
    <row r="131" spans="2:7" ht="15.75" thickBot="1">
      <c r="B131" s="235"/>
      <c r="C131" s="236"/>
      <c r="D131" s="168" t="s">
        <v>300</v>
      </c>
      <c r="E131" s="169"/>
      <c r="F131" s="170"/>
      <c r="G131" s="171">
        <f>SUM(G128:G130)</f>
        <v>124.247</v>
      </c>
    </row>
    <row r="132" spans="2:7" ht="15.75" thickBot="1">
      <c r="B132" s="219"/>
      <c r="C132" s="219"/>
      <c r="D132" s="219"/>
      <c r="E132" s="219"/>
      <c r="F132" s="219"/>
      <c r="G132" s="219"/>
    </row>
    <row r="133" spans="2:7">
      <c r="B133" s="924" t="s">
        <v>576</v>
      </c>
      <c r="C133" s="324" t="s">
        <v>577</v>
      </c>
      <c r="D133" s="154" t="s">
        <v>7</v>
      </c>
      <c r="E133" s="155" t="s">
        <v>291</v>
      </c>
      <c r="F133" s="156" t="s">
        <v>292</v>
      </c>
      <c r="G133" s="157" t="s">
        <v>293</v>
      </c>
    </row>
    <row r="134" spans="2:7">
      <c r="B134" s="142" t="s">
        <v>333</v>
      </c>
      <c r="C134" s="312" t="s">
        <v>334</v>
      </c>
      <c r="D134" s="325" t="s">
        <v>296</v>
      </c>
      <c r="E134" s="142">
        <v>0.04</v>
      </c>
      <c r="F134" s="142">
        <v>21.43</v>
      </c>
      <c r="G134" s="232">
        <f>F134*E134</f>
        <v>0.85719999999999996</v>
      </c>
    </row>
    <row r="135" spans="2:7">
      <c r="B135" s="138" t="s">
        <v>335</v>
      </c>
      <c r="C135" s="139" t="s">
        <v>309</v>
      </c>
      <c r="D135" s="142" t="s">
        <v>296</v>
      </c>
      <c r="E135" s="142">
        <v>0.18</v>
      </c>
      <c r="F135" s="142">
        <v>17.32</v>
      </c>
      <c r="G135" s="232">
        <f>F135*E135</f>
        <v>3.1175999999999999</v>
      </c>
    </row>
    <row r="136" spans="2:7">
      <c r="B136" s="233"/>
      <c r="C136" s="234"/>
      <c r="D136" s="1267" t="s">
        <v>297</v>
      </c>
      <c r="E136" s="1256"/>
      <c r="F136" s="174"/>
      <c r="G136" s="175">
        <f>G134+G135</f>
        <v>3.9748000000000001</v>
      </c>
    </row>
    <row r="137" spans="2:7">
      <c r="B137" s="233"/>
      <c r="C137" s="234"/>
      <c r="D137" s="680" t="s">
        <v>298</v>
      </c>
      <c r="E137" s="164"/>
      <c r="F137" s="162"/>
      <c r="G137" s="163"/>
    </row>
    <row r="138" spans="2:7">
      <c r="B138" s="233"/>
      <c r="C138" s="234"/>
      <c r="D138" s="1266" t="s">
        <v>299</v>
      </c>
      <c r="E138" s="1246"/>
      <c r="F138" s="162"/>
      <c r="G138" s="163"/>
    </row>
    <row r="139" spans="2:7" ht="15.75" thickBot="1">
      <c r="B139" s="235"/>
      <c r="C139" s="236"/>
      <c r="D139" s="168" t="s">
        <v>300</v>
      </c>
      <c r="E139" s="169"/>
      <c r="F139" s="170"/>
      <c r="G139" s="171">
        <f>SUM(G136:G138)</f>
        <v>3.9748000000000001</v>
      </c>
    </row>
    <row r="140" spans="2:7">
      <c r="B140" s="219"/>
      <c r="C140" s="219"/>
      <c r="D140" s="219"/>
      <c r="E140" s="219"/>
      <c r="F140" s="219"/>
      <c r="G140" s="219"/>
    </row>
    <row r="141" spans="2:7">
      <c r="B141" s="219"/>
      <c r="C141" s="219"/>
      <c r="D141" s="219"/>
      <c r="E141" s="219"/>
      <c r="F141" s="219"/>
      <c r="G141" s="219"/>
    </row>
    <row r="142" spans="2:7">
      <c r="B142" s="219"/>
      <c r="C142" s="219"/>
      <c r="D142" s="219"/>
      <c r="E142" s="219"/>
      <c r="F142" s="219"/>
      <c r="G142" s="219"/>
    </row>
    <row r="143" spans="2:7" ht="15.75" thickBot="1">
      <c r="B143" s="219"/>
      <c r="C143" s="219"/>
      <c r="D143" s="219"/>
      <c r="E143" s="219"/>
      <c r="F143" s="219"/>
      <c r="G143" s="219"/>
    </row>
    <row r="144" spans="2:7">
      <c r="B144" s="924" t="s">
        <v>610</v>
      </c>
      <c r="C144" s="324" t="s">
        <v>609</v>
      </c>
      <c r="D144" s="154" t="s">
        <v>7</v>
      </c>
      <c r="E144" s="155" t="s">
        <v>291</v>
      </c>
      <c r="F144" s="156" t="s">
        <v>292</v>
      </c>
      <c r="G144" s="157" t="s">
        <v>293</v>
      </c>
    </row>
    <row r="145" spans="2:7">
      <c r="B145" s="138" t="s">
        <v>335</v>
      </c>
      <c r="C145" s="139" t="s">
        <v>309</v>
      </c>
      <c r="D145" s="142" t="s">
        <v>296</v>
      </c>
      <c r="E145" s="142">
        <v>0.1</v>
      </c>
      <c r="F145" s="142">
        <v>17.32</v>
      </c>
      <c r="G145" s="232">
        <f>F145*E145</f>
        <v>1.7320000000000002</v>
      </c>
    </row>
    <row r="146" spans="2:7">
      <c r="B146" s="138" t="s">
        <v>612</v>
      </c>
      <c r="C146" s="219" t="s">
        <v>611</v>
      </c>
      <c r="D146" s="142" t="s">
        <v>21</v>
      </c>
      <c r="E146" s="142">
        <v>0.05</v>
      </c>
      <c r="F146" s="142">
        <v>18.46</v>
      </c>
      <c r="G146" s="232">
        <f>F146*E146</f>
        <v>0.92300000000000004</v>
      </c>
    </row>
    <row r="147" spans="2:7">
      <c r="B147" s="138" t="s">
        <v>614</v>
      </c>
      <c r="C147" s="139" t="s">
        <v>613</v>
      </c>
      <c r="D147" s="142" t="s">
        <v>317</v>
      </c>
      <c r="E147" s="142">
        <v>5.0000000000000001E-3</v>
      </c>
      <c r="F147" s="142">
        <v>7</v>
      </c>
      <c r="G147" s="232">
        <f>F147*E147</f>
        <v>3.5000000000000003E-2</v>
      </c>
    </row>
    <row r="148" spans="2:7">
      <c r="B148" s="233"/>
      <c r="C148" s="234"/>
      <c r="D148" s="1267" t="s">
        <v>297</v>
      </c>
      <c r="E148" s="1256"/>
      <c r="F148" s="174"/>
      <c r="G148" s="175">
        <f>SUM(G145)</f>
        <v>1.7320000000000002</v>
      </c>
    </row>
    <row r="149" spans="2:7">
      <c r="B149" s="233"/>
      <c r="C149" s="234"/>
      <c r="D149" s="680" t="s">
        <v>298</v>
      </c>
      <c r="E149" s="164"/>
      <c r="F149" s="162"/>
      <c r="G149" s="163">
        <f>SUM(G147)</f>
        <v>3.5000000000000003E-2</v>
      </c>
    </row>
    <row r="150" spans="2:7">
      <c r="B150" s="233"/>
      <c r="C150" s="234"/>
      <c r="D150" s="1266" t="s">
        <v>299</v>
      </c>
      <c r="E150" s="1246"/>
      <c r="F150" s="162"/>
      <c r="G150" s="163">
        <f>SUM(G146)</f>
        <v>0.92300000000000004</v>
      </c>
    </row>
    <row r="151" spans="2:7" ht="15.75" thickBot="1">
      <c r="B151" s="235"/>
      <c r="C151" s="236"/>
      <c r="D151" s="168" t="s">
        <v>300</v>
      </c>
      <c r="E151" s="169"/>
      <c r="F151" s="170"/>
      <c r="G151" s="171">
        <f>SUM(G148:G150)</f>
        <v>2.6900000000000004</v>
      </c>
    </row>
    <row r="152" spans="2:7" ht="15.75" thickBot="1">
      <c r="B152" s="219"/>
      <c r="C152" s="219"/>
      <c r="D152" s="219"/>
      <c r="E152" s="219"/>
      <c r="F152" s="219"/>
      <c r="G152" s="219"/>
    </row>
    <row r="153" spans="2:7" ht="24">
      <c r="B153" s="924" t="s">
        <v>621</v>
      </c>
      <c r="C153" s="324" t="s">
        <v>620</v>
      </c>
      <c r="D153" s="154" t="s">
        <v>7</v>
      </c>
      <c r="E153" s="155" t="s">
        <v>291</v>
      </c>
      <c r="F153" s="156" t="s">
        <v>292</v>
      </c>
      <c r="G153" s="157" t="s">
        <v>293</v>
      </c>
    </row>
    <row r="154" spans="2:7" ht="48" customHeight="1">
      <c r="B154" s="142" t="s">
        <v>614</v>
      </c>
      <c r="C154" s="321" t="s">
        <v>622</v>
      </c>
      <c r="D154" s="142" t="s">
        <v>21</v>
      </c>
      <c r="E154" s="142">
        <v>1</v>
      </c>
      <c r="F154" s="142">
        <v>900</v>
      </c>
      <c r="G154" s="232">
        <f>F154*E154</f>
        <v>900</v>
      </c>
    </row>
    <row r="155" spans="2:7">
      <c r="B155" s="233"/>
      <c r="C155" s="234"/>
      <c r="D155" s="1267" t="s">
        <v>297</v>
      </c>
      <c r="E155" s="1256"/>
      <c r="F155" s="174"/>
      <c r="G155" s="175">
        <f>G154</f>
        <v>900</v>
      </c>
    </row>
    <row r="156" spans="2:7">
      <c r="B156" s="233"/>
      <c r="C156" s="234"/>
      <c r="D156" s="680" t="s">
        <v>298</v>
      </c>
      <c r="E156" s="164"/>
      <c r="F156" s="162"/>
      <c r="G156" s="163"/>
    </row>
    <row r="157" spans="2:7">
      <c r="B157" s="233"/>
      <c r="C157" s="234"/>
      <c r="D157" s="1266" t="s">
        <v>299</v>
      </c>
      <c r="E157" s="1246"/>
      <c r="F157" s="162"/>
      <c r="G157" s="163"/>
    </row>
    <row r="158" spans="2:7" ht="15.75" thickBot="1">
      <c r="B158" s="235"/>
      <c r="C158" s="236"/>
      <c r="D158" s="168" t="s">
        <v>300</v>
      </c>
      <c r="E158" s="169"/>
      <c r="F158" s="170"/>
      <c r="G158" s="171">
        <f>SUM(G155:G157)</f>
        <v>900</v>
      </c>
    </row>
    <row r="159" spans="2:7" ht="15.75" thickBot="1">
      <c r="B159" s="219"/>
      <c r="C159" s="219"/>
      <c r="D159" s="219"/>
      <c r="E159" s="219"/>
      <c r="F159" s="219"/>
      <c r="G159" s="219"/>
    </row>
    <row r="160" spans="2:7">
      <c r="B160" s="924" t="s">
        <v>623</v>
      </c>
      <c r="C160" s="324" t="s">
        <v>638</v>
      </c>
      <c r="D160" s="154" t="s">
        <v>7</v>
      </c>
      <c r="E160" s="155" t="s">
        <v>291</v>
      </c>
      <c r="F160" s="156" t="s">
        <v>292</v>
      </c>
      <c r="G160" s="157" t="s">
        <v>293</v>
      </c>
    </row>
    <row r="161" spans="2:7">
      <c r="B161" s="142" t="s">
        <v>453</v>
      </c>
      <c r="C161" s="321" t="s">
        <v>454</v>
      </c>
      <c r="D161" s="142" t="s">
        <v>296</v>
      </c>
      <c r="E161" s="142">
        <v>1.3</v>
      </c>
      <c r="F161" s="142">
        <v>21.65</v>
      </c>
      <c r="G161" s="232">
        <f>E161*F161</f>
        <v>28.145</v>
      </c>
    </row>
    <row r="162" spans="2:7">
      <c r="B162" s="138" t="s">
        <v>335</v>
      </c>
      <c r="C162" s="139" t="s">
        <v>309</v>
      </c>
      <c r="D162" s="142" t="s">
        <v>296</v>
      </c>
      <c r="E162" s="142">
        <v>0.13</v>
      </c>
      <c r="F162" s="142">
        <v>17.32</v>
      </c>
      <c r="G162" s="232">
        <f>E162*F162</f>
        <v>2.2516000000000003</v>
      </c>
    </row>
    <row r="163" spans="2:7">
      <c r="B163" s="233"/>
      <c r="C163" s="234"/>
      <c r="D163" s="1267" t="s">
        <v>297</v>
      </c>
      <c r="E163" s="1256"/>
      <c r="F163" s="174"/>
      <c r="G163" s="175">
        <f>SUM(G161:G162)</f>
        <v>30.396599999999999</v>
      </c>
    </row>
    <row r="164" spans="2:7">
      <c r="B164" s="233"/>
      <c r="C164" s="234"/>
      <c r="D164" s="680" t="s">
        <v>298</v>
      </c>
      <c r="E164" s="164"/>
      <c r="F164" s="162"/>
      <c r="G164" s="163"/>
    </row>
    <row r="165" spans="2:7">
      <c r="B165" s="233"/>
      <c r="C165" s="234"/>
      <c r="D165" s="1266" t="s">
        <v>299</v>
      </c>
      <c r="E165" s="1246"/>
      <c r="F165" s="162"/>
      <c r="G165" s="163"/>
    </row>
    <row r="166" spans="2:7" ht="15.75" thickBot="1">
      <c r="B166" s="235"/>
      <c r="C166" s="236"/>
      <c r="D166" s="168" t="s">
        <v>300</v>
      </c>
      <c r="E166" s="169"/>
      <c r="F166" s="170"/>
      <c r="G166" s="171">
        <f>SUM(G163:G165)</f>
        <v>30.396599999999999</v>
      </c>
    </row>
    <row r="167" spans="2:7" ht="15.75" thickBot="1">
      <c r="B167" s="219"/>
      <c r="C167" s="219"/>
      <c r="D167" s="219"/>
      <c r="E167" s="219"/>
      <c r="F167" s="219"/>
      <c r="G167" s="219"/>
    </row>
    <row r="168" spans="2:7" ht="24">
      <c r="B168" s="924" t="s">
        <v>642</v>
      </c>
      <c r="C168" s="345" t="s">
        <v>641</v>
      </c>
      <c r="D168" s="154" t="s">
        <v>77</v>
      </c>
      <c r="E168" s="155" t="s">
        <v>291</v>
      </c>
      <c r="F168" s="156" t="s">
        <v>292</v>
      </c>
      <c r="G168" s="157" t="s">
        <v>293</v>
      </c>
    </row>
    <row r="169" spans="2:7">
      <c r="B169" s="138" t="s">
        <v>1546</v>
      </c>
      <c r="C169" s="139" t="s">
        <v>643</v>
      </c>
      <c r="D169" s="140" t="s">
        <v>21</v>
      </c>
      <c r="E169" s="316">
        <v>2.3E-2</v>
      </c>
      <c r="F169" s="172">
        <v>62.33</v>
      </c>
      <c r="G169" s="317">
        <f>E169*F169</f>
        <v>1.4335899999999999</v>
      </c>
    </row>
    <row r="170" spans="2:7" ht="24">
      <c r="B170" s="138" t="s">
        <v>1547</v>
      </c>
      <c r="C170" s="139" t="s">
        <v>307</v>
      </c>
      <c r="D170" s="140" t="s">
        <v>296</v>
      </c>
      <c r="E170" s="316">
        <v>0.52</v>
      </c>
      <c r="F170" s="172">
        <v>21.16</v>
      </c>
      <c r="G170" s="317">
        <f>E170*F170</f>
        <v>11.0032</v>
      </c>
    </row>
    <row r="171" spans="2:7">
      <c r="B171" s="138" t="s">
        <v>308</v>
      </c>
      <c r="C171" s="139" t="s">
        <v>309</v>
      </c>
      <c r="D171" s="140" t="s">
        <v>296</v>
      </c>
      <c r="E171" s="316">
        <v>0.52</v>
      </c>
      <c r="F171" s="172">
        <v>17.32</v>
      </c>
      <c r="G171" s="317">
        <f>E171*F171</f>
        <v>9.0064000000000011</v>
      </c>
    </row>
    <row r="172" spans="2:7" ht="24">
      <c r="B172" s="138" t="s">
        <v>310</v>
      </c>
      <c r="C172" s="139" t="s">
        <v>311</v>
      </c>
      <c r="D172" s="140" t="s">
        <v>77</v>
      </c>
      <c r="E172" s="316">
        <v>0.3</v>
      </c>
      <c r="F172" s="172">
        <v>16.5</v>
      </c>
      <c r="G172" s="317">
        <f>E172*F172</f>
        <v>4.95</v>
      </c>
    </row>
    <row r="173" spans="2:7">
      <c r="B173" s="138" t="s">
        <v>312</v>
      </c>
      <c r="C173" s="139" t="s">
        <v>313</v>
      </c>
      <c r="D173" s="140" t="s">
        <v>21</v>
      </c>
      <c r="E173" s="316">
        <v>0.1</v>
      </c>
      <c r="F173" s="172">
        <v>24.83</v>
      </c>
      <c r="G173" s="317">
        <f>E173*F173</f>
        <v>2.4830000000000001</v>
      </c>
    </row>
    <row r="174" spans="2:7">
      <c r="B174" s="160"/>
      <c r="C174" s="161"/>
      <c r="D174" s="1267" t="s">
        <v>297</v>
      </c>
      <c r="E174" s="1256"/>
      <c r="F174" s="174"/>
      <c r="G174" s="318">
        <f>G170+G171</f>
        <v>20.009599999999999</v>
      </c>
    </row>
    <row r="175" spans="2:7">
      <c r="B175" s="160"/>
      <c r="C175" s="161"/>
      <c r="D175" s="680" t="s">
        <v>298</v>
      </c>
      <c r="E175" s="164"/>
      <c r="F175" s="162"/>
      <c r="G175" s="319">
        <f>G169+G172+G173</f>
        <v>8.8665900000000004</v>
      </c>
    </row>
    <row r="176" spans="2:7">
      <c r="B176" s="160"/>
      <c r="C176" s="161"/>
      <c r="D176" s="1266" t="s">
        <v>299</v>
      </c>
      <c r="E176" s="1246"/>
      <c r="F176" s="162"/>
      <c r="G176" s="319">
        <v>0</v>
      </c>
    </row>
    <row r="177" spans="2:7" ht="15.75" thickBot="1">
      <c r="B177" s="166"/>
      <c r="C177" s="167"/>
      <c r="D177" s="168" t="s">
        <v>300</v>
      </c>
      <c r="E177" s="169"/>
      <c r="F177" s="170"/>
      <c r="G177" s="320">
        <f>SUM(G174:G176)</f>
        <v>28.876190000000001</v>
      </c>
    </row>
    <row r="178" spans="2:7" ht="15.75" thickBot="1">
      <c r="B178" s="219"/>
      <c r="C178" s="219"/>
      <c r="D178" s="219"/>
      <c r="E178" s="219"/>
      <c r="F178" s="219"/>
      <c r="G178" s="219"/>
    </row>
    <row r="179" spans="2:7" ht="24">
      <c r="B179" s="924" t="s">
        <v>654</v>
      </c>
      <c r="C179" s="345" t="s">
        <v>655</v>
      </c>
      <c r="D179" s="154" t="s">
        <v>77</v>
      </c>
      <c r="E179" s="155" t="s">
        <v>291</v>
      </c>
      <c r="F179" s="156" t="s">
        <v>292</v>
      </c>
      <c r="G179" s="157" t="s">
        <v>293</v>
      </c>
    </row>
    <row r="180" spans="2:7">
      <c r="B180" s="138" t="s">
        <v>614</v>
      </c>
      <c r="C180" s="139" t="s">
        <v>656</v>
      </c>
      <c r="D180" s="140" t="s">
        <v>21</v>
      </c>
      <c r="E180" s="316">
        <v>1</v>
      </c>
      <c r="F180" s="172">
        <v>89.98</v>
      </c>
      <c r="G180" s="317">
        <f>E180*F180</f>
        <v>89.98</v>
      </c>
    </row>
    <row r="181" spans="2:7">
      <c r="B181" s="138" t="s">
        <v>658</v>
      </c>
      <c r="C181" s="139" t="s">
        <v>657</v>
      </c>
      <c r="D181" s="140" t="s">
        <v>296</v>
      </c>
      <c r="E181" s="316">
        <v>0.84840000000000004</v>
      </c>
      <c r="F181" s="172">
        <v>16.73</v>
      </c>
      <c r="G181" s="317">
        <f>E181*F181</f>
        <v>14.193732000000001</v>
      </c>
    </row>
    <row r="182" spans="2:7">
      <c r="B182" s="138" t="s">
        <v>659</v>
      </c>
      <c r="C182" s="139" t="s">
        <v>660</v>
      </c>
      <c r="D182" s="140" t="s">
        <v>296</v>
      </c>
      <c r="E182" s="316">
        <v>0.84840000000000004</v>
      </c>
      <c r="F182" s="172">
        <v>20.63</v>
      </c>
      <c r="G182" s="317">
        <f>E182*F182</f>
        <v>17.502492</v>
      </c>
    </row>
    <row r="183" spans="2:7">
      <c r="B183" s="160"/>
      <c r="C183" s="161"/>
      <c r="D183" s="1267" t="s">
        <v>297</v>
      </c>
      <c r="E183" s="1256"/>
      <c r="F183" s="174"/>
      <c r="G183" s="318">
        <f>SUM(G181:G182)</f>
        <v>31.696224000000001</v>
      </c>
    </row>
    <row r="184" spans="2:7">
      <c r="B184" s="160"/>
      <c r="C184" s="161"/>
      <c r="D184" s="680" t="s">
        <v>298</v>
      </c>
      <c r="E184" s="164"/>
      <c r="F184" s="162"/>
      <c r="G184" s="319">
        <f>G180</f>
        <v>89.98</v>
      </c>
    </row>
    <row r="185" spans="2:7">
      <c r="B185" s="160"/>
      <c r="C185" s="161"/>
      <c r="D185" s="1266" t="s">
        <v>299</v>
      </c>
      <c r="E185" s="1246"/>
      <c r="F185" s="162"/>
      <c r="G185" s="319">
        <v>0</v>
      </c>
    </row>
    <row r="186" spans="2:7" ht="15.75" thickBot="1">
      <c r="B186" s="166"/>
      <c r="C186" s="167"/>
      <c r="D186" s="168" t="s">
        <v>300</v>
      </c>
      <c r="E186" s="169"/>
      <c r="F186" s="170"/>
      <c r="G186" s="320">
        <f>SUM(G183:G185)</f>
        <v>121.676224</v>
      </c>
    </row>
    <row r="187" spans="2:7" ht="15.75" thickBot="1">
      <c r="B187" s="219"/>
      <c r="C187" s="219"/>
      <c r="D187" s="219"/>
      <c r="E187" s="219"/>
      <c r="F187" s="219"/>
      <c r="G187" s="219"/>
    </row>
    <row r="188" spans="2:7" ht="44.25" customHeight="1" thickBot="1">
      <c r="B188" s="925" t="s">
        <v>664</v>
      </c>
      <c r="C188" s="371" t="s">
        <v>666</v>
      </c>
      <c r="D188" s="372" t="s">
        <v>7</v>
      </c>
      <c r="E188" s="373" t="s">
        <v>291</v>
      </c>
      <c r="F188" s="374" t="s">
        <v>292</v>
      </c>
      <c r="G188" s="375" t="s">
        <v>293</v>
      </c>
    </row>
    <row r="189" spans="2:7">
      <c r="B189" s="711" t="s">
        <v>614</v>
      </c>
      <c r="C189" s="712" t="s">
        <v>663</v>
      </c>
      <c r="D189" s="713" t="s">
        <v>948</v>
      </c>
      <c r="E189" s="714">
        <v>0.18</v>
      </c>
      <c r="F189" s="714">
        <v>17.66</v>
      </c>
      <c r="G189" s="715">
        <v>3.18</v>
      </c>
    </row>
    <row r="190" spans="2:7">
      <c r="B190" s="716" t="s">
        <v>348</v>
      </c>
      <c r="C190" s="258" t="s">
        <v>349</v>
      </c>
      <c r="D190" s="307" t="s">
        <v>296</v>
      </c>
      <c r="E190" s="717">
        <v>0.4</v>
      </c>
      <c r="F190" s="717">
        <v>22.64</v>
      </c>
      <c r="G190" s="718">
        <f>E190*F190</f>
        <v>9.0560000000000009</v>
      </c>
    </row>
    <row r="191" spans="2:7" ht="15.75" thickBot="1">
      <c r="B191" s="719" t="s">
        <v>1527</v>
      </c>
      <c r="C191" s="720" t="s">
        <v>309</v>
      </c>
      <c r="D191" s="721" t="s">
        <v>296</v>
      </c>
      <c r="E191" s="722">
        <v>0.2</v>
      </c>
      <c r="F191" s="722">
        <v>17.32</v>
      </c>
      <c r="G191" s="723">
        <f>E191*F191</f>
        <v>3.4640000000000004</v>
      </c>
    </row>
    <row r="192" spans="2:7">
      <c r="B192" s="233"/>
      <c r="C192" s="376"/>
      <c r="D192" s="1268" t="s">
        <v>297</v>
      </c>
      <c r="E192" s="1269"/>
      <c r="F192" s="377"/>
      <c r="G192" s="378">
        <f>SUM(G190:G191)</f>
        <v>12.520000000000001</v>
      </c>
    </row>
    <row r="193" spans="2:7">
      <c r="B193" s="233"/>
      <c r="C193" s="379"/>
      <c r="D193" s="679" t="s">
        <v>298</v>
      </c>
      <c r="E193" s="380"/>
      <c r="F193" s="377"/>
      <c r="G193" s="378">
        <f>SUM(G189)</f>
        <v>3.18</v>
      </c>
    </row>
    <row r="194" spans="2:7">
      <c r="B194" s="233"/>
      <c r="C194" s="379"/>
      <c r="D194" s="1270" t="s">
        <v>299</v>
      </c>
      <c r="E194" s="1270"/>
      <c r="F194" s="377"/>
      <c r="G194" s="378"/>
    </row>
    <row r="195" spans="2:7" ht="15.75" thickBot="1">
      <c r="B195" s="235"/>
      <c r="C195" s="381"/>
      <c r="D195" s="382" t="s">
        <v>300</v>
      </c>
      <c r="E195" s="383"/>
      <c r="F195" s="384"/>
      <c r="G195" s="385">
        <f>SUM(G192:G193)</f>
        <v>15.700000000000001</v>
      </c>
    </row>
    <row r="196" spans="2:7" ht="15.75" thickBot="1">
      <c r="B196" s="219"/>
      <c r="C196" s="219"/>
      <c r="D196" s="219"/>
      <c r="E196" s="219"/>
      <c r="F196" s="219"/>
      <c r="G196" s="219"/>
    </row>
    <row r="197" spans="2:7" ht="36">
      <c r="B197" s="926" t="s">
        <v>1597</v>
      </c>
      <c r="C197" s="562" t="s">
        <v>848</v>
      </c>
      <c r="D197" s="558" t="s">
        <v>21</v>
      </c>
      <c r="E197" s="559" t="s">
        <v>291</v>
      </c>
      <c r="F197" s="560" t="s">
        <v>292</v>
      </c>
      <c r="G197" s="561" t="s">
        <v>293</v>
      </c>
    </row>
    <row r="198" spans="2:7" ht="24">
      <c r="B198" s="538" t="s">
        <v>1617</v>
      </c>
      <c r="C198" s="539" t="s">
        <v>866</v>
      </c>
      <c r="D198" s="540" t="s">
        <v>21</v>
      </c>
      <c r="E198" s="541">
        <v>3</v>
      </c>
      <c r="F198" s="542">
        <v>1.32</v>
      </c>
      <c r="G198" s="543">
        <f t="shared" ref="G198:G204" si="3">E198*F198</f>
        <v>3.96</v>
      </c>
    </row>
    <row r="199" spans="2:7">
      <c r="B199" s="538" t="s">
        <v>1579</v>
      </c>
      <c r="C199" s="539" t="s">
        <v>867</v>
      </c>
      <c r="D199" s="540" t="s">
        <v>296</v>
      </c>
      <c r="E199" s="541">
        <v>3</v>
      </c>
      <c r="F199" s="542">
        <v>15.57</v>
      </c>
      <c r="G199" s="543">
        <f t="shared" si="3"/>
        <v>46.71</v>
      </c>
    </row>
    <row r="200" spans="2:7">
      <c r="B200" s="538" t="s">
        <v>1618</v>
      </c>
      <c r="C200" s="539" t="s">
        <v>868</v>
      </c>
      <c r="D200" s="540" t="s">
        <v>21</v>
      </c>
      <c r="E200" s="541">
        <v>15</v>
      </c>
      <c r="F200" s="542">
        <v>3.83</v>
      </c>
      <c r="G200" s="543">
        <f t="shared" si="3"/>
        <v>57.45</v>
      </c>
    </row>
    <row r="201" spans="2:7">
      <c r="B201" s="538" t="s">
        <v>335</v>
      </c>
      <c r="C201" s="539" t="s">
        <v>869</v>
      </c>
      <c r="D201" s="540" t="s">
        <v>296</v>
      </c>
      <c r="E201" s="541">
        <v>3</v>
      </c>
      <c r="F201" s="542">
        <v>17.32</v>
      </c>
      <c r="G201" s="543">
        <f t="shared" si="3"/>
        <v>51.96</v>
      </c>
    </row>
    <row r="202" spans="2:7">
      <c r="B202" s="538" t="s">
        <v>1619</v>
      </c>
      <c r="C202" s="539" t="s">
        <v>870</v>
      </c>
      <c r="D202" s="540" t="s">
        <v>21</v>
      </c>
      <c r="E202" s="541">
        <v>1</v>
      </c>
      <c r="F202" s="542">
        <v>39.9</v>
      </c>
      <c r="G202" s="543">
        <f t="shared" si="3"/>
        <v>39.9</v>
      </c>
    </row>
    <row r="203" spans="2:7" ht="24">
      <c r="B203" s="538" t="s">
        <v>1620</v>
      </c>
      <c r="C203" s="539" t="s">
        <v>871</v>
      </c>
      <c r="D203" s="540" t="s">
        <v>77</v>
      </c>
      <c r="E203" s="541">
        <v>50</v>
      </c>
      <c r="F203" s="542">
        <v>5.26</v>
      </c>
      <c r="G203" s="543">
        <f t="shared" si="3"/>
        <v>263</v>
      </c>
    </row>
    <row r="204" spans="2:7" ht="24">
      <c r="B204" s="538" t="s">
        <v>1621</v>
      </c>
      <c r="C204" s="539" t="s">
        <v>872</v>
      </c>
      <c r="D204" s="540" t="s">
        <v>21</v>
      </c>
      <c r="E204" s="541">
        <v>1</v>
      </c>
      <c r="F204" s="542">
        <v>2.99</v>
      </c>
      <c r="G204" s="543">
        <f t="shared" si="3"/>
        <v>2.99</v>
      </c>
    </row>
    <row r="205" spans="2:7">
      <c r="B205" s="544"/>
      <c r="C205" s="545"/>
      <c r="D205" s="1261" t="s">
        <v>297</v>
      </c>
      <c r="E205" s="1262"/>
      <c r="F205" s="546"/>
      <c r="G205" s="547">
        <f>G199+G201</f>
        <v>98.67</v>
      </c>
    </row>
    <row r="206" spans="2:7">
      <c r="B206" s="544"/>
      <c r="C206" s="545"/>
      <c r="D206" s="548" t="s">
        <v>298</v>
      </c>
      <c r="E206" s="549"/>
      <c r="F206" s="550"/>
      <c r="G206" s="551">
        <f>G198+G200+G203+G204</f>
        <v>327.40000000000003</v>
      </c>
    </row>
    <row r="207" spans="2:7">
      <c r="B207" s="544"/>
      <c r="C207" s="545"/>
      <c r="D207" s="1263" t="s">
        <v>299</v>
      </c>
      <c r="E207" s="1264"/>
      <c r="F207" s="550"/>
      <c r="G207" s="551">
        <f>G202</f>
        <v>39.9</v>
      </c>
    </row>
    <row r="208" spans="2:7" ht="15.75" thickBot="1">
      <c r="B208" s="552"/>
      <c r="C208" s="553"/>
      <c r="D208" s="554" t="s">
        <v>300</v>
      </c>
      <c r="E208" s="555"/>
      <c r="F208" s="556"/>
      <c r="G208" s="557">
        <f>SUM(G205:G207)</f>
        <v>465.97</v>
      </c>
    </row>
    <row r="209" spans="2:7" ht="15.75" thickBot="1">
      <c r="B209" s="219"/>
      <c r="C209" s="219"/>
      <c r="D209" s="219"/>
      <c r="E209" s="219"/>
      <c r="F209" s="219"/>
      <c r="G209" s="219"/>
    </row>
    <row r="210" spans="2:7" ht="33" customHeight="1">
      <c r="B210" s="926" t="s">
        <v>1598</v>
      </c>
      <c r="C210" s="562" t="s">
        <v>923</v>
      </c>
      <c r="D210" s="558" t="s">
        <v>21</v>
      </c>
      <c r="E210" s="559" t="s">
        <v>291</v>
      </c>
      <c r="F210" s="560" t="s">
        <v>292</v>
      </c>
      <c r="G210" s="561" t="s">
        <v>293</v>
      </c>
    </row>
    <row r="211" spans="2:7" ht="24">
      <c r="B211" s="582" t="s">
        <v>1622</v>
      </c>
      <c r="C211" s="583" t="s">
        <v>925</v>
      </c>
      <c r="D211" s="584" t="s">
        <v>21</v>
      </c>
      <c r="E211" s="585">
        <v>1</v>
      </c>
      <c r="F211" s="586">
        <v>4.45</v>
      </c>
      <c r="G211" s="587">
        <f>E211*F211</f>
        <v>4.45</v>
      </c>
    </row>
    <row r="212" spans="2:7" ht="24">
      <c r="B212" s="582" t="s">
        <v>1623</v>
      </c>
      <c r="C212" s="583" t="s">
        <v>926</v>
      </c>
      <c r="D212" s="584" t="s">
        <v>21</v>
      </c>
      <c r="E212" s="585">
        <v>1</v>
      </c>
      <c r="F212" s="586">
        <v>11.03</v>
      </c>
      <c r="G212" s="587">
        <f>E212*F212</f>
        <v>11.03</v>
      </c>
    </row>
    <row r="213" spans="2:7" ht="24">
      <c r="B213" s="582" t="s">
        <v>1624</v>
      </c>
      <c r="C213" s="583" t="s">
        <v>846</v>
      </c>
      <c r="D213" s="584" t="s">
        <v>21</v>
      </c>
      <c r="E213" s="585">
        <v>1</v>
      </c>
      <c r="F213" s="586">
        <v>36.4</v>
      </c>
      <c r="G213" s="587">
        <f>E213*F213</f>
        <v>36.4</v>
      </c>
    </row>
    <row r="214" spans="2:7">
      <c r="B214" s="582" t="s">
        <v>1626</v>
      </c>
      <c r="C214" s="583" t="s">
        <v>869</v>
      </c>
      <c r="D214" s="584" t="s">
        <v>296</v>
      </c>
      <c r="E214" s="585">
        <v>0.4</v>
      </c>
      <c r="F214" s="586">
        <v>17.32</v>
      </c>
      <c r="G214" s="587">
        <f>E214*F214</f>
        <v>6.9280000000000008</v>
      </c>
    </row>
    <row r="215" spans="2:7" ht="24">
      <c r="B215" s="582" t="s">
        <v>1625</v>
      </c>
      <c r="C215" s="583" t="s">
        <v>927</v>
      </c>
      <c r="D215" s="584" t="s">
        <v>21</v>
      </c>
      <c r="E215" s="585">
        <v>1</v>
      </c>
      <c r="F215" s="586">
        <v>3.17</v>
      </c>
      <c r="G215" s="587">
        <f>E215*F215</f>
        <v>3.17</v>
      </c>
    </row>
    <row r="216" spans="2:7">
      <c r="B216" s="588"/>
      <c r="C216" s="589"/>
      <c r="D216" s="1257" t="s">
        <v>297</v>
      </c>
      <c r="E216" s="1258"/>
      <c r="F216" s="590"/>
      <c r="G216" s="591">
        <f>G214</f>
        <v>6.9280000000000008</v>
      </c>
    </row>
    <row r="217" spans="2:7">
      <c r="B217" s="588"/>
      <c r="C217" s="589"/>
      <c r="D217" s="592" t="s">
        <v>298</v>
      </c>
      <c r="E217" s="593"/>
      <c r="F217" s="594"/>
      <c r="G217" s="595">
        <f>G211+G212+G215</f>
        <v>18.649999999999999</v>
      </c>
    </row>
    <row r="218" spans="2:7">
      <c r="B218" s="588"/>
      <c r="C218" s="589"/>
      <c r="D218" s="1259" t="s">
        <v>299</v>
      </c>
      <c r="E218" s="1260"/>
      <c r="F218" s="594"/>
      <c r="G218" s="595">
        <f>G213</f>
        <v>36.4</v>
      </c>
    </row>
    <row r="219" spans="2:7" ht="15.75" thickBot="1">
      <c r="B219" s="596"/>
      <c r="C219" s="597"/>
      <c r="D219" s="598" t="s">
        <v>300</v>
      </c>
      <c r="E219" s="599"/>
      <c r="F219" s="600"/>
      <c r="G219" s="601">
        <f>SUM(G216:G218)</f>
        <v>61.977999999999994</v>
      </c>
    </row>
    <row r="220" spans="2:7">
      <c r="B220" s="219"/>
      <c r="C220" s="219"/>
      <c r="D220" s="219"/>
      <c r="E220" s="219"/>
      <c r="F220" s="219"/>
      <c r="G220" s="219"/>
    </row>
    <row r="221" spans="2:7" ht="36" hidden="1">
      <c r="B221" s="153" t="str">
        <f>[9]COMPOSIÇÃO!$A$1</f>
        <v>INFRA SP 001</v>
      </c>
      <c r="C221" s="724" t="str">
        <f>[9]COMPOSIÇÃO!$B$1</f>
        <v>LOCACAO CONVENCIONAL DE OBRA, ATRAVÉS DE GABARITO DE TABUAS CORRIDAS PONTALETADAS, COM REAPROVEITAMENTO DE 2 VEZES.</v>
      </c>
      <c r="D221" s="725" t="str">
        <f>[9]COMPOSIÇÃO!$C$1</f>
        <v>M²</v>
      </c>
      <c r="E221" s="726" t="s">
        <v>291</v>
      </c>
      <c r="F221" s="727" t="s">
        <v>292</v>
      </c>
      <c r="G221" s="728" t="s">
        <v>293</v>
      </c>
    </row>
    <row r="222" spans="2:7" hidden="1">
      <c r="B222" s="729" t="s">
        <v>928</v>
      </c>
      <c r="C222" s="730" t="s">
        <v>929</v>
      </c>
      <c r="D222" s="731" t="s">
        <v>317</v>
      </c>
      <c r="E222" s="732" t="s">
        <v>930</v>
      </c>
      <c r="F222" s="733">
        <v>39.369999999999997</v>
      </c>
      <c r="G222" s="734">
        <f t="shared" ref="G222:G227" si="4">TRUNC(E222*F222,2)</f>
        <v>0.78</v>
      </c>
    </row>
    <row r="223" spans="2:7" ht="24" hidden="1">
      <c r="B223" s="735" t="s">
        <v>931</v>
      </c>
      <c r="C223" s="730" t="s">
        <v>932</v>
      </c>
      <c r="D223" s="731" t="s">
        <v>77</v>
      </c>
      <c r="E223" s="732" t="s">
        <v>933</v>
      </c>
      <c r="F223" s="736">
        <v>11.21</v>
      </c>
      <c r="G223" s="734">
        <f t="shared" si="4"/>
        <v>0.4</v>
      </c>
    </row>
    <row r="224" spans="2:7" hidden="1">
      <c r="B224" s="735" t="s">
        <v>934</v>
      </c>
      <c r="C224" s="730" t="s">
        <v>935</v>
      </c>
      <c r="D224" s="731" t="s">
        <v>317</v>
      </c>
      <c r="E224" s="732" t="s">
        <v>936</v>
      </c>
      <c r="F224" s="736">
        <v>24.92</v>
      </c>
      <c r="G224" s="734">
        <f t="shared" si="4"/>
        <v>0.24</v>
      </c>
    </row>
    <row r="225" spans="2:7" ht="24" hidden="1">
      <c r="B225" s="735" t="s">
        <v>937</v>
      </c>
      <c r="C225" s="730" t="s">
        <v>938</v>
      </c>
      <c r="D225" s="731" t="s">
        <v>77</v>
      </c>
      <c r="E225" s="732" t="s">
        <v>939</v>
      </c>
      <c r="F225" s="736">
        <v>12.67</v>
      </c>
      <c r="G225" s="734">
        <f t="shared" si="4"/>
        <v>0.4</v>
      </c>
    </row>
    <row r="226" spans="2:7" hidden="1">
      <c r="B226" s="735" t="s">
        <v>333</v>
      </c>
      <c r="C226" s="730" t="s">
        <v>334</v>
      </c>
      <c r="D226" s="731" t="s">
        <v>296</v>
      </c>
      <c r="E226" s="732" t="s">
        <v>940</v>
      </c>
      <c r="F226" s="736">
        <v>21.43</v>
      </c>
      <c r="G226" s="734">
        <f t="shared" si="4"/>
        <v>2.14</v>
      </c>
    </row>
    <row r="227" spans="2:7" hidden="1">
      <c r="B227" s="735" t="s">
        <v>335</v>
      </c>
      <c r="C227" s="730" t="s">
        <v>309</v>
      </c>
      <c r="D227" s="731" t="s">
        <v>296</v>
      </c>
      <c r="E227" s="732" t="s">
        <v>940</v>
      </c>
      <c r="F227" s="736">
        <v>17.32</v>
      </c>
      <c r="G227" s="734">
        <f t="shared" si="4"/>
        <v>1.73</v>
      </c>
    </row>
    <row r="228" spans="2:7" hidden="1">
      <c r="B228" s="737"/>
      <c r="C228" s="738"/>
      <c r="D228" s="1245" t="s">
        <v>941</v>
      </c>
      <c r="E228" s="1245"/>
      <c r="F228" s="162"/>
      <c r="G228" s="319">
        <v>0</v>
      </c>
    </row>
    <row r="229" spans="2:7" hidden="1">
      <c r="B229" s="737"/>
      <c r="C229" s="739"/>
      <c r="D229" s="681" t="s">
        <v>298</v>
      </c>
      <c r="E229" s="164"/>
      <c r="F229" s="162"/>
      <c r="G229" s="319">
        <f>SUM(G222:G225)</f>
        <v>1.8200000000000003</v>
      </c>
    </row>
    <row r="230" spans="2:7" hidden="1">
      <c r="B230" s="737"/>
      <c r="C230" s="739"/>
      <c r="D230" s="681" t="s">
        <v>297</v>
      </c>
      <c r="E230" s="164"/>
      <c r="F230" s="162"/>
      <c r="G230" s="319">
        <f>SUM(G226:G227)</f>
        <v>3.87</v>
      </c>
    </row>
    <row r="231" spans="2:7" hidden="1">
      <c r="B231" s="737"/>
      <c r="C231" s="739"/>
      <c r="D231" s="1246" t="s">
        <v>299</v>
      </c>
      <c r="E231" s="1246"/>
      <c r="F231" s="162"/>
      <c r="G231" s="319">
        <v>0</v>
      </c>
    </row>
    <row r="232" spans="2:7" hidden="1">
      <c r="B232" s="737"/>
      <c r="C232" s="739"/>
      <c r="D232" s="740" t="s">
        <v>300</v>
      </c>
      <c r="E232" s="164"/>
      <c r="F232" s="162"/>
      <c r="G232" s="741">
        <f>SUM(G228:G231)</f>
        <v>5.69</v>
      </c>
    </row>
    <row r="233" spans="2:7" hidden="1">
      <c r="B233" s="737"/>
      <c r="C233" s="739"/>
      <c r="D233" s="740" t="s">
        <v>942</v>
      </c>
      <c r="E233" s="164"/>
      <c r="F233" s="162"/>
      <c r="G233" s="741">
        <f>G232*1.2522</f>
        <v>7.1250180000000007</v>
      </c>
    </row>
    <row r="234" spans="2:7" ht="15.75" hidden="1" thickBot="1">
      <c r="B234" s="742" t="s">
        <v>943</v>
      </c>
      <c r="C234" s="743"/>
      <c r="D234" s="744"/>
      <c r="E234" s="169"/>
      <c r="F234" s="170"/>
      <c r="G234" s="320"/>
    </row>
    <row r="235" spans="2:7" ht="15.75" hidden="1" thickBot="1">
      <c r="B235" s="219"/>
      <c r="C235" s="219"/>
      <c r="D235" s="219"/>
      <c r="E235" s="219"/>
      <c r="F235" s="219"/>
      <c r="G235" s="219"/>
    </row>
    <row r="236" spans="2:7" ht="24" hidden="1">
      <c r="B236" s="153" t="str">
        <f>[9]COMPOSIÇÃO!$A$16</f>
        <v>INFRA DIV 001</v>
      </c>
      <c r="C236" s="724" t="str">
        <f>[9]COMPOSIÇÃO!$B$16</f>
        <v>ALAMBRADO COM TELA DE NYLON, MALHA 3.6MM COM ARAME PARA FIXAÇÃO</v>
      </c>
      <c r="D236" s="725" t="s">
        <v>7</v>
      </c>
      <c r="E236" s="726" t="s">
        <v>291</v>
      </c>
      <c r="F236" s="727" t="s">
        <v>292</v>
      </c>
      <c r="G236" s="728" t="s">
        <v>293</v>
      </c>
    </row>
    <row r="237" spans="2:7" hidden="1">
      <c r="B237" s="729" t="s">
        <v>614</v>
      </c>
      <c r="C237" s="730" t="s">
        <v>944</v>
      </c>
      <c r="D237" s="731" t="s">
        <v>7</v>
      </c>
      <c r="E237" s="732">
        <v>1.05</v>
      </c>
      <c r="F237" s="733">
        <v>9.4600000000000009</v>
      </c>
      <c r="G237" s="734">
        <f>TRUNC(E237*F237,2)</f>
        <v>9.93</v>
      </c>
    </row>
    <row r="238" spans="2:7" ht="24" hidden="1">
      <c r="B238" s="735" t="s">
        <v>614</v>
      </c>
      <c r="C238" s="730" t="s">
        <v>945</v>
      </c>
      <c r="D238" s="731" t="s">
        <v>317</v>
      </c>
      <c r="E238" s="732">
        <v>0.08</v>
      </c>
      <c r="F238" s="736">
        <v>36.85</v>
      </c>
      <c r="G238" s="734">
        <f>TRUNC(E238*F238,2)</f>
        <v>2.94</v>
      </c>
    </row>
    <row r="239" spans="2:7" hidden="1">
      <c r="B239" s="735" t="s">
        <v>335</v>
      </c>
      <c r="C239" s="730" t="s">
        <v>309</v>
      </c>
      <c r="D239" s="731" t="s">
        <v>296</v>
      </c>
      <c r="E239" s="732">
        <v>0.5</v>
      </c>
      <c r="F239" s="736">
        <v>17.32</v>
      </c>
      <c r="G239" s="734">
        <f>TRUNC(E239*F239,2)</f>
        <v>8.66</v>
      </c>
    </row>
    <row r="240" spans="2:7" hidden="1">
      <c r="B240" s="737"/>
      <c r="C240" s="738"/>
      <c r="D240" s="1245" t="s">
        <v>941</v>
      </c>
      <c r="E240" s="1245"/>
      <c r="F240" s="162"/>
      <c r="G240" s="319">
        <v>0</v>
      </c>
    </row>
    <row r="241" spans="2:7" hidden="1">
      <c r="B241" s="737"/>
      <c r="C241" s="739"/>
      <c r="D241" s="681" t="s">
        <v>298</v>
      </c>
      <c r="E241" s="164"/>
      <c r="F241" s="162"/>
      <c r="G241" s="319">
        <f>SUM(G237:G238)</f>
        <v>12.87</v>
      </c>
    </row>
    <row r="242" spans="2:7" hidden="1">
      <c r="B242" s="737"/>
      <c r="C242" s="739"/>
      <c r="D242" s="681" t="s">
        <v>297</v>
      </c>
      <c r="E242" s="164"/>
      <c r="F242" s="162"/>
      <c r="G242" s="319">
        <f>G239</f>
        <v>8.66</v>
      </c>
    </row>
    <row r="243" spans="2:7" hidden="1">
      <c r="B243" s="737"/>
      <c r="C243" s="739"/>
      <c r="D243" s="1246" t="s">
        <v>299</v>
      </c>
      <c r="E243" s="1246"/>
      <c r="F243" s="162"/>
      <c r="G243" s="319">
        <v>0</v>
      </c>
    </row>
    <row r="244" spans="2:7" hidden="1">
      <c r="B244" s="737"/>
      <c r="C244" s="739"/>
      <c r="D244" s="740" t="s">
        <v>300</v>
      </c>
      <c r="E244" s="164"/>
      <c r="F244" s="162"/>
      <c r="G244" s="741">
        <f>SUM(G240:G243)</f>
        <v>21.53</v>
      </c>
    </row>
    <row r="245" spans="2:7" hidden="1">
      <c r="B245" s="737"/>
      <c r="C245" s="739"/>
      <c r="D245" s="740" t="s">
        <v>942</v>
      </c>
      <c r="E245" s="164"/>
      <c r="F245" s="162"/>
      <c r="G245" s="741">
        <f>G244*1.2522</f>
        <v>26.959866000000002</v>
      </c>
    </row>
    <row r="246" spans="2:7" ht="15.75" hidden="1" thickBot="1">
      <c r="B246" s="742" t="s">
        <v>943</v>
      </c>
      <c r="C246" s="743"/>
      <c r="D246" s="744"/>
      <c r="E246" s="169"/>
      <c r="F246" s="170"/>
      <c r="G246" s="320"/>
    </row>
    <row r="247" spans="2:7" ht="15.75" hidden="1" thickBot="1">
      <c r="B247" s="219"/>
      <c r="C247" s="219"/>
      <c r="D247" s="219"/>
      <c r="E247" s="219"/>
      <c r="F247" s="219"/>
      <c r="G247" s="219"/>
    </row>
    <row r="248" spans="2:7" ht="24" hidden="1">
      <c r="B248" s="153" t="str">
        <f>[9]COMPOSIÇÃO!$A$28</f>
        <v>INFRA DIV 002</v>
      </c>
      <c r="C248" s="724" t="str">
        <f>[9]COMPOSIÇÃO!$B$28</f>
        <v>Tubo de aço galvanizado leve c/ costura c/ rosca BSP Ø = 60,30mm ( 2" ), e = 2,65mm, l = 6000mm NBR 5580</v>
      </c>
      <c r="D248" s="725" t="str">
        <f>[9]COMPOSIÇÃO!$C$28</f>
        <v>M</v>
      </c>
      <c r="E248" s="726" t="s">
        <v>291</v>
      </c>
      <c r="F248" s="727" t="s">
        <v>292</v>
      </c>
      <c r="G248" s="728" t="s">
        <v>293</v>
      </c>
    </row>
    <row r="249" spans="2:7" ht="24" hidden="1">
      <c r="B249" s="729" t="s">
        <v>614</v>
      </c>
      <c r="C249" s="730" t="s">
        <v>712</v>
      </c>
      <c r="D249" s="731" t="s">
        <v>77</v>
      </c>
      <c r="E249" s="732">
        <v>1</v>
      </c>
      <c r="F249" s="733">
        <v>45.85</v>
      </c>
      <c r="G249" s="734">
        <f>TRUNC(E249*F249,2)</f>
        <v>45.85</v>
      </c>
    </row>
    <row r="250" spans="2:7" hidden="1">
      <c r="B250" s="735" t="s">
        <v>946</v>
      </c>
      <c r="C250" s="730" t="s">
        <v>321</v>
      </c>
      <c r="D250" s="731" t="s">
        <v>296</v>
      </c>
      <c r="E250" s="732">
        <v>0.5</v>
      </c>
      <c r="F250" s="736">
        <v>21.53</v>
      </c>
      <c r="G250" s="734">
        <f>TRUNC(E250*F250,2)</f>
        <v>10.76</v>
      </c>
    </row>
    <row r="251" spans="2:7" hidden="1">
      <c r="B251" s="737"/>
      <c r="C251" s="738"/>
      <c r="D251" s="1245" t="s">
        <v>941</v>
      </c>
      <c r="E251" s="1245"/>
      <c r="F251" s="162"/>
      <c r="G251" s="319">
        <v>0</v>
      </c>
    </row>
    <row r="252" spans="2:7" hidden="1">
      <c r="B252" s="737"/>
      <c r="C252" s="739"/>
      <c r="D252" s="681" t="s">
        <v>298</v>
      </c>
      <c r="E252" s="164"/>
      <c r="F252" s="162"/>
      <c r="G252" s="319">
        <f>G249</f>
        <v>45.85</v>
      </c>
    </row>
    <row r="253" spans="2:7" hidden="1">
      <c r="B253" s="737"/>
      <c r="C253" s="739"/>
      <c r="D253" s="681" t="s">
        <v>297</v>
      </c>
      <c r="E253" s="164"/>
      <c r="F253" s="162"/>
      <c r="G253" s="319">
        <f>G250</f>
        <v>10.76</v>
      </c>
    </row>
    <row r="254" spans="2:7" hidden="1">
      <c r="B254" s="737"/>
      <c r="C254" s="739"/>
      <c r="D254" s="1246" t="s">
        <v>299</v>
      </c>
      <c r="E254" s="1246"/>
      <c r="F254" s="162"/>
      <c r="G254" s="319">
        <v>0</v>
      </c>
    </row>
    <row r="255" spans="2:7" hidden="1">
      <c r="B255" s="737"/>
      <c r="C255" s="739"/>
      <c r="D255" s="740" t="s">
        <v>300</v>
      </c>
      <c r="E255" s="164"/>
      <c r="F255" s="162"/>
      <c r="G255" s="741">
        <f>SUM(G251:G254)</f>
        <v>56.61</v>
      </c>
    </row>
    <row r="256" spans="2:7" hidden="1">
      <c r="B256" s="737"/>
      <c r="C256" s="739"/>
      <c r="D256" s="740" t="s">
        <v>942</v>
      </c>
      <c r="E256" s="164"/>
      <c r="F256" s="162"/>
      <c r="G256" s="741">
        <f>G255*1.2522</f>
        <v>70.887041999999994</v>
      </c>
    </row>
    <row r="257" spans="2:7" ht="15.75" hidden="1" thickBot="1">
      <c r="B257" s="742" t="s">
        <v>943</v>
      </c>
      <c r="C257" s="743"/>
      <c r="D257" s="744"/>
      <c r="E257" s="169"/>
      <c r="F257" s="170"/>
      <c r="G257" s="320"/>
    </row>
    <row r="258" spans="2:7" ht="15.75" hidden="1" thickBot="1">
      <c r="B258" s="219"/>
      <c r="C258" s="219"/>
      <c r="D258" s="219"/>
      <c r="E258" s="219"/>
      <c r="F258" s="219"/>
      <c r="G258" s="219"/>
    </row>
    <row r="259" spans="2:7" ht="24" hidden="1">
      <c r="B259" s="153" t="s">
        <v>947</v>
      </c>
      <c r="C259" s="724" t="str">
        <f>[9]COMPOSIÇÃO!$B$39</f>
        <v>TRAVES PARA FUTEBOL SOCIETY 4M, TUBO 4", DESMONTÁVEL, MEDIDAS 4X2,2M, INCLUSIVE REDES.</v>
      </c>
      <c r="D259" s="725" t="s">
        <v>714</v>
      </c>
      <c r="E259" s="726" t="s">
        <v>291</v>
      </c>
      <c r="F259" s="727" t="s">
        <v>292</v>
      </c>
      <c r="G259" s="728" t="s">
        <v>293</v>
      </c>
    </row>
    <row r="260" spans="2:7" ht="24" hidden="1">
      <c r="B260" s="729" t="s">
        <v>614</v>
      </c>
      <c r="C260" s="730" t="s">
        <v>713</v>
      </c>
      <c r="D260" s="731" t="s">
        <v>714</v>
      </c>
      <c r="E260" s="732">
        <v>1</v>
      </c>
      <c r="F260" s="733">
        <v>1799</v>
      </c>
      <c r="G260" s="734">
        <f>TRUNC(E260*F260,2)</f>
        <v>1799</v>
      </c>
    </row>
    <row r="261" spans="2:7" hidden="1">
      <c r="B261" s="737"/>
      <c r="C261" s="738"/>
      <c r="D261" s="1245" t="s">
        <v>941</v>
      </c>
      <c r="E261" s="1245"/>
      <c r="F261" s="162"/>
      <c r="G261" s="319">
        <v>0</v>
      </c>
    </row>
    <row r="262" spans="2:7" hidden="1">
      <c r="B262" s="737"/>
      <c r="C262" s="739"/>
      <c r="D262" s="681" t="s">
        <v>298</v>
      </c>
      <c r="E262" s="164"/>
      <c r="F262" s="162"/>
      <c r="G262" s="319">
        <f>G260</f>
        <v>1799</v>
      </c>
    </row>
    <row r="263" spans="2:7" hidden="1">
      <c r="B263" s="737"/>
      <c r="C263" s="739"/>
      <c r="D263" s="681" t="s">
        <v>297</v>
      </c>
      <c r="E263" s="164"/>
      <c r="F263" s="162"/>
      <c r="G263" s="319">
        <v>0</v>
      </c>
    </row>
    <row r="264" spans="2:7" hidden="1">
      <c r="B264" s="737"/>
      <c r="C264" s="739"/>
      <c r="D264" s="1246" t="s">
        <v>299</v>
      </c>
      <c r="E264" s="1246"/>
      <c r="F264" s="162"/>
      <c r="G264" s="319">
        <v>0</v>
      </c>
    </row>
    <row r="265" spans="2:7" hidden="1">
      <c r="B265" s="737"/>
      <c r="C265" s="739"/>
      <c r="D265" s="740" t="s">
        <v>300</v>
      </c>
      <c r="E265" s="164"/>
      <c r="F265" s="162"/>
      <c r="G265" s="741">
        <f>SUM(G261:G264)</f>
        <v>1799</v>
      </c>
    </row>
    <row r="266" spans="2:7" hidden="1">
      <c r="B266" s="737"/>
      <c r="C266" s="739"/>
      <c r="D266" s="740" t="s">
        <v>942</v>
      </c>
      <c r="E266" s="164"/>
      <c r="F266" s="162"/>
      <c r="G266" s="741">
        <f>G265*1.2522</f>
        <v>2252.7078000000001</v>
      </c>
    </row>
    <row r="267" spans="2:7" ht="15.75" hidden="1" thickBot="1">
      <c r="B267" s="742" t="s">
        <v>943</v>
      </c>
      <c r="C267" s="743"/>
      <c r="D267" s="744"/>
      <c r="E267" s="169"/>
      <c r="F267" s="170"/>
      <c r="G267" s="320"/>
    </row>
    <row r="268" spans="2:7" ht="15.75" hidden="1" thickBot="1">
      <c r="B268" s="219"/>
      <c r="C268" s="219"/>
      <c r="D268" s="219"/>
      <c r="E268" s="219"/>
      <c r="F268" s="219"/>
      <c r="G268" s="219"/>
    </row>
    <row r="269" spans="2:7" ht="67.5" hidden="1" customHeight="1">
      <c r="B269" s="153" t="s">
        <v>715</v>
      </c>
      <c r="C269" s="724" t="str">
        <f>[9]COMPOSIÇÃO!$B$49</f>
        <v>FORNECIMENTO E INSTALAÇÃO DE GRAMA SINTÉTICA 42MM, ALTA DURABILIDADE, COR VERDE, PROTEÇÃO RAIOS UV E LUZ SOLAR, INCLUSO COLA, TYPE, AREIA TRATADA, BORRACHA E MÃO DE OBRA ESPECIALIZADA</v>
      </c>
      <c r="D269" s="725" t="s">
        <v>7</v>
      </c>
      <c r="E269" s="726" t="s">
        <v>291</v>
      </c>
      <c r="F269" s="727" t="s">
        <v>292</v>
      </c>
      <c r="G269" s="728" t="s">
        <v>293</v>
      </c>
    </row>
    <row r="270" spans="2:7" ht="48" hidden="1">
      <c r="B270" s="729" t="s">
        <v>614</v>
      </c>
      <c r="C270" s="730" t="s">
        <v>716</v>
      </c>
      <c r="D270" s="731" t="s">
        <v>7</v>
      </c>
      <c r="E270" s="732">
        <v>1</v>
      </c>
      <c r="F270" s="733">
        <v>88</v>
      </c>
      <c r="G270" s="734">
        <f>TRUNC(E270*F270,2)</f>
        <v>88</v>
      </c>
    </row>
    <row r="271" spans="2:7" hidden="1">
      <c r="B271" s="737"/>
      <c r="C271" s="738"/>
      <c r="D271" s="1245" t="s">
        <v>941</v>
      </c>
      <c r="E271" s="1245"/>
      <c r="F271" s="162"/>
      <c r="G271" s="319">
        <v>0</v>
      </c>
    </row>
    <row r="272" spans="2:7" hidden="1">
      <c r="B272" s="737"/>
      <c r="C272" s="739"/>
      <c r="D272" s="681" t="s">
        <v>298</v>
      </c>
      <c r="E272" s="164"/>
      <c r="F272" s="162"/>
      <c r="G272" s="319">
        <f>G270</f>
        <v>88</v>
      </c>
    </row>
    <row r="273" spans="2:7" hidden="1">
      <c r="B273" s="737"/>
      <c r="C273" s="739"/>
      <c r="D273" s="681" t="s">
        <v>297</v>
      </c>
      <c r="E273" s="164"/>
      <c r="F273" s="162"/>
      <c r="G273" s="319">
        <v>0</v>
      </c>
    </row>
    <row r="274" spans="2:7" ht="17.25" hidden="1" customHeight="1">
      <c r="B274" s="737"/>
      <c r="C274" s="739"/>
      <c r="D274" s="1246" t="s">
        <v>299</v>
      </c>
      <c r="E274" s="1246"/>
      <c r="F274" s="162"/>
      <c r="G274" s="319">
        <v>0</v>
      </c>
    </row>
    <row r="275" spans="2:7" hidden="1">
      <c r="B275" s="737"/>
      <c r="C275" s="739"/>
      <c r="D275" s="740" t="s">
        <v>300</v>
      </c>
      <c r="E275" s="164"/>
      <c r="F275" s="162"/>
      <c r="G275" s="741">
        <f>SUM(G271:G274)</f>
        <v>88</v>
      </c>
    </row>
    <row r="276" spans="2:7" hidden="1">
      <c r="B276" s="737"/>
      <c r="C276" s="739"/>
      <c r="D276" s="740" t="s">
        <v>942</v>
      </c>
      <c r="E276" s="164"/>
      <c r="F276" s="162"/>
      <c r="G276" s="741">
        <f>G275*1.2522</f>
        <v>110.1936</v>
      </c>
    </row>
    <row r="277" spans="2:7" ht="15.75" hidden="1" thickBot="1">
      <c r="B277" s="742" t="s">
        <v>943</v>
      </c>
      <c r="C277" s="743"/>
      <c r="D277" s="744"/>
      <c r="E277" s="169"/>
      <c r="F277" s="170"/>
      <c r="G277" s="320"/>
    </row>
    <row r="278" spans="2:7" hidden="1">
      <c r="B278" s="219"/>
      <c r="C278" s="219"/>
      <c r="D278" s="219"/>
      <c r="E278" s="219"/>
      <c r="F278" s="219"/>
      <c r="G278" s="219"/>
    </row>
    <row r="279" spans="2:7" ht="15.75" hidden="1" thickBot="1">
      <c r="B279" s="219"/>
      <c r="C279" s="219"/>
      <c r="D279" s="219"/>
      <c r="E279" s="219"/>
      <c r="F279" s="219"/>
      <c r="G279" s="219"/>
    </row>
    <row r="280" spans="2:7" hidden="1">
      <c r="B280" s="153" t="s">
        <v>721</v>
      </c>
      <c r="C280" s="724" t="str">
        <f>[9]COMPOSIÇÃO!$B$70</f>
        <v xml:space="preserve">CAPA SELANTE C/ PÓ DE PEDRA </v>
      </c>
      <c r="D280" s="725" t="s">
        <v>7</v>
      </c>
      <c r="E280" s="726" t="s">
        <v>291</v>
      </c>
      <c r="F280" s="727" t="s">
        <v>292</v>
      </c>
      <c r="G280" s="728" t="s">
        <v>293</v>
      </c>
    </row>
    <row r="281" spans="2:7" hidden="1">
      <c r="B281" s="729" t="s">
        <v>614</v>
      </c>
      <c r="C281" s="730" t="s">
        <v>722</v>
      </c>
      <c r="D281" s="731" t="s">
        <v>7</v>
      </c>
      <c r="E281" s="732">
        <v>1</v>
      </c>
      <c r="F281" s="733">
        <v>1.5</v>
      </c>
      <c r="G281" s="734">
        <f>TRUNC(E281*F281,2)</f>
        <v>1.5</v>
      </c>
    </row>
    <row r="282" spans="2:7" hidden="1">
      <c r="B282" s="737"/>
      <c r="C282" s="738"/>
      <c r="D282" s="1245" t="s">
        <v>941</v>
      </c>
      <c r="E282" s="1245"/>
      <c r="F282" s="162"/>
      <c r="G282" s="319">
        <v>0</v>
      </c>
    </row>
    <row r="283" spans="2:7" hidden="1">
      <c r="B283" s="737"/>
      <c r="C283" s="739"/>
      <c r="D283" s="681" t="s">
        <v>298</v>
      </c>
      <c r="E283" s="164"/>
      <c r="F283" s="162"/>
      <c r="G283" s="319">
        <f>G281</f>
        <v>1.5</v>
      </c>
    </row>
    <row r="284" spans="2:7" hidden="1">
      <c r="B284" s="737"/>
      <c r="C284" s="739"/>
      <c r="D284" s="681" t="s">
        <v>297</v>
      </c>
      <c r="E284" s="164"/>
      <c r="F284" s="162"/>
      <c r="G284" s="319">
        <v>0</v>
      </c>
    </row>
    <row r="285" spans="2:7" hidden="1">
      <c r="B285" s="737"/>
      <c r="C285" s="739"/>
      <c r="D285" s="1246" t="s">
        <v>299</v>
      </c>
      <c r="E285" s="1246"/>
      <c r="F285" s="162"/>
      <c r="G285" s="319">
        <v>0</v>
      </c>
    </row>
    <row r="286" spans="2:7" hidden="1">
      <c r="B286" s="737"/>
      <c r="C286" s="739"/>
      <c r="D286" s="740" t="s">
        <v>300</v>
      </c>
      <c r="E286" s="164"/>
      <c r="F286" s="162"/>
      <c r="G286" s="741">
        <f>SUM(G282:G285)</f>
        <v>1.5</v>
      </c>
    </row>
    <row r="287" spans="2:7" hidden="1">
      <c r="B287" s="737"/>
      <c r="C287" s="739"/>
      <c r="D287" s="740" t="s">
        <v>942</v>
      </c>
      <c r="E287" s="164"/>
      <c r="F287" s="162"/>
      <c r="G287" s="741">
        <f>G286*1.2522</f>
        <v>1.8782999999999999</v>
      </c>
    </row>
    <row r="288" spans="2:7" ht="15.75" hidden="1" thickBot="1">
      <c r="B288" s="742" t="s">
        <v>943</v>
      </c>
      <c r="C288" s="743"/>
      <c r="D288" s="744"/>
      <c r="E288" s="169"/>
      <c r="F288" s="170"/>
      <c r="G288" s="320"/>
    </row>
    <row r="289" spans="2:7" ht="16.5" hidden="1" customHeight="1" thickBot="1">
      <c r="B289" s="219"/>
      <c r="C289" s="219"/>
      <c r="D289" s="219"/>
      <c r="E289" s="219"/>
      <c r="F289" s="219"/>
      <c r="G289" s="219"/>
    </row>
    <row r="290" spans="2:7" ht="33.75" hidden="1" customHeight="1">
      <c r="B290" s="153" t="s">
        <v>706</v>
      </c>
      <c r="C290" s="324" t="s">
        <v>707</v>
      </c>
      <c r="D290" s="725" t="s">
        <v>7</v>
      </c>
      <c r="E290" s="726" t="s">
        <v>291</v>
      </c>
      <c r="F290" s="727" t="s">
        <v>292</v>
      </c>
      <c r="G290" s="728" t="s">
        <v>293</v>
      </c>
    </row>
    <row r="291" spans="2:7" ht="24" hidden="1">
      <c r="B291" s="729" t="s">
        <v>614</v>
      </c>
      <c r="C291" s="745" t="s">
        <v>949</v>
      </c>
      <c r="D291" s="731" t="s">
        <v>77</v>
      </c>
      <c r="E291" s="732">
        <v>4</v>
      </c>
      <c r="F291" s="733">
        <v>11.85</v>
      </c>
      <c r="G291" s="734">
        <f t="shared" ref="G291:G296" si="5">TRUNC(E291*F291,2)</f>
        <v>47.4</v>
      </c>
    </row>
    <row r="292" spans="2:7" hidden="1">
      <c r="B292" s="729" t="s">
        <v>614</v>
      </c>
      <c r="C292" s="745" t="s">
        <v>950</v>
      </c>
      <c r="D292" s="731" t="s">
        <v>7</v>
      </c>
      <c r="E292" s="732">
        <v>1</v>
      </c>
      <c r="F292" s="733">
        <v>288.24</v>
      </c>
      <c r="G292" s="734">
        <f t="shared" si="5"/>
        <v>288.24</v>
      </c>
    </row>
    <row r="293" spans="2:7" hidden="1">
      <c r="B293" s="729" t="s">
        <v>614</v>
      </c>
      <c r="C293" s="745" t="s">
        <v>951</v>
      </c>
      <c r="D293" s="731" t="s">
        <v>77</v>
      </c>
      <c r="E293" s="732">
        <v>1</v>
      </c>
      <c r="F293" s="733">
        <v>5.6</v>
      </c>
      <c r="G293" s="734">
        <f t="shared" si="5"/>
        <v>5.6</v>
      </c>
    </row>
    <row r="294" spans="2:7" hidden="1">
      <c r="B294" s="729" t="s">
        <v>333</v>
      </c>
      <c r="C294" s="745" t="s">
        <v>334</v>
      </c>
      <c r="D294" s="731" t="s">
        <v>296</v>
      </c>
      <c r="E294" s="732">
        <v>1</v>
      </c>
      <c r="F294" s="733">
        <v>21.43</v>
      </c>
      <c r="G294" s="734">
        <f t="shared" si="5"/>
        <v>21.43</v>
      </c>
    </row>
    <row r="295" spans="2:7" hidden="1">
      <c r="B295" s="735" t="s">
        <v>335</v>
      </c>
      <c r="C295" s="848" t="s">
        <v>309</v>
      </c>
      <c r="D295" s="731" t="s">
        <v>296</v>
      </c>
      <c r="E295" s="732">
        <v>2</v>
      </c>
      <c r="F295" s="736">
        <v>17.32</v>
      </c>
      <c r="G295" s="734">
        <f t="shared" si="5"/>
        <v>34.64</v>
      </c>
    </row>
    <row r="296" spans="2:7" hidden="1">
      <c r="B296" s="735" t="s">
        <v>952</v>
      </c>
      <c r="C296" s="848" t="s">
        <v>953</v>
      </c>
      <c r="D296" s="731" t="s">
        <v>317</v>
      </c>
      <c r="E296" s="732">
        <v>0.15</v>
      </c>
      <c r="F296" s="736">
        <v>25.4</v>
      </c>
      <c r="G296" s="734">
        <f t="shared" si="5"/>
        <v>3.81</v>
      </c>
    </row>
    <row r="297" spans="2:7" hidden="1">
      <c r="B297" s="737"/>
      <c r="C297" s="738"/>
      <c r="D297" s="1245" t="s">
        <v>941</v>
      </c>
      <c r="E297" s="1245"/>
      <c r="F297" s="162"/>
      <c r="G297" s="319">
        <v>0</v>
      </c>
    </row>
    <row r="298" spans="2:7" hidden="1">
      <c r="B298" s="737"/>
      <c r="C298" s="739"/>
      <c r="D298" s="681" t="s">
        <v>298</v>
      </c>
      <c r="E298" s="164"/>
      <c r="F298" s="162"/>
      <c r="G298" s="319">
        <f>SUM(G291,G292,G293,G296)</f>
        <v>345.05</v>
      </c>
    </row>
    <row r="299" spans="2:7" hidden="1">
      <c r="B299" s="737"/>
      <c r="C299" s="739"/>
      <c r="D299" s="681" t="s">
        <v>297</v>
      </c>
      <c r="E299" s="164"/>
      <c r="F299" s="162"/>
      <c r="G299" s="319">
        <f>SUM(G294:G295)</f>
        <v>56.07</v>
      </c>
    </row>
    <row r="300" spans="2:7" hidden="1">
      <c r="B300" s="737"/>
      <c r="C300" s="739"/>
      <c r="D300" s="1246" t="s">
        <v>299</v>
      </c>
      <c r="E300" s="1246"/>
      <c r="F300" s="162"/>
      <c r="G300" s="319">
        <v>0</v>
      </c>
    </row>
    <row r="301" spans="2:7" hidden="1">
      <c r="B301" s="737"/>
      <c r="C301" s="739"/>
      <c r="D301" s="740" t="s">
        <v>300</v>
      </c>
      <c r="E301" s="164"/>
      <c r="F301" s="162"/>
      <c r="G301" s="741">
        <f>SUM(G297:G300)</f>
        <v>401.12</v>
      </c>
    </row>
    <row r="302" spans="2:7" hidden="1">
      <c r="B302" s="737"/>
      <c r="C302" s="739"/>
      <c r="D302" s="740" t="s">
        <v>942</v>
      </c>
      <c r="E302" s="164"/>
      <c r="F302" s="162"/>
      <c r="G302" s="741"/>
    </row>
    <row r="303" spans="2:7" ht="15.75" hidden="1" thickBot="1">
      <c r="B303" s="742" t="s">
        <v>943</v>
      </c>
      <c r="C303" s="743"/>
      <c r="D303" s="744"/>
      <c r="E303" s="169"/>
      <c r="F303" s="170"/>
      <c r="G303" s="320"/>
    </row>
    <row r="304" spans="2:7" ht="15.75" hidden="1" thickBot="1">
      <c r="B304" s="219"/>
      <c r="C304" s="219"/>
      <c r="D304" s="219"/>
      <c r="E304" s="219"/>
      <c r="F304" s="219"/>
      <c r="G304" s="219"/>
    </row>
    <row r="305" spans="2:7" ht="35.25" hidden="1" customHeight="1">
      <c r="B305" s="153" t="s">
        <v>614</v>
      </c>
      <c r="C305" s="324" t="s">
        <v>710</v>
      </c>
      <c r="D305" s="725" t="s">
        <v>21</v>
      </c>
      <c r="E305" s="726" t="s">
        <v>291</v>
      </c>
      <c r="F305" s="727" t="s">
        <v>292</v>
      </c>
      <c r="G305" s="728" t="s">
        <v>293</v>
      </c>
    </row>
    <row r="306" spans="2:7" hidden="1">
      <c r="B306" s="729" t="s">
        <v>614</v>
      </c>
      <c r="C306" s="745" t="s">
        <v>710</v>
      </c>
      <c r="D306" s="731" t="s">
        <v>21</v>
      </c>
      <c r="E306" s="732">
        <v>1</v>
      </c>
      <c r="F306" s="733">
        <v>177.99</v>
      </c>
      <c r="G306" s="734">
        <f>TRUNC(E306*F306,2)</f>
        <v>177.99</v>
      </c>
    </row>
    <row r="307" spans="2:7" hidden="1">
      <c r="B307" s="737"/>
      <c r="C307" s="738"/>
      <c r="D307" s="1245" t="s">
        <v>941</v>
      </c>
      <c r="E307" s="1245"/>
      <c r="F307" s="162"/>
      <c r="G307" s="319">
        <v>0</v>
      </c>
    </row>
    <row r="308" spans="2:7" hidden="1">
      <c r="B308" s="737"/>
      <c r="C308" s="739"/>
      <c r="D308" s="681" t="s">
        <v>298</v>
      </c>
      <c r="E308" s="164"/>
      <c r="F308" s="162"/>
      <c r="G308" s="319">
        <f>G306</f>
        <v>177.99</v>
      </c>
    </row>
    <row r="309" spans="2:7" hidden="1">
      <c r="B309" s="737"/>
      <c r="C309" s="739"/>
      <c r="D309" s="681" t="s">
        <v>297</v>
      </c>
      <c r="E309" s="164"/>
      <c r="F309" s="162"/>
      <c r="G309" s="319">
        <v>0</v>
      </c>
    </row>
    <row r="310" spans="2:7" hidden="1">
      <c r="B310" s="737"/>
      <c r="C310" s="739"/>
      <c r="D310" s="1246" t="s">
        <v>299</v>
      </c>
      <c r="E310" s="1246"/>
      <c r="F310" s="162"/>
      <c r="G310" s="319">
        <v>0</v>
      </c>
    </row>
    <row r="311" spans="2:7" hidden="1">
      <c r="B311" s="737"/>
      <c r="C311" s="739"/>
      <c r="D311" s="740" t="s">
        <v>300</v>
      </c>
      <c r="E311" s="164"/>
      <c r="F311" s="162"/>
      <c r="G311" s="741">
        <f>SUM(G307:G310)</f>
        <v>177.99</v>
      </c>
    </row>
    <row r="312" spans="2:7" hidden="1">
      <c r="B312" s="737"/>
      <c r="C312" s="739"/>
      <c r="D312" s="740" t="s">
        <v>942</v>
      </c>
      <c r="E312" s="164"/>
      <c r="F312" s="162"/>
      <c r="G312" s="741">
        <f>G311*1.2522</f>
        <v>222.87907800000002</v>
      </c>
    </row>
    <row r="313" spans="2:7" ht="15.75" hidden="1" thickBot="1">
      <c r="B313" s="742" t="s">
        <v>943</v>
      </c>
      <c r="C313" s="743"/>
      <c r="D313" s="744"/>
      <c r="E313" s="169"/>
      <c r="F313" s="170"/>
      <c r="G313" s="320"/>
    </row>
    <row r="314" spans="2:7" hidden="1">
      <c r="B314" s="219"/>
      <c r="C314" s="219"/>
      <c r="D314" s="219"/>
      <c r="E314" s="219"/>
      <c r="F314" s="219"/>
      <c r="G314" s="219"/>
    </row>
    <row r="315" spans="2:7" ht="17.25" hidden="1" customHeight="1">
      <c r="B315" s="153" t="s">
        <v>954</v>
      </c>
      <c r="C315" s="324" t="s">
        <v>955</v>
      </c>
      <c r="D315" s="725" t="s">
        <v>7</v>
      </c>
      <c r="E315" s="726" t="s">
        <v>291</v>
      </c>
      <c r="F315" s="727" t="s">
        <v>292</v>
      </c>
      <c r="G315" s="728" t="s">
        <v>293</v>
      </c>
    </row>
    <row r="316" spans="2:7" ht="17.25" hidden="1" customHeight="1">
      <c r="B316" s="729" t="s">
        <v>614</v>
      </c>
      <c r="C316" s="745" t="s">
        <v>956</v>
      </c>
      <c r="D316" s="731" t="s">
        <v>21</v>
      </c>
      <c r="E316" s="732">
        <v>0.5</v>
      </c>
      <c r="F316" s="733">
        <v>1.99</v>
      </c>
      <c r="G316" s="734">
        <f>TRUNC(E316*F316,2)</f>
        <v>0.99</v>
      </c>
    </row>
    <row r="317" spans="2:7" ht="17.25" hidden="1" customHeight="1">
      <c r="B317" s="729" t="s">
        <v>614</v>
      </c>
      <c r="C317" s="745" t="s">
        <v>957</v>
      </c>
      <c r="D317" s="731" t="s">
        <v>958</v>
      </c>
      <c r="E317" s="732">
        <v>0.03</v>
      </c>
      <c r="F317" s="733">
        <v>94.79</v>
      </c>
      <c r="G317" s="734">
        <f>TRUNC(E317*F317,2)</f>
        <v>2.84</v>
      </c>
    </row>
    <row r="318" spans="2:7" ht="17.25" hidden="1" customHeight="1">
      <c r="B318" s="729" t="s">
        <v>959</v>
      </c>
      <c r="C318" s="745" t="s">
        <v>960</v>
      </c>
      <c r="D318" s="731" t="s">
        <v>948</v>
      </c>
      <c r="E318" s="732">
        <v>0.108</v>
      </c>
      <c r="F318" s="733">
        <v>29.1</v>
      </c>
      <c r="G318" s="734">
        <f>TRUNC(E318*F318,2)</f>
        <v>3.14</v>
      </c>
    </row>
    <row r="319" spans="2:7" ht="17.25" hidden="1" customHeight="1">
      <c r="B319" s="735" t="s">
        <v>335</v>
      </c>
      <c r="C319" s="730" t="s">
        <v>309</v>
      </c>
      <c r="D319" s="731" t="s">
        <v>296</v>
      </c>
      <c r="E319" s="732">
        <v>0.16</v>
      </c>
      <c r="F319" s="736">
        <v>17.32</v>
      </c>
      <c r="G319" s="734">
        <f>TRUNC(E319*F319,2)</f>
        <v>2.77</v>
      </c>
    </row>
    <row r="320" spans="2:7" ht="17.25" hidden="1" customHeight="1">
      <c r="B320" s="735" t="s">
        <v>348</v>
      </c>
      <c r="C320" s="730" t="s">
        <v>349</v>
      </c>
      <c r="D320" s="731" t="s">
        <v>296</v>
      </c>
      <c r="E320" s="732">
        <v>0.33</v>
      </c>
      <c r="F320" s="736">
        <v>22.64</v>
      </c>
      <c r="G320" s="734">
        <f>TRUNC(E320*F320,2)</f>
        <v>7.47</v>
      </c>
    </row>
    <row r="321" spans="2:7" ht="17.25" hidden="1" customHeight="1">
      <c r="B321" s="737"/>
      <c r="C321" s="738"/>
      <c r="D321" s="1245" t="s">
        <v>941</v>
      </c>
      <c r="E321" s="1245"/>
      <c r="F321" s="162"/>
      <c r="G321" s="319">
        <v>0</v>
      </c>
    </row>
    <row r="322" spans="2:7" hidden="1">
      <c r="B322" s="737"/>
      <c r="C322" s="739"/>
      <c r="D322" s="681" t="s">
        <v>298</v>
      </c>
      <c r="E322" s="164"/>
      <c r="F322" s="162"/>
      <c r="G322" s="319">
        <f>SUM(G318,G317,G316)</f>
        <v>6.9700000000000006</v>
      </c>
    </row>
    <row r="323" spans="2:7" hidden="1">
      <c r="B323" s="737"/>
      <c r="C323" s="739"/>
      <c r="D323" s="681" t="s">
        <v>297</v>
      </c>
      <c r="E323" s="164"/>
      <c r="F323" s="162"/>
      <c r="G323" s="319">
        <f>SUM(G319,G320)</f>
        <v>10.24</v>
      </c>
    </row>
    <row r="324" spans="2:7" hidden="1">
      <c r="B324" s="737"/>
      <c r="C324" s="739"/>
      <c r="D324" s="1246" t="s">
        <v>299</v>
      </c>
      <c r="E324" s="1246"/>
      <c r="F324" s="162"/>
      <c r="G324" s="319">
        <v>0</v>
      </c>
    </row>
    <row r="325" spans="2:7" hidden="1">
      <c r="B325" s="737"/>
      <c r="C325" s="739"/>
      <c r="D325" s="740" t="s">
        <v>300</v>
      </c>
      <c r="E325" s="164"/>
      <c r="F325" s="162"/>
      <c r="G325" s="741">
        <f>SUM(G321:G324)</f>
        <v>17.21</v>
      </c>
    </row>
    <row r="326" spans="2:7" hidden="1">
      <c r="B326" s="737"/>
      <c r="C326" s="739"/>
      <c r="D326" s="740" t="s">
        <v>942</v>
      </c>
      <c r="E326" s="164"/>
      <c r="F326" s="162"/>
      <c r="G326" s="741">
        <f>G325*1.2522</f>
        <v>21.550362</v>
      </c>
    </row>
    <row r="327" spans="2:7" ht="15.75" hidden="1" thickBot="1">
      <c r="B327" s="742" t="s">
        <v>943</v>
      </c>
      <c r="C327" s="743"/>
      <c r="D327" s="744"/>
      <c r="E327" s="169"/>
      <c r="F327" s="170"/>
      <c r="G327" s="320"/>
    </row>
    <row r="328" spans="2:7" ht="15.75" hidden="1" thickBot="1">
      <c r="B328" s="219"/>
      <c r="C328" s="219"/>
      <c r="D328" s="219"/>
      <c r="E328" s="219"/>
      <c r="F328" s="219"/>
      <c r="G328" s="219"/>
    </row>
    <row r="329" spans="2:7" hidden="1">
      <c r="B329" s="153" t="s">
        <v>961</v>
      </c>
      <c r="C329" s="324" t="s">
        <v>962</v>
      </c>
      <c r="D329" s="725" t="s">
        <v>7</v>
      </c>
      <c r="E329" s="726" t="s">
        <v>291</v>
      </c>
      <c r="F329" s="727" t="s">
        <v>292</v>
      </c>
      <c r="G329" s="728" t="s">
        <v>293</v>
      </c>
    </row>
    <row r="330" spans="2:7" ht="24" hidden="1">
      <c r="B330" s="729" t="s">
        <v>614</v>
      </c>
      <c r="C330" s="745" t="s">
        <v>963</v>
      </c>
      <c r="D330" s="731" t="s">
        <v>77</v>
      </c>
      <c r="E330" s="732">
        <v>2.9E-4</v>
      </c>
      <c r="F330" s="733">
        <v>13.98</v>
      </c>
      <c r="G330" s="734">
        <f>F330*E330</f>
        <v>4.0542E-3</v>
      </c>
    </row>
    <row r="331" spans="2:7" hidden="1">
      <c r="B331" s="729" t="s">
        <v>964</v>
      </c>
      <c r="C331" s="745" t="s">
        <v>965</v>
      </c>
      <c r="D331" s="731" t="s">
        <v>296</v>
      </c>
      <c r="E331" s="732">
        <v>2.5000000000000001E-4</v>
      </c>
      <c r="F331" s="733">
        <v>10.51</v>
      </c>
      <c r="G331" s="734">
        <f>F331*E331</f>
        <v>2.6275000000000001E-3</v>
      </c>
    </row>
    <row r="332" spans="2:7" hidden="1">
      <c r="B332" s="729" t="s">
        <v>1572</v>
      </c>
      <c r="C332" s="745" t="s">
        <v>966</v>
      </c>
      <c r="D332" s="731" t="s">
        <v>296</v>
      </c>
      <c r="E332" s="732">
        <v>2.5000000000000001E-4</v>
      </c>
      <c r="F332" s="733">
        <v>12.93</v>
      </c>
      <c r="G332" s="734">
        <f>TRUNC(E332*F332,2)</f>
        <v>0</v>
      </c>
    </row>
    <row r="333" spans="2:7" hidden="1">
      <c r="B333" s="735" t="s">
        <v>335</v>
      </c>
      <c r="C333" s="730" t="s">
        <v>309</v>
      </c>
      <c r="D333" s="731" t="s">
        <v>296</v>
      </c>
      <c r="E333" s="732">
        <v>7.5000000000000002E-4</v>
      </c>
      <c r="F333" s="736">
        <v>17.32</v>
      </c>
      <c r="G333" s="734">
        <f>TRUNC(E333*F333,2)</f>
        <v>0.01</v>
      </c>
    </row>
    <row r="334" spans="2:7" hidden="1">
      <c r="B334" s="735" t="s">
        <v>1573</v>
      </c>
      <c r="C334" s="730" t="s">
        <v>967</v>
      </c>
      <c r="D334" s="731" t="s">
        <v>296</v>
      </c>
      <c r="E334" s="732">
        <v>2E-3</v>
      </c>
      <c r="F334" s="736">
        <v>33.15</v>
      </c>
      <c r="G334" s="734">
        <f>TRUNC(E334*F334,2)</f>
        <v>0.06</v>
      </c>
    </row>
    <row r="335" spans="2:7" ht="24" hidden="1">
      <c r="B335" s="735" t="s">
        <v>968</v>
      </c>
      <c r="C335" s="730" t="s">
        <v>969</v>
      </c>
      <c r="D335" s="731" t="s">
        <v>296</v>
      </c>
      <c r="E335" s="732">
        <v>1E-4</v>
      </c>
      <c r="F335" s="736">
        <v>0.46</v>
      </c>
      <c r="G335" s="734">
        <f>TRUNC(E335*F335,2)</f>
        <v>0</v>
      </c>
    </row>
    <row r="336" spans="2:7" hidden="1">
      <c r="B336" s="737"/>
      <c r="C336" s="738"/>
      <c r="D336" s="1245" t="s">
        <v>941</v>
      </c>
      <c r="E336" s="1245"/>
      <c r="F336" s="162"/>
      <c r="G336" s="319">
        <v>0</v>
      </c>
    </row>
    <row r="337" spans="2:7" hidden="1">
      <c r="B337" s="737"/>
      <c r="C337" s="739"/>
      <c r="D337" s="681" t="s">
        <v>298</v>
      </c>
      <c r="E337" s="164"/>
      <c r="F337" s="162"/>
      <c r="G337" s="319">
        <f>SUM(G335,G330)</f>
        <v>4.0542E-3</v>
      </c>
    </row>
    <row r="338" spans="2:7" hidden="1">
      <c r="B338" s="737"/>
      <c r="C338" s="739"/>
      <c r="D338" s="681" t="s">
        <v>297</v>
      </c>
      <c r="E338" s="164"/>
      <c r="F338" s="162"/>
      <c r="G338" s="319">
        <f>SUM(G332,G331,G333,G334)</f>
        <v>7.2627499999999998E-2</v>
      </c>
    </row>
    <row r="339" spans="2:7" hidden="1">
      <c r="B339" s="737"/>
      <c r="C339" s="739"/>
      <c r="D339" s="1246" t="s">
        <v>299</v>
      </c>
      <c r="E339" s="1246"/>
      <c r="F339" s="162"/>
      <c r="G339" s="319">
        <v>0</v>
      </c>
    </row>
    <row r="340" spans="2:7" hidden="1">
      <c r="B340" s="737"/>
      <c r="C340" s="739"/>
      <c r="D340" s="740" t="s">
        <v>300</v>
      </c>
      <c r="E340" s="164"/>
      <c r="F340" s="162"/>
      <c r="G340" s="741">
        <f>SUM(G336:G339)</f>
        <v>7.6681699999999992E-2</v>
      </c>
    </row>
    <row r="341" spans="2:7" hidden="1">
      <c r="B341" s="737"/>
      <c r="C341" s="739"/>
      <c r="D341" s="740" t="s">
        <v>942</v>
      </c>
      <c r="E341" s="164"/>
      <c r="F341" s="162"/>
      <c r="G341" s="741">
        <f>G340*1.2522</f>
        <v>9.6020824739999983E-2</v>
      </c>
    </row>
    <row r="342" spans="2:7" ht="15.75" hidden="1" thickBot="1">
      <c r="B342" s="742" t="s">
        <v>943</v>
      </c>
      <c r="C342" s="743"/>
      <c r="D342" s="744"/>
      <c r="E342" s="169"/>
      <c r="F342" s="170"/>
      <c r="G342" s="320"/>
    </row>
    <row r="343" spans="2:7">
      <c r="B343" s="219"/>
      <c r="C343" s="219"/>
      <c r="D343" s="219"/>
      <c r="E343" s="219"/>
      <c r="F343" s="219"/>
      <c r="G343" s="219"/>
    </row>
    <row r="344" spans="2:7" hidden="1">
      <c r="B344" s="746"/>
      <c r="C344" s="747"/>
      <c r="D344" s="748"/>
      <c r="E344" s="164"/>
      <c r="F344" s="749"/>
      <c r="G344" s="750"/>
    </row>
    <row r="345" spans="2:7" ht="24" hidden="1">
      <c r="B345" s="153" t="s">
        <v>727</v>
      </c>
      <c r="C345" s="751" t="s">
        <v>728</v>
      </c>
      <c r="D345" s="752" t="s">
        <v>7</v>
      </c>
      <c r="E345" s="726" t="s">
        <v>291</v>
      </c>
      <c r="F345" s="727" t="s">
        <v>292</v>
      </c>
      <c r="G345" s="728" t="s">
        <v>293</v>
      </c>
    </row>
    <row r="346" spans="2:7" ht="24" hidden="1">
      <c r="B346" s="753">
        <v>7271</v>
      </c>
      <c r="C346" s="754" t="s">
        <v>970</v>
      </c>
      <c r="D346" s="753" t="s">
        <v>971</v>
      </c>
      <c r="E346" s="755">
        <v>25</v>
      </c>
      <c r="F346" s="755">
        <v>0.6</v>
      </c>
      <c r="G346" s="756">
        <f t="shared" ref="G346:G351" si="6">TRUNC(E346*F346,2)</f>
        <v>15</v>
      </c>
    </row>
    <row r="347" spans="2:7" hidden="1">
      <c r="B347" s="753">
        <v>1106</v>
      </c>
      <c r="C347" s="754" t="s">
        <v>972</v>
      </c>
      <c r="D347" s="753" t="s">
        <v>317</v>
      </c>
      <c r="E347" s="755">
        <v>2.1800000000000002</v>
      </c>
      <c r="F347" s="755">
        <v>1.05</v>
      </c>
      <c r="G347" s="756">
        <f t="shared" si="6"/>
        <v>2.2799999999999998</v>
      </c>
    </row>
    <row r="348" spans="2:7" hidden="1">
      <c r="B348" s="753">
        <v>1379</v>
      </c>
      <c r="C348" s="754" t="s">
        <v>973</v>
      </c>
      <c r="D348" s="753" t="s">
        <v>317</v>
      </c>
      <c r="E348" s="755">
        <v>2.1800000000000002</v>
      </c>
      <c r="F348" s="755">
        <v>0.59</v>
      </c>
      <c r="G348" s="756">
        <f t="shared" si="6"/>
        <v>1.28</v>
      </c>
    </row>
    <row r="349" spans="2:7" ht="24" hidden="1">
      <c r="B349" s="753">
        <v>370</v>
      </c>
      <c r="C349" s="754" t="s">
        <v>974</v>
      </c>
      <c r="D349" s="753" t="s">
        <v>15</v>
      </c>
      <c r="E349" s="755">
        <v>1.4999999999999999E-2</v>
      </c>
      <c r="F349" s="755">
        <v>90</v>
      </c>
      <c r="G349" s="756">
        <f t="shared" si="6"/>
        <v>1.35</v>
      </c>
    </row>
    <row r="350" spans="2:7" hidden="1">
      <c r="B350" s="753">
        <v>88309</v>
      </c>
      <c r="C350" s="754" t="s">
        <v>454</v>
      </c>
      <c r="D350" s="753" t="s">
        <v>296</v>
      </c>
      <c r="E350" s="755">
        <v>1</v>
      </c>
      <c r="F350" s="755">
        <v>21.65</v>
      </c>
      <c r="G350" s="756">
        <f t="shared" si="6"/>
        <v>21.65</v>
      </c>
    </row>
    <row r="351" spans="2:7" hidden="1">
      <c r="B351" s="753">
        <v>88316</v>
      </c>
      <c r="C351" s="754" t="s">
        <v>309</v>
      </c>
      <c r="D351" s="753" t="s">
        <v>296</v>
      </c>
      <c r="E351" s="755">
        <v>1.1200000000000001</v>
      </c>
      <c r="F351" s="755">
        <v>17.32</v>
      </c>
      <c r="G351" s="756">
        <f t="shared" si="6"/>
        <v>19.39</v>
      </c>
    </row>
    <row r="352" spans="2:7" hidden="1">
      <c r="B352" s="737"/>
      <c r="C352" s="738"/>
      <c r="D352" s="1256" t="s">
        <v>941</v>
      </c>
      <c r="E352" s="1256"/>
      <c r="F352" s="162"/>
      <c r="G352" s="319">
        <v>0</v>
      </c>
    </row>
    <row r="353" spans="2:7" hidden="1">
      <c r="B353" s="737"/>
      <c r="C353" s="739"/>
      <c r="D353" s="681" t="s">
        <v>298</v>
      </c>
      <c r="E353" s="164"/>
      <c r="F353" s="162"/>
      <c r="G353" s="319">
        <f>SUM(G346:G349)</f>
        <v>19.910000000000004</v>
      </c>
    </row>
    <row r="354" spans="2:7" hidden="1">
      <c r="B354" s="737"/>
      <c r="C354" s="739"/>
      <c r="D354" s="681" t="s">
        <v>297</v>
      </c>
      <c r="E354" s="164"/>
      <c r="F354" s="162"/>
      <c r="G354" s="319">
        <f>SUM(G350:G351)</f>
        <v>41.04</v>
      </c>
    </row>
    <row r="355" spans="2:7" hidden="1">
      <c r="B355" s="737"/>
      <c r="C355" s="739"/>
      <c r="D355" s="1246" t="s">
        <v>299</v>
      </c>
      <c r="E355" s="1246"/>
      <c r="F355" s="162"/>
      <c r="G355" s="319">
        <v>0</v>
      </c>
    </row>
    <row r="356" spans="2:7" hidden="1">
      <c r="B356" s="737"/>
      <c r="C356" s="739"/>
      <c r="D356" s="740" t="s">
        <v>300</v>
      </c>
      <c r="E356" s="164"/>
      <c r="F356" s="162"/>
      <c r="G356" s="741">
        <f>SUM(G352:G355)</f>
        <v>60.95</v>
      </c>
    </row>
    <row r="357" spans="2:7" ht="15.75" hidden="1" thickBot="1">
      <c r="B357" s="742" t="s">
        <v>943</v>
      </c>
      <c r="C357" s="743"/>
      <c r="D357" s="744"/>
      <c r="E357" s="169"/>
      <c r="F357" s="170"/>
      <c r="G357" s="320"/>
    </row>
    <row r="358" spans="2:7" hidden="1">
      <c r="B358" s="746"/>
      <c r="C358" s="747"/>
      <c r="D358" s="748"/>
      <c r="E358" s="164"/>
      <c r="F358" s="749"/>
      <c r="G358" s="750"/>
    </row>
    <row r="359" spans="2:7" hidden="1">
      <c r="B359" s="153" t="s">
        <v>732</v>
      </c>
      <c r="C359" s="751" t="s">
        <v>733</v>
      </c>
      <c r="D359" s="752" t="s">
        <v>15</v>
      </c>
      <c r="E359" s="726" t="s">
        <v>291</v>
      </c>
      <c r="F359" s="727" t="s">
        <v>292</v>
      </c>
      <c r="G359" s="728" t="s">
        <v>293</v>
      </c>
    </row>
    <row r="360" spans="2:7" hidden="1">
      <c r="B360" s="753" t="s">
        <v>614</v>
      </c>
      <c r="C360" s="754" t="s">
        <v>975</v>
      </c>
      <c r="D360" s="753" t="s">
        <v>15</v>
      </c>
      <c r="E360" s="755">
        <v>0.1</v>
      </c>
      <c r="F360" s="755">
        <v>150</v>
      </c>
      <c r="G360" s="756">
        <f>TRUNC(E360*F360,2)</f>
        <v>15</v>
      </c>
    </row>
    <row r="361" spans="2:7" hidden="1">
      <c r="B361" s="753" t="s">
        <v>614</v>
      </c>
      <c r="C361" s="754" t="s">
        <v>976</v>
      </c>
      <c r="D361" s="753" t="s">
        <v>15</v>
      </c>
      <c r="E361" s="755">
        <v>0.9</v>
      </c>
      <c r="F361" s="755">
        <v>55</v>
      </c>
      <c r="G361" s="756">
        <f>TRUNC(E361*F361,2)</f>
        <v>49.5</v>
      </c>
    </row>
    <row r="362" spans="2:7" hidden="1">
      <c r="B362" s="753">
        <v>88316</v>
      </c>
      <c r="C362" s="754" t="s">
        <v>309</v>
      </c>
      <c r="D362" s="753" t="s">
        <v>296</v>
      </c>
      <c r="E362" s="755">
        <v>1</v>
      </c>
      <c r="F362" s="755">
        <v>17.32</v>
      </c>
      <c r="G362" s="756">
        <f>TRUNC(E362*F362,2)</f>
        <v>17.32</v>
      </c>
    </row>
    <row r="363" spans="2:7" hidden="1">
      <c r="B363" s="737"/>
      <c r="C363" s="738"/>
      <c r="D363" s="1256" t="s">
        <v>941</v>
      </c>
      <c r="E363" s="1256"/>
      <c r="F363" s="162"/>
      <c r="G363" s="319">
        <v>0</v>
      </c>
    </row>
    <row r="364" spans="2:7" hidden="1">
      <c r="B364" s="737"/>
      <c r="C364" s="739"/>
      <c r="D364" s="681" t="s">
        <v>298</v>
      </c>
      <c r="E364" s="164"/>
      <c r="F364" s="162"/>
      <c r="G364" s="319">
        <f>SUM(G360:G361)</f>
        <v>64.5</v>
      </c>
    </row>
    <row r="365" spans="2:7" hidden="1">
      <c r="B365" s="737"/>
      <c r="C365" s="739"/>
      <c r="D365" s="681" t="s">
        <v>297</v>
      </c>
      <c r="E365" s="164"/>
      <c r="F365" s="162"/>
      <c r="G365" s="319">
        <f>SUM(G362)</f>
        <v>17.32</v>
      </c>
    </row>
    <row r="366" spans="2:7" hidden="1">
      <c r="B366" s="737"/>
      <c r="C366" s="739"/>
      <c r="D366" s="1246" t="s">
        <v>299</v>
      </c>
      <c r="E366" s="1246"/>
      <c r="F366" s="162"/>
      <c r="G366" s="319">
        <v>0</v>
      </c>
    </row>
    <row r="367" spans="2:7" hidden="1">
      <c r="B367" s="737"/>
      <c r="C367" s="739"/>
      <c r="D367" s="740" t="s">
        <v>300</v>
      </c>
      <c r="E367" s="164"/>
      <c r="F367" s="162"/>
      <c r="G367" s="741">
        <f>SUM(G363:G366)</f>
        <v>81.819999999999993</v>
      </c>
    </row>
    <row r="368" spans="2:7" ht="15.75" hidden="1" thickBot="1">
      <c r="B368" s="742" t="s">
        <v>943</v>
      </c>
      <c r="C368" s="743"/>
      <c r="D368" s="744"/>
      <c r="E368" s="169"/>
      <c r="F368" s="170"/>
      <c r="G368" s="320"/>
    </row>
    <row r="369" spans="2:7" ht="15.75" hidden="1" thickBot="1">
      <c r="B369" s="746"/>
      <c r="C369" s="747"/>
      <c r="D369" s="748"/>
      <c r="E369" s="164"/>
      <c r="F369" s="749"/>
      <c r="G369" s="750"/>
    </row>
    <row r="370" spans="2:7" ht="29.25" hidden="1" customHeight="1">
      <c r="B370" s="153" t="s">
        <v>735</v>
      </c>
      <c r="C370" s="751" t="s">
        <v>736</v>
      </c>
      <c r="D370" s="752" t="s">
        <v>77</v>
      </c>
      <c r="E370" s="726" t="s">
        <v>291</v>
      </c>
      <c r="F370" s="727" t="s">
        <v>292</v>
      </c>
      <c r="G370" s="728" t="s">
        <v>293</v>
      </c>
    </row>
    <row r="371" spans="2:7" hidden="1">
      <c r="B371" s="753" t="s">
        <v>1576</v>
      </c>
      <c r="C371" s="754" t="s">
        <v>977</v>
      </c>
      <c r="D371" s="753" t="s">
        <v>317</v>
      </c>
      <c r="E371" s="755">
        <v>1.4</v>
      </c>
      <c r="F371" s="755">
        <v>0.89</v>
      </c>
      <c r="G371" s="756">
        <f>F371*E371</f>
        <v>1.246</v>
      </c>
    </row>
    <row r="372" spans="2:7" hidden="1">
      <c r="B372" s="753" t="s">
        <v>453</v>
      </c>
      <c r="C372" s="754" t="s">
        <v>454</v>
      </c>
      <c r="D372" s="753" t="s">
        <v>296</v>
      </c>
      <c r="E372" s="755">
        <v>0.05</v>
      </c>
      <c r="F372" s="755">
        <v>21.65</v>
      </c>
      <c r="G372" s="756">
        <f>F372*E372</f>
        <v>1.0825</v>
      </c>
    </row>
    <row r="373" spans="2:7" hidden="1">
      <c r="B373" s="753" t="s">
        <v>335</v>
      </c>
      <c r="C373" s="754" t="s">
        <v>309</v>
      </c>
      <c r="D373" s="753" t="s">
        <v>296</v>
      </c>
      <c r="E373" s="755">
        <v>0.05</v>
      </c>
      <c r="F373" s="755">
        <v>17.32</v>
      </c>
      <c r="G373" s="756">
        <f>F373*E373</f>
        <v>0.8660000000000001</v>
      </c>
    </row>
    <row r="374" spans="2:7" hidden="1">
      <c r="B374" s="753">
        <v>93358</v>
      </c>
      <c r="C374" s="754" t="s">
        <v>1574</v>
      </c>
      <c r="D374" s="753" t="s">
        <v>15</v>
      </c>
      <c r="E374" s="757">
        <v>2E-3</v>
      </c>
      <c r="F374" s="755">
        <v>68.510000000000005</v>
      </c>
      <c r="G374" s="756">
        <f>F374*E374</f>
        <v>0.13702</v>
      </c>
    </row>
    <row r="375" spans="2:7" hidden="1">
      <c r="B375" s="753" t="s">
        <v>1575</v>
      </c>
      <c r="C375" s="754" t="s">
        <v>978</v>
      </c>
      <c r="D375" s="753" t="s">
        <v>296</v>
      </c>
      <c r="E375" s="757">
        <v>6.0000000000000001E-3</v>
      </c>
      <c r="F375" s="755">
        <v>24.1</v>
      </c>
      <c r="G375" s="756">
        <f>F375*E375</f>
        <v>0.14460000000000001</v>
      </c>
    </row>
    <row r="376" spans="2:7" hidden="1">
      <c r="B376" s="737"/>
      <c r="C376" s="738"/>
      <c r="D376" s="1256" t="s">
        <v>941</v>
      </c>
      <c r="E376" s="1256"/>
      <c r="F376" s="162"/>
      <c r="G376" s="319">
        <f>SUM(G374)</f>
        <v>0.13702</v>
      </c>
    </row>
    <row r="377" spans="2:7" hidden="1">
      <c r="B377" s="737"/>
      <c r="C377" s="739"/>
      <c r="D377" s="681" t="s">
        <v>298</v>
      </c>
      <c r="E377" s="164"/>
      <c r="F377" s="162"/>
      <c r="G377" s="319">
        <f>SUM(G371)</f>
        <v>1.246</v>
      </c>
    </row>
    <row r="378" spans="2:7" hidden="1">
      <c r="B378" s="737"/>
      <c r="C378" s="739"/>
      <c r="D378" s="681" t="s">
        <v>297</v>
      </c>
      <c r="E378" s="164"/>
      <c r="F378" s="162"/>
      <c r="G378" s="319">
        <f>SUM(G372,G373,G375)</f>
        <v>2.0931000000000002</v>
      </c>
    </row>
    <row r="379" spans="2:7" hidden="1">
      <c r="B379" s="737"/>
      <c r="C379" s="739"/>
      <c r="D379" s="1246" t="s">
        <v>299</v>
      </c>
      <c r="E379" s="1246"/>
      <c r="F379" s="162"/>
      <c r="G379" s="319">
        <v>0</v>
      </c>
    </row>
    <row r="380" spans="2:7" hidden="1">
      <c r="B380" s="737"/>
      <c r="C380" s="739"/>
      <c r="D380" s="740" t="s">
        <v>300</v>
      </c>
      <c r="E380" s="164"/>
      <c r="F380" s="162"/>
      <c r="G380" s="741">
        <f>SUM(G376:G379)</f>
        <v>3.4761199999999999</v>
      </c>
    </row>
    <row r="381" spans="2:7" ht="15.75" hidden="1" thickBot="1">
      <c r="B381" s="742" t="s">
        <v>943</v>
      </c>
      <c r="C381" s="743"/>
      <c r="D381" s="744"/>
      <c r="E381" s="169"/>
      <c r="F381" s="170"/>
      <c r="G381" s="320"/>
    </row>
    <row r="382" spans="2:7" ht="15.75" hidden="1" thickBot="1">
      <c r="B382" s="746"/>
      <c r="C382" s="747"/>
      <c r="D382" s="748"/>
      <c r="E382" s="164"/>
      <c r="F382" s="749"/>
      <c r="G382" s="750"/>
    </row>
    <row r="383" spans="2:7" hidden="1">
      <c r="B383" s="153" t="s">
        <v>737</v>
      </c>
      <c r="C383" s="751" t="s">
        <v>738</v>
      </c>
      <c r="D383" s="752" t="s">
        <v>714</v>
      </c>
      <c r="E383" s="726" t="s">
        <v>291</v>
      </c>
      <c r="F383" s="727" t="s">
        <v>292</v>
      </c>
      <c r="G383" s="728" t="s">
        <v>293</v>
      </c>
    </row>
    <row r="384" spans="2:7" hidden="1">
      <c r="B384" s="753" t="s">
        <v>614</v>
      </c>
      <c r="C384" s="754" t="s">
        <v>738</v>
      </c>
      <c r="D384" s="753" t="s">
        <v>714</v>
      </c>
      <c r="E384" s="755">
        <v>1</v>
      </c>
      <c r="F384" s="755">
        <v>3089</v>
      </c>
      <c r="G384" s="756">
        <f>TRUNC(E384*F384,2)</f>
        <v>3089</v>
      </c>
    </row>
    <row r="385" spans="2:7" hidden="1">
      <c r="B385" s="753" t="s">
        <v>453</v>
      </c>
      <c r="C385" s="754" t="s">
        <v>454</v>
      </c>
      <c r="D385" s="753" t="s">
        <v>296</v>
      </c>
      <c r="E385" s="755">
        <v>0.5</v>
      </c>
      <c r="F385" s="755">
        <v>21.65</v>
      </c>
      <c r="G385" s="756">
        <f>TRUNC(E385*F385,2)</f>
        <v>10.82</v>
      </c>
    </row>
    <row r="386" spans="2:7" hidden="1">
      <c r="B386" s="753" t="s">
        <v>335</v>
      </c>
      <c r="C386" s="754" t="s">
        <v>309</v>
      </c>
      <c r="D386" s="753" t="s">
        <v>296</v>
      </c>
      <c r="E386" s="755">
        <v>0.5</v>
      </c>
      <c r="F386" s="755">
        <v>17.32</v>
      </c>
      <c r="G386" s="756">
        <f>TRUNC(E386*F386,2)</f>
        <v>8.66</v>
      </c>
    </row>
    <row r="387" spans="2:7" hidden="1">
      <c r="B387" s="737"/>
      <c r="C387" s="738"/>
      <c r="D387" s="1256" t="s">
        <v>941</v>
      </c>
      <c r="E387" s="1256"/>
      <c r="F387" s="162"/>
      <c r="G387" s="319">
        <v>0</v>
      </c>
    </row>
    <row r="388" spans="2:7" hidden="1">
      <c r="B388" s="737"/>
      <c r="C388" s="739"/>
      <c r="D388" s="681" t="s">
        <v>298</v>
      </c>
      <c r="E388" s="164"/>
      <c r="F388" s="162"/>
      <c r="G388" s="319">
        <f>G384</f>
        <v>3089</v>
      </c>
    </row>
    <row r="389" spans="2:7" hidden="1">
      <c r="B389" s="737"/>
      <c r="C389" s="739"/>
      <c r="D389" s="681" t="s">
        <v>297</v>
      </c>
      <c r="E389" s="164"/>
      <c r="F389" s="162"/>
      <c r="G389" s="319">
        <f>SUM(G385:G386)</f>
        <v>19.48</v>
      </c>
    </row>
    <row r="390" spans="2:7" hidden="1">
      <c r="B390" s="737"/>
      <c r="C390" s="739"/>
      <c r="D390" s="1246" t="s">
        <v>299</v>
      </c>
      <c r="E390" s="1246"/>
      <c r="F390" s="162"/>
      <c r="G390" s="319">
        <v>0</v>
      </c>
    </row>
    <row r="391" spans="2:7" hidden="1">
      <c r="B391" s="737"/>
      <c r="C391" s="739"/>
      <c r="D391" s="740" t="s">
        <v>300</v>
      </c>
      <c r="E391" s="164"/>
      <c r="F391" s="162"/>
      <c r="G391" s="741">
        <f>SUM(G387:G390)</f>
        <v>3108.48</v>
      </c>
    </row>
    <row r="392" spans="2:7" ht="15.75" hidden="1" thickBot="1">
      <c r="B392" s="742" t="s">
        <v>943</v>
      </c>
      <c r="C392" s="743"/>
      <c r="D392" s="744"/>
      <c r="E392" s="169"/>
      <c r="F392" s="170"/>
      <c r="G392" s="320"/>
    </row>
    <row r="393" spans="2:7">
      <c r="B393" s="746"/>
      <c r="C393" s="747"/>
      <c r="D393" s="748"/>
      <c r="E393" s="164"/>
      <c r="F393" s="749"/>
      <c r="G393" s="750"/>
    </row>
    <row r="394" spans="2:7" ht="17.25" hidden="1" customHeight="1">
      <c r="B394" s="153" t="s">
        <v>739</v>
      </c>
      <c r="C394" s="751" t="s">
        <v>740</v>
      </c>
      <c r="D394" s="752" t="s">
        <v>15</v>
      </c>
      <c r="E394" s="726" t="s">
        <v>291</v>
      </c>
      <c r="F394" s="727" t="s">
        <v>292</v>
      </c>
      <c r="G394" s="728" t="s">
        <v>293</v>
      </c>
    </row>
    <row r="395" spans="2:7" ht="17.25" hidden="1" customHeight="1">
      <c r="B395" s="753" t="s">
        <v>614</v>
      </c>
      <c r="C395" s="754" t="s">
        <v>979</v>
      </c>
      <c r="D395" s="753" t="s">
        <v>317</v>
      </c>
      <c r="E395" s="755">
        <v>13</v>
      </c>
      <c r="F395" s="755">
        <v>8.81</v>
      </c>
      <c r="G395" s="756">
        <f>TRUNC(E395*F395,2)</f>
        <v>114.53</v>
      </c>
    </row>
    <row r="396" spans="2:7" ht="17.25" hidden="1" customHeight="1">
      <c r="B396" s="753">
        <v>5061</v>
      </c>
      <c r="C396" s="754" t="s">
        <v>935</v>
      </c>
      <c r="D396" s="753" t="s">
        <v>317</v>
      </c>
      <c r="E396" s="755">
        <v>2</v>
      </c>
      <c r="F396" s="755">
        <v>24.5</v>
      </c>
      <c r="G396" s="756">
        <f t="shared" ref="G396:G406" si="7">TRUNC(E396*F396,2)</f>
        <v>49</v>
      </c>
    </row>
    <row r="397" spans="2:7" ht="17.25" hidden="1" customHeight="1">
      <c r="B397" s="753" t="s">
        <v>614</v>
      </c>
      <c r="C397" s="754" t="s">
        <v>980</v>
      </c>
      <c r="D397" s="753" t="s">
        <v>317</v>
      </c>
      <c r="E397" s="755">
        <v>0.78</v>
      </c>
      <c r="F397" s="755">
        <v>20.22</v>
      </c>
      <c r="G397" s="756">
        <f t="shared" si="7"/>
        <v>15.77</v>
      </c>
    </row>
    <row r="398" spans="2:7" ht="17.25" hidden="1" customHeight="1">
      <c r="B398" s="753">
        <v>6189</v>
      </c>
      <c r="C398" s="754" t="s">
        <v>981</v>
      </c>
      <c r="D398" s="753" t="s">
        <v>77</v>
      </c>
      <c r="E398" s="755">
        <v>16.670000000000002</v>
      </c>
      <c r="F398" s="755">
        <v>15.46</v>
      </c>
      <c r="G398" s="756">
        <f t="shared" si="7"/>
        <v>257.70999999999998</v>
      </c>
    </row>
    <row r="399" spans="2:7" ht="17.25" hidden="1" customHeight="1">
      <c r="B399" s="753">
        <v>2692</v>
      </c>
      <c r="C399" s="754" t="s">
        <v>982</v>
      </c>
      <c r="D399" s="753" t="s">
        <v>948</v>
      </c>
      <c r="E399" s="755">
        <v>0.83499999999999996</v>
      </c>
      <c r="F399" s="755">
        <v>7.21</v>
      </c>
      <c r="G399" s="756">
        <f t="shared" si="7"/>
        <v>6.02</v>
      </c>
    </row>
    <row r="400" spans="2:7" ht="17.25" hidden="1" customHeight="1">
      <c r="B400" s="753" t="s">
        <v>614</v>
      </c>
      <c r="C400" s="754" t="s">
        <v>983</v>
      </c>
      <c r="D400" s="753" t="s">
        <v>317</v>
      </c>
      <c r="E400" s="755">
        <v>26</v>
      </c>
      <c r="F400" s="755">
        <v>7.42</v>
      </c>
      <c r="G400" s="756">
        <f t="shared" si="7"/>
        <v>192.92</v>
      </c>
    </row>
    <row r="401" spans="2:7" ht="17.25" hidden="1" customHeight="1">
      <c r="B401" s="753" t="s">
        <v>333</v>
      </c>
      <c r="C401" s="754" t="s">
        <v>334</v>
      </c>
      <c r="D401" s="753" t="s">
        <v>296</v>
      </c>
      <c r="E401" s="755">
        <v>10.3</v>
      </c>
      <c r="F401" s="755">
        <v>21.43</v>
      </c>
      <c r="G401" s="756">
        <f t="shared" si="7"/>
        <v>220.72</v>
      </c>
    </row>
    <row r="402" spans="2:7" ht="17.25" hidden="1" customHeight="1">
      <c r="B402" s="753" t="s">
        <v>614</v>
      </c>
      <c r="C402" s="754" t="s">
        <v>984</v>
      </c>
      <c r="D402" s="753" t="s">
        <v>15</v>
      </c>
      <c r="E402" s="755">
        <v>1</v>
      </c>
      <c r="F402" s="755">
        <v>345.81</v>
      </c>
      <c r="G402" s="756">
        <f t="shared" si="7"/>
        <v>345.81</v>
      </c>
    </row>
    <row r="403" spans="2:7" ht="17.25" hidden="1" customHeight="1">
      <c r="B403" s="753" t="s">
        <v>1577</v>
      </c>
      <c r="C403" s="754" t="s">
        <v>985</v>
      </c>
      <c r="D403" s="753" t="s">
        <v>296</v>
      </c>
      <c r="E403" s="755">
        <v>13.62</v>
      </c>
      <c r="F403" s="755">
        <v>20.99</v>
      </c>
      <c r="G403" s="756">
        <f t="shared" si="7"/>
        <v>285.88</v>
      </c>
    </row>
    <row r="404" spans="2:7" ht="17.25" hidden="1" customHeight="1">
      <c r="B404" s="753" t="s">
        <v>453</v>
      </c>
      <c r="C404" s="754" t="s">
        <v>454</v>
      </c>
      <c r="D404" s="753" t="s">
        <v>296</v>
      </c>
      <c r="E404" s="755">
        <v>3.5</v>
      </c>
      <c r="F404" s="755">
        <v>21.65</v>
      </c>
      <c r="G404" s="756">
        <f t="shared" si="7"/>
        <v>75.77</v>
      </c>
    </row>
    <row r="405" spans="2:7" ht="17.25" hidden="1" customHeight="1">
      <c r="B405" s="753" t="s">
        <v>1578</v>
      </c>
      <c r="C405" s="754" t="s">
        <v>986</v>
      </c>
      <c r="D405" s="753" t="s">
        <v>296</v>
      </c>
      <c r="E405" s="755">
        <v>3.12</v>
      </c>
      <c r="F405" s="755">
        <v>21.53</v>
      </c>
      <c r="G405" s="756">
        <f t="shared" si="7"/>
        <v>67.17</v>
      </c>
    </row>
    <row r="406" spans="2:7" ht="17.25" hidden="1" customHeight="1">
      <c r="B406" s="753" t="s">
        <v>335</v>
      </c>
      <c r="C406" s="754" t="s">
        <v>309</v>
      </c>
      <c r="D406" s="753" t="s">
        <v>296</v>
      </c>
      <c r="E406" s="755">
        <v>8</v>
      </c>
      <c r="F406" s="755">
        <v>17.32</v>
      </c>
      <c r="G406" s="756">
        <f t="shared" si="7"/>
        <v>138.56</v>
      </c>
    </row>
    <row r="407" spans="2:7" ht="17.25" hidden="1" customHeight="1">
      <c r="B407" s="737"/>
      <c r="C407" s="738"/>
      <c r="D407" s="1256" t="s">
        <v>941</v>
      </c>
      <c r="E407" s="1256"/>
      <c r="F407" s="162"/>
      <c r="G407" s="319">
        <f>G402</f>
        <v>345.81</v>
      </c>
    </row>
    <row r="408" spans="2:7" hidden="1">
      <c r="B408" s="737"/>
      <c r="C408" s="739"/>
      <c r="D408" s="681" t="s">
        <v>298</v>
      </c>
      <c r="E408" s="164"/>
      <c r="F408" s="162"/>
      <c r="G408" s="319">
        <f>SUM(G395:G400)</f>
        <v>635.94999999999993</v>
      </c>
    </row>
    <row r="409" spans="2:7" hidden="1">
      <c r="B409" s="737"/>
      <c r="C409" s="739"/>
      <c r="D409" s="681" t="s">
        <v>297</v>
      </c>
      <c r="E409" s="164"/>
      <c r="F409" s="162"/>
      <c r="G409" s="319">
        <f>SUM(G403:G406)+G401</f>
        <v>788.1</v>
      </c>
    </row>
    <row r="410" spans="2:7" hidden="1">
      <c r="B410" s="737"/>
      <c r="C410" s="739"/>
      <c r="D410" s="1246" t="s">
        <v>299</v>
      </c>
      <c r="E410" s="1246"/>
      <c r="F410" s="162"/>
      <c r="G410" s="319">
        <v>0</v>
      </c>
    </row>
    <row r="411" spans="2:7" hidden="1">
      <c r="B411" s="737"/>
      <c r="C411" s="739"/>
      <c r="D411" s="740" t="s">
        <v>300</v>
      </c>
      <c r="E411" s="164"/>
      <c r="F411" s="162"/>
      <c r="G411" s="741">
        <f>SUM(G407:G410)</f>
        <v>1769.8600000000001</v>
      </c>
    </row>
    <row r="412" spans="2:7" ht="15.75" hidden="1" thickBot="1">
      <c r="B412" s="742" t="s">
        <v>943</v>
      </c>
      <c r="C412" s="743"/>
      <c r="D412" s="744"/>
      <c r="E412" s="169"/>
      <c r="F412" s="170"/>
      <c r="G412" s="320"/>
    </row>
    <row r="413" spans="2:7" ht="15.75" thickBot="1">
      <c r="B413" s="746"/>
      <c r="C413" s="747"/>
      <c r="D413" s="748"/>
      <c r="E413" s="164"/>
      <c r="F413" s="749"/>
      <c r="G413" s="750"/>
    </row>
    <row r="414" spans="2:7" ht="48">
      <c r="B414" s="927" t="s">
        <v>924</v>
      </c>
      <c r="C414" s="751" t="s">
        <v>743</v>
      </c>
      <c r="D414" s="752" t="s">
        <v>7</v>
      </c>
      <c r="E414" s="726" t="s">
        <v>291</v>
      </c>
      <c r="F414" s="727" t="s">
        <v>292</v>
      </c>
      <c r="G414" s="728" t="s">
        <v>293</v>
      </c>
    </row>
    <row r="415" spans="2:7">
      <c r="B415" s="582" t="s">
        <v>1626</v>
      </c>
      <c r="C415" s="583" t="s">
        <v>869</v>
      </c>
      <c r="D415" s="584" t="s">
        <v>296</v>
      </c>
      <c r="E415" s="585">
        <v>1</v>
      </c>
      <c r="F415" s="586">
        <v>17.32</v>
      </c>
      <c r="G415" s="587">
        <f>E415*F415</f>
        <v>17.32</v>
      </c>
    </row>
    <row r="416" spans="2:7" ht="48">
      <c r="B416" s="753" t="s">
        <v>614</v>
      </c>
      <c r="C416" s="754" t="s">
        <v>743</v>
      </c>
      <c r="D416" s="753" t="s">
        <v>7</v>
      </c>
      <c r="E416" s="755">
        <v>1</v>
      </c>
      <c r="F416" s="755">
        <v>81.34</v>
      </c>
      <c r="G416" s="756">
        <f>TRUNC(E416*F416,2)</f>
        <v>81.34</v>
      </c>
    </row>
    <row r="417" spans="2:7">
      <c r="B417" s="737"/>
      <c r="C417" s="738"/>
      <c r="D417" s="1256" t="s">
        <v>941</v>
      </c>
      <c r="E417" s="1256"/>
      <c r="F417" s="162"/>
      <c r="G417" s="319">
        <f>G416</f>
        <v>81.34</v>
      </c>
    </row>
    <row r="418" spans="2:7">
      <c r="B418" s="737"/>
      <c r="C418" s="739"/>
      <c r="D418" s="681" t="s">
        <v>298</v>
      </c>
      <c r="E418" s="164"/>
      <c r="F418" s="162"/>
      <c r="G418" s="319">
        <v>0</v>
      </c>
    </row>
    <row r="419" spans="2:7">
      <c r="B419" s="737"/>
      <c r="C419" s="739"/>
      <c r="D419" s="681" t="s">
        <v>297</v>
      </c>
      <c r="E419" s="164"/>
      <c r="F419" s="162"/>
      <c r="G419" s="319">
        <f>G415</f>
        <v>17.32</v>
      </c>
    </row>
    <row r="420" spans="2:7">
      <c r="B420" s="737"/>
      <c r="C420" s="739"/>
      <c r="D420" s="1246" t="s">
        <v>299</v>
      </c>
      <c r="E420" s="1246"/>
      <c r="F420" s="162"/>
      <c r="G420" s="319">
        <v>0</v>
      </c>
    </row>
    <row r="421" spans="2:7">
      <c r="B421" s="737"/>
      <c r="C421" s="739"/>
      <c r="D421" s="740" t="s">
        <v>300</v>
      </c>
      <c r="E421" s="164"/>
      <c r="F421" s="162"/>
      <c r="G421" s="741">
        <f>SUM(G417:G420)</f>
        <v>98.66</v>
      </c>
    </row>
    <row r="422" spans="2:7" ht="15.75" thickBot="1">
      <c r="B422" s="742" t="s">
        <v>943</v>
      </c>
      <c r="C422" s="743"/>
      <c r="D422" s="744"/>
      <c r="E422" s="169"/>
      <c r="F422" s="170"/>
      <c r="G422" s="320"/>
    </row>
    <row r="423" spans="2:7" ht="15.75" hidden="1" thickBot="1">
      <c r="B423" s="746"/>
      <c r="C423" s="747"/>
      <c r="D423" s="748"/>
      <c r="E423" s="164"/>
      <c r="F423" s="749"/>
      <c r="G423" s="750"/>
    </row>
    <row r="424" spans="2:7" ht="54.75" hidden="1" customHeight="1">
      <c r="B424" s="758" t="s">
        <v>745</v>
      </c>
      <c r="C424" s="751" t="s">
        <v>746</v>
      </c>
      <c r="D424" s="752" t="s">
        <v>21</v>
      </c>
      <c r="E424" s="726" t="s">
        <v>291</v>
      </c>
      <c r="F424" s="727" t="s">
        <v>292</v>
      </c>
      <c r="G424" s="728" t="s">
        <v>293</v>
      </c>
    </row>
    <row r="425" spans="2:7" hidden="1">
      <c r="B425" s="753" t="s">
        <v>614</v>
      </c>
      <c r="C425" s="754" t="s">
        <v>987</v>
      </c>
      <c r="D425" s="753" t="s">
        <v>21</v>
      </c>
      <c r="E425" s="755">
        <v>2</v>
      </c>
      <c r="F425" s="755">
        <v>0.65</v>
      </c>
      <c r="G425" s="756">
        <f>TRUNC(E425*F425,2)</f>
        <v>1.3</v>
      </c>
    </row>
    <row r="426" spans="2:7" ht="24" hidden="1">
      <c r="B426" s="753" t="s">
        <v>614</v>
      </c>
      <c r="C426" s="754" t="s">
        <v>988</v>
      </c>
      <c r="D426" s="753" t="s">
        <v>21</v>
      </c>
      <c r="E426" s="755">
        <v>1</v>
      </c>
      <c r="F426" s="755">
        <v>405</v>
      </c>
      <c r="G426" s="756">
        <f>TRUNC(E426*F426,2)</f>
        <v>405</v>
      </c>
    </row>
    <row r="427" spans="2:7" hidden="1">
      <c r="B427" s="753" t="s">
        <v>1580</v>
      </c>
      <c r="C427" s="754" t="s">
        <v>657</v>
      </c>
      <c r="D427" s="753" t="s">
        <v>296</v>
      </c>
      <c r="E427" s="755">
        <v>0.3</v>
      </c>
      <c r="F427" s="755">
        <v>16.73</v>
      </c>
      <c r="G427" s="756">
        <f>TRUNC(E427*F427,2)</f>
        <v>5.01</v>
      </c>
    </row>
    <row r="428" spans="2:7" hidden="1">
      <c r="B428" s="753" t="s">
        <v>1579</v>
      </c>
      <c r="C428" s="754" t="s">
        <v>660</v>
      </c>
      <c r="D428" s="753" t="s">
        <v>296</v>
      </c>
      <c r="E428" s="755">
        <v>0.5</v>
      </c>
      <c r="F428" s="755">
        <v>21.84</v>
      </c>
      <c r="G428" s="756">
        <f>TRUNC(E428*F428,2)</f>
        <v>10.92</v>
      </c>
    </row>
    <row r="429" spans="2:7" hidden="1">
      <c r="B429" s="737"/>
      <c r="C429" s="738"/>
      <c r="D429" s="1256" t="s">
        <v>941</v>
      </c>
      <c r="E429" s="1256"/>
      <c r="F429" s="162"/>
      <c r="G429" s="319">
        <v>0</v>
      </c>
    </row>
    <row r="430" spans="2:7" hidden="1">
      <c r="B430" s="737"/>
      <c r="C430" s="739"/>
      <c r="D430" s="681" t="s">
        <v>298</v>
      </c>
      <c r="E430" s="164"/>
      <c r="F430" s="162"/>
      <c r="G430" s="319">
        <f>G425+G426</f>
        <v>406.3</v>
      </c>
    </row>
    <row r="431" spans="2:7" hidden="1">
      <c r="B431" s="737"/>
      <c r="C431" s="739"/>
      <c r="D431" s="681" t="s">
        <v>297</v>
      </c>
      <c r="E431" s="164"/>
      <c r="F431" s="162"/>
      <c r="G431" s="319">
        <f>SUM(G427:G428)</f>
        <v>15.93</v>
      </c>
    </row>
    <row r="432" spans="2:7" hidden="1">
      <c r="B432" s="737"/>
      <c r="C432" s="739"/>
      <c r="D432" s="1246" t="s">
        <v>299</v>
      </c>
      <c r="E432" s="1246"/>
      <c r="F432" s="162"/>
      <c r="G432" s="319">
        <v>0</v>
      </c>
    </row>
    <row r="433" spans="2:7" hidden="1">
      <c r="B433" s="737"/>
      <c r="C433" s="739"/>
      <c r="D433" s="740" t="s">
        <v>300</v>
      </c>
      <c r="E433" s="164"/>
      <c r="F433" s="162"/>
      <c r="G433" s="741">
        <f>SUM(G429:G432)</f>
        <v>422.23</v>
      </c>
    </row>
    <row r="434" spans="2:7" ht="15.75" hidden="1" thickBot="1">
      <c r="B434" s="742" t="s">
        <v>943</v>
      </c>
      <c r="C434" s="743"/>
      <c r="D434" s="744"/>
      <c r="E434" s="169"/>
      <c r="F434" s="170"/>
      <c r="G434" s="320"/>
    </row>
    <row r="435" spans="2:7">
      <c r="B435" s="746"/>
      <c r="C435" s="747"/>
      <c r="D435" s="748"/>
      <c r="E435" s="164"/>
      <c r="F435" s="749"/>
      <c r="G435" s="750"/>
    </row>
    <row r="436" spans="2:7" hidden="1">
      <c r="B436" s="153" t="s">
        <v>747</v>
      </c>
      <c r="C436" s="751" t="s">
        <v>748</v>
      </c>
      <c r="D436" s="752" t="s">
        <v>21</v>
      </c>
      <c r="E436" s="726" t="s">
        <v>291</v>
      </c>
      <c r="F436" s="727" t="s">
        <v>292</v>
      </c>
      <c r="G436" s="728" t="s">
        <v>293</v>
      </c>
    </row>
    <row r="437" spans="2:7" hidden="1">
      <c r="B437" s="753">
        <v>10848</v>
      </c>
      <c r="C437" s="754" t="s">
        <v>748</v>
      </c>
      <c r="D437" s="753" t="s">
        <v>21</v>
      </c>
      <c r="E437" s="755">
        <v>1</v>
      </c>
      <c r="F437" s="755">
        <v>678.38</v>
      </c>
      <c r="G437" s="756">
        <f>TRUNC(E437*F437,2)</f>
        <v>678.38</v>
      </c>
    </row>
    <row r="438" spans="2:7" hidden="1">
      <c r="B438" s="753">
        <v>88309</v>
      </c>
      <c r="C438" s="754" t="s">
        <v>454</v>
      </c>
      <c r="D438" s="753" t="s">
        <v>296</v>
      </c>
      <c r="E438" s="755">
        <v>0.2</v>
      </c>
      <c r="F438" s="755">
        <v>21.65</v>
      </c>
      <c r="G438" s="756">
        <f>TRUNC(E438*F438,2)</f>
        <v>4.33</v>
      </c>
    </row>
    <row r="439" spans="2:7" hidden="1">
      <c r="B439" s="753">
        <v>88316</v>
      </c>
      <c r="C439" s="754" t="s">
        <v>309</v>
      </c>
      <c r="D439" s="753" t="s">
        <v>296</v>
      </c>
      <c r="E439" s="755">
        <v>0.2</v>
      </c>
      <c r="F439" s="755">
        <v>17.32</v>
      </c>
      <c r="G439" s="756">
        <f>TRUNC(E439*F439,2)</f>
        <v>3.46</v>
      </c>
    </row>
    <row r="440" spans="2:7" hidden="1">
      <c r="B440" s="737"/>
      <c r="C440" s="738"/>
      <c r="D440" s="1256" t="s">
        <v>941</v>
      </c>
      <c r="E440" s="1256"/>
      <c r="F440" s="162"/>
      <c r="G440" s="319">
        <v>0</v>
      </c>
    </row>
    <row r="441" spans="2:7" hidden="1">
      <c r="B441" s="737"/>
      <c r="C441" s="739"/>
      <c r="D441" s="681" t="s">
        <v>298</v>
      </c>
      <c r="E441" s="164"/>
      <c r="F441" s="162"/>
      <c r="G441" s="319">
        <f>G437</f>
        <v>678.38</v>
      </c>
    </row>
    <row r="442" spans="2:7" hidden="1">
      <c r="B442" s="737"/>
      <c r="C442" s="739"/>
      <c r="D442" s="681" t="s">
        <v>297</v>
      </c>
      <c r="E442" s="164"/>
      <c r="F442" s="162"/>
      <c r="G442" s="319">
        <f>SUM(G438:G439)</f>
        <v>7.79</v>
      </c>
    </row>
    <row r="443" spans="2:7" hidden="1">
      <c r="B443" s="737"/>
      <c r="C443" s="739"/>
      <c r="D443" s="1246" t="s">
        <v>299</v>
      </c>
      <c r="E443" s="1246"/>
      <c r="F443" s="162"/>
      <c r="G443" s="319">
        <v>0</v>
      </c>
    </row>
    <row r="444" spans="2:7" hidden="1">
      <c r="B444" s="737"/>
      <c r="C444" s="739"/>
      <c r="D444" s="740" t="s">
        <v>300</v>
      </c>
      <c r="E444" s="164"/>
      <c r="F444" s="162"/>
      <c r="G444" s="741">
        <f>SUM(G440:G443)</f>
        <v>686.17</v>
      </c>
    </row>
    <row r="445" spans="2:7" ht="15.75" hidden="1" thickBot="1">
      <c r="B445" s="742" t="s">
        <v>943</v>
      </c>
      <c r="C445" s="743"/>
      <c r="D445" s="744"/>
      <c r="E445" s="169"/>
      <c r="F445" s="170"/>
      <c r="G445" s="320"/>
    </row>
    <row r="446" spans="2:7" hidden="1">
      <c r="B446" s="746"/>
      <c r="C446" s="759"/>
      <c r="D446" s="760"/>
      <c r="E446" s="761"/>
      <c r="F446" s="762"/>
      <c r="G446" s="763"/>
    </row>
    <row r="447" spans="2:7" ht="55.5" hidden="1" customHeight="1">
      <c r="B447" s="153" t="s">
        <v>614</v>
      </c>
      <c r="C447" s="751" t="s">
        <v>989</v>
      </c>
      <c r="D447" s="752" t="s">
        <v>21</v>
      </c>
      <c r="E447" s="726" t="s">
        <v>291</v>
      </c>
      <c r="F447" s="727" t="s">
        <v>292</v>
      </c>
      <c r="G447" s="728" t="s">
        <v>293</v>
      </c>
    </row>
    <row r="448" spans="2:7" ht="24" hidden="1">
      <c r="B448" s="753" t="s">
        <v>990</v>
      </c>
      <c r="C448" s="754" t="s">
        <v>991</v>
      </c>
      <c r="D448" s="753" t="s">
        <v>15</v>
      </c>
      <c r="E448" s="755">
        <v>1.2</v>
      </c>
      <c r="F448" s="755">
        <v>55.28</v>
      </c>
      <c r="G448" s="756">
        <f>TRUNC(E448*F448,2)</f>
        <v>66.33</v>
      </c>
    </row>
    <row r="449" spans="2:7" hidden="1">
      <c r="B449" s="753" t="s">
        <v>453</v>
      </c>
      <c r="C449" s="754" t="s">
        <v>454</v>
      </c>
      <c r="D449" s="753" t="s">
        <v>296</v>
      </c>
      <c r="E449" s="755">
        <v>7</v>
      </c>
      <c r="F449" s="755">
        <v>20.45</v>
      </c>
      <c r="G449" s="756">
        <f>TRUNC(E449*F449,2)</f>
        <v>143.15</v>
      </c>
    </row>
    <row r="450" spans="2:7" hidden="1">
      <c r="B450" s="753" t="s">
        <v>335</v>
      </c>
      <c r="C450" s="754" t="s">
        <v>309</v>
      </c>
      <c r="D450" s="753" t="s">
        <v>296</v>
      </c>
      <c r="E450" s="755">
        <v>7</v>
      </c>
      <c r="F450" s="755">
        <v>16.420000000000002</v>
      </c>
      <c r="G450" s="756">
        <f>TRUNC(E450*F450,2)</f>
        <v>114.94</v>
      </c>
    </row>
    <row r="451" spans="2:7" ht="24" hidden="1">
      <c r="B451" s="753" t="s">
        <v>614</v>
      </c>
      <c r="C451" s="754" t="s">
        <v>992</v>
      </c>
      <c r="D451" s="753" t="s">
        <v>15</v>
      </c>
      <c r="E451" s="755">
        <v>0.3</v>
      </c>
      <c r="F451" s="755">
        <v>369.45</v>
      </c>
      <c r="G451" s="756">
        <f>TRUNC(E451*F451,2)</f>
        <v>110.83</v>
      </c>
    </row>
    <row r="452" spans="2:7" hidden="1">
      <c r="B452" s="737"/>
      <c r="C452" s="738"/>
      <c r="D452" s="1256" t="s">
        <v>941</v>
      </c>
      <c r="E452" s="1256"/>
      <c r="F452" s="162"/>
      <c r="G452" s="319">
        <v>0</v>
      </c>
    </row>
    <row r="453" spans="2:7" hidden="1">
      <c r="B453" s="737"/>
      <c r="C453" s="739"/>
      <c r="D453" s="681" t="s">
        <v>298</v>
      </c>
      <c r="E453" s="164"/>
      <c r="F453" s="162"/>
      <c r="G453" s="319">
        <f>SUM(G451,G448)</f>
        <v>177.16</v>
      </c>
    </row>
    <row r="454" spans="2:7" hidden="1">
      <c r="B454" s="737"/>
      <c r="C454" s="739"/>
      <c r="D454" s="681" t="s">
        <v>297</v>
      </c>
      <c r="E454" s="164"/>
      <c r="F454" s="162"/>
      <c r="G454" s="319">
        <f>SUM(G449:G450)</f>
        <v>258.09000000000003</v>
      </c>
    </row>
    <row r="455" spans="2:7" hidden="1">
      <c r="B455" s="737"/>
      <c r="C455" s="739"/>
      <c r="D455" s="1246" t="s">
        <v>299</v>
      </c>
      <c r="E455" s="1246"/>
      <c r="F455" s="162"/>
      <c r="G455" s="319">
        <v>0</v>
      </c>
    </row>
    <row r="456" spans="2:7" hidden="1">
      <c r="B456" s="737"/>
      <c r="C456" s="739"/>
      <c r="D456" s="740" t="s">
        <v>300</v>
      </c>
      <c r="E456" s="164"/>
      <c r="F456" s="162"/>
      <c r="G456" s="741">
        <f>SUM(G452:G455)</f>
        <v>435.25</v>
      </c>
    </row>
    <row r="457" spans="2:7" ht="15.75" hidden="1" thickBot="1">
      <c r="B457" s="742" t="s">
        <v>943</v>
      </c>
      <c r="C457" s="743"/>
      <c r="D457" s="744"/>
      <c r="E457" s="169"/>
      <c r="F457" s="170"/>
      <c r="G457" s="320"/>
    </row>
    <row r="458" spans="2:7" ht="15.75" hidden="1" thickBot="1">
      <c r="B458" s="764"/>
      <c r="C458" s="764"/>
      <c r="D458" s="764"/>
      <c r="E458" s="764"/>
      <c r="F458" s="764"/>
      <c r="G458" s="764"/>
    </row>
    <row r="459" spans="2:7" ht="24" hidden="1">
      <c r="B459" s="153" t="s">
        <v>993</v>
      </c>
      <c r="C459" s="324" t="s">
        <v>729</v>
      </c>
      <c r="D459" s="752" t="s">
        <v>21</v>
      </c>
      <c r="E459" s="726" t="s">
        <v>291</v>
      </c>
      <c r="F459" s="727" t="s">
        <v>292</v>
      </c>
      <c r="G459" s="728" t="s">
        <v>293</v>
      </c>
    </row>
    <row r="460" spans="2:7" ht="24" hidden="1">
      <c r="B460" s="753" t="s">
        <v>614</v>
      </c>
      <c r="C460" s="754" t="s">
        <v>994</v>
      </c>
      <c r="D460" s="753" t="s">
        <v>15</v>
      </c>
      <c r="E460" s="755">
        <v>1.2</v>
      </c>
      <c r="F460" s="755">
        <v>95</v>
      </c>
      <c r="G460" s="756">
        <f>TRUNC(E460*F460,2)</f>
        <v>114</v>
      </c>
    </row>
    <row r="461" spans="2:7" hidden="1">
      <c r="B461" s="753" t="s">
        <v>335</v>
      </c>
      <c r="C461" s="754" t="s">
        <v>309</v>
      </c>
      <c r="D461" s="753" t="s">
        <v>296</v>
      </c>
      <c r="E461" s="755">
        <v>1</v>
      </c>
      <c r="F461" s="755">
        <v>17.32</v>
      </c>
      <c r="G461" s="756">
        <f>TRUNC(E461*F461,2)</f>
        <v>17.32</v>
      </c>
    </row>
    <row r="462" spans="2:7" hidden="1">
      <c r="B462" s="737"/>
      <c r="C462" s="738"/>
      <c r="D462" s="677" t="s">
        <v>941</v>
      </c>
      <c r="E462" s="677"/>
      <c r="F462" s="162"/>
      <c r="G462" s="319">
        <v>0</v>
      </c>
    </row>
    <row r="463" spans="2:7" hidden="1">
      <c r="B463" s="737"/>
      <c r="C463" s="739"/>
      <c r="D463" s="681" t="s">
        <v>298</v>
      </c>
      <c r="E463" s="164"/>
      <c r="F463" s="162"/>
      <c r="G463" s="319">
        <f>G460</f>
        <v>114</v>
      </c>
    </row>
    <row r="464" spans="2:7" hidden="1">
      <c r="B464" s="737"/>
      <c r="C464" s="739"/>
      <c r="D464" s="681" t="s">
        <v>297</v>
      </c>
      <c r="E464" s="164"/>
      <c r="F464" s="162"/>
      <c r="G464" s="319">
        <f>SUM(G461:G461)</f>
        <v>17.32</v>
      </c>
    </row>
    <row r="465" spans="2:7" hidden="1">
      <c r="B465" s="737"/>
      <c r="C465" s="739"/>
      <c r="D465" s="678" t="s">
        <v>299</v>
      </c>
      <c r="E465" s="678"/>
      <c r="F465" s="162"/>
      <c r="G465" s="319">
        <v>0</v>
      </c>
    </row>
    <row r="466" spans="2:7" hidden="1">
      <c r="B466" s="737"/>
      <c r="C466" s="739"/>
      <c r="D466" s="740" t="s">
        <v>300</v>
      </c>
      <c r="E466" s="164"/>
      <c r="F466" s="162"/>
      <c r="G466" s="741">
        <f>SUM(G462:G465)</f>
        <v>131.32</v>
      </c>
    </row>
    <row r="467" spans="2:7" ht="15.75" hidden="1" thickBot="1">
      <c r="B467" s="742" t="s">
        <v>943</v>
      </c>
      <c r="C467" s="743"/>
      <c r="D467" s="744"/>
      <c r="E467" s="169"/>
      <c r="F467" s="170"/>
      <c r="G467" s="320"/>
    </row>
    <row r="468" spans="2:7" ht="15.75" hidden="1" thickBot="1">
      <c r="B468" s="764"/>
      <c r="C468" s="764"/>
      <c r="D468" s="764"/>
      <c r="E468" s="764"/>
      <c r="F468" s="764"/>
      <c r="G468" s="764"/>
    </row>
    <row r="469" spans="2:7" ht="24" hidden="1">
      <c r="B469" s="153" t="s">
        <v>995</v>
      </c>
      <c r="C469" s="324" t="s">
        <v>730</v>
      </c>
      <c r="D469" s="752" t="s">
        <v>21</v>
      </c>
      <c r="E469" s="726" t="s">
        <v>291</v>
      </c>
      <c r="F469" s="727" t="s">
        <v>292</v>
      </c>
      <c r="G469" s="728" t="s">
        <v>293</v>
      </c>
    </row>
    <row r="470" spans="2:7" ht="24" hidden="1">
      <c r="B470" s="753" t="s">
        <v>614</v>
      </c>
      <c r="C470" s="754" t="s">
        <v>996</v>
      </c>
      <c r="D470" s="753" t="s">
        <v>21</v>
      </c>
      <c r="E470" s="755">
        <v>1</v>
      </c>
      <c r="F470" s="755">
        <v>4.5</v>
      </c>
      <c r="G470" s="756">
        <f>TRUNC(E470*F470,2)</f>
        <v>4.5</v>
      </c>
    </row>
    <row r="471" spans="2:7" ht="24" hidden="1">
      <c r="B471" s="753" t="s">
        <v>614</v>
      </c>
      <c r="C471" s="754" t="s">
        <v>997</v>
      </c>
      <c r="D471" s="753" t="s">
        <v>77</v>
      </c>
      <c r="E471" s="755">
        <v>1.05</v>
      </c>
      <c r="F471" s="755">
        <v>15.54</v>
      </c>
      <c r="G471" s="756">
        <f>TRUNC(E471*F471,2)</f>
        <v>16.309999999999999</v>
      </c>
    </row>
    <row r="472" spans="2:7" hidden="1">
      <c r="B472" s="753" t="s">
        <v>998</v>
      </c>
      <c r="C472" s="754" t="s">
        <v>999</v>
      </c>
      <c r="D472" s="753" t="s">
        <v>296</v>
      </c>
      <c r="E472" s="755">
        <v>0.52</v>
      </c>
      <c r="F472" s="755">
        <v>16.21</v>
      </c>
      <c r="G472" s="756">
        <f>TRUNC(E472*F472,2)</f>
        <v>8.42</v>
      </c>
    </row>
    <row r="473" spans="2:7" hidden="1">
      <c r="B473" s="753" t="s">
        <v>1000</v>
      </c>
      <c r="C473" s="754" t="s">
        <v>1001</v>
      </c>
      <c r="D473" s="753" t="s">
        <v>296</v>
      </c>
      <c r="E473" s="755">
        <v>0.52</v>
      </c>
      <c r="F473" s="755">
        <v>21.16</v>
      </c>
      <c r="G473" s="756">
        <f>TRUNC(E473*F473,2)</f>
        <v>11</v>
      </c>
    </row>
    <row r="474" spans="2:7" hidden="1">
      <c r="B474" s="737"/>
      <c r="C474" s="738"/>
      <c r="D474" s="1256" t="s">
        <v>941</v>
      </c>
      <c r="E474" s="1256"/>
      <c r="F474" s="162"/>
      <c r="G474" s="319">
        <v>0</v>
      </c>
    </row>
    <row r="475" spans="2:7" hidden="1">
      <c r="B475" s="737"/>
      <c r="C475" s="739"/>
      <c r="D475" s="681" t="s">
        <v>298</v>
      </c>
      <c r="E475" s="164"/>
      <c r="F475" s="162"/>
      <c r="G475" s="319">
        <f>SUM(G470:G471)</f>
        <v>20.81</v>
      </c>
    </row>
    <row r="476" spans="2:7" hidden="1">
      <c r="B476" s="737"/>
      <c r="C476" s="739"/>
      <c r="D476" s="681" t="s">
        <v>297</v>
      </c>
      <c r="E476" s="164"/>
      <c r="F476" s="162"/>
      <c r="G476" s="319">
        <f>SUM(G472:G473)</f>
        <v>19.420000000000002</v>
      </c>
    </row>
    <row r="477" spans="2:7" hidden="1">
      <c r="B477" s="737"/>
      <c r="C477" s="739"/>
      <c r="D477" s="1246" t="s">
        <v>299</v>
      </c>
      <c r="E477" s="1246"/>
      <c r="F477" s="162"/>
      <c r="G477" s="319">
        <v>0</v>
      </c>
    </row>
    <row r="478" spans="2:7" hidden="1">
      <c r="B478" s="737"/>
      <c r="C478" s="739"/>
      <c r="D478" s="740" t="s">
        <v>300</v>
      </c>
      <c r="E478" s="164"/>
      <c r="F478" s="162"/>
      <c r="G478" s="741">
        <f>SUM(G474:G477)</f>
        <v>40.230000000000004</v>
      </c>
    </row>
    <row r="479" spans="2:7" ht="15.75" hidden="1" thickBot="1">
      <c r="B479" s="742" t="s">
        <v>943</v>
      </c>
      <c r="C479" s="743"/>
      <c r="D479" s="744"/>
      <c r="E479" s="169"/>
      <c r="F479" s="170"/>
      <c r="G479" s="320"/>
    </row>
    <row r="480" spans="2:7" ht="15.75" hidden="1" thickBot="1">
      <c r="B480" s="764"/>
      <c r="C480" s="764"/>
      <c r="D480" s="764"/>
      <c r="E480" s="764"/>
      <c r="F480" s="764"/>
      <c r="G480" s="764"/>
    </row>
    <row r="481" spans="2:7" hidden="1">
      <c r="B481" s="153" t="s">
        <v>1002</v>
      </c>
      <c r="C481" s="324" t="s">
        <v>731</v>
      </c>
      <c r="D481" s="752" t="s">
        <v>21</v>
      </c>
      <c r="E481" s="726" t="s">
        <v>291</v>
      </c>
      <c r="F481" s="727" t="s">
        <v>292</v>
      </c>
      <c r="G481" s="728" t="s">
        <v>293</v>
      </c>
    </row>
    <row r="482" spans="2:7" hidden="1">
      <c r="B482" s="753" t="s">
        <v>1003</v>
      </c>
      <c r="C482" s="219" t="s">
        <v>974</v>
      </c>
      <c r="D482" s="753" t="s">
        <v>15</v>
      </c>
      <c r="E482" s="755">
        <v>1.2</v>
      </c>
      <c r="F482" s="755">
        <v>90</v>
      </c>
      <c r="G482" s="756">
        <f>TRUNC(E482*F482,2)</f>
        <v>108</v>
      </c>
    </row>
    <row r="483" spans="2:7" hidden="1">
      <c r="B483" s="753" t="s">
        <v>335</v>
      </c>
      <c r="C483" s="754" t="s">
        <v>309</v>
      </c>
      <c r="D483" s="753" t="s">
        <v>296</v>
      </c>
      <c r="E483" s="755">
        <v>1.3</v>
      </c>
      <c r="F483" s="755">
        <v>17.32</v>
      </c>
      <c r="G483" s="756">
        <f>TRUNC(E483*F483,2)</f>
        <v>22.51</v>
      </c>
    </row>
    <row r="484" spans="2:7" hidden="1">
      <c r="B484" s="737"/>
      <c r="C484" s="738"/>
      <c r="D484" s="677" t="s">
        <v>941</v>
      </c>
      <c r="E484" s="677"/>
      <c r="F484" s="162"/>
      <c r="G484" s="319">
        <v>0</v>
      </c>
    </row>
    <row r="485" spans="2:7" hidden="1">
      <c r="B485" s="737"/>
      <c r="C485" s="739"/>
      <c r="D485" s="681" t="s">
        <v>298</v>
      </c>
      <c r="E485" s="164"/>
      <c r="F485" s="162"/>
      <c r="G485" s="319">
        <f>G482</f>
        <v>108</v>
      </c>
    </row>
    <row r="486" spans="2:7" hidden="1">
      <c r="B486" s="737"/>
      <c r="C486" s="739"/>
      <c r="D486" s="681" t="s">
        <v>297</v>
      </c>
      <c r="E486" s="164"/>
      <c r="F486" s="162"/>
      <c r="G486" s="319">
        <f>SUM(G483:G483)</f>
        <v>22.51</v>
      </c>
    </row>
    <row r="487" spans="2:7" hidden="1">
      <c r="B487" s="737"/>
      <c r="C487" s="739"/>
      <c r="D487" s="678" t="s">
        <v>299</v>
      </c>
      <c r="E487" s="678"/>
      <c r="F487" s="162"/>
      <c r="G487" s="319">
        <v>0</v>
      </c>
    </row>
    <row r="488" spans="2:7" hidden="1">
      <c r="B488" s="737"/>
      <c r="C488" s="739"/>
      <c r="D488" s="740" t="s">
        <v>300</v>
      </c>
      <c r="E488" s="164"/>
      <c r="F488" s="162"/>
      <c r="G488" s="741">
        <f>SUM(G484:G487)</f>
        <v>130.51</v>
      </c>
    </row>
    <row r="489" spans="2:7" ht="15.75" hidden="1" thickBot="1">
      <c r="B489" s="742" t="s">
        <v>943</v>
      </c>
      <c r="C489" s="743"/>
      <c r="D489" s="744"/>
      <c r="E489" s="169"/>
      <c r="F489" s="170"/>
      <c r="G489" s="320"/>
    </row>
    <row r="490" spans="2:7" ht="15.75" hidden="1" thickBot="1">
      <c r="B490" s="746"/>
      <c r="C490" s="759"/>
      <c r="D490" s="760"/>
      <c r="E490" s="761"/>
      <c r="F490" s="762"/>
      <c r="G490" s="763"/>
    </row>
    <row r="491" spans="2:7" hidden="1">
      <c r="B491" s="153" t="s">
        <v>614</v>
      </c>
      <c r="C491" s="324" t="s">
        <v>734</v>
      </c>
      <c r="D491" s="752" t="s">
        <v>21</v>
      </c>
      <c r="E491" s="726" t="s">
        <v>291</v>
      </c>
      <c r="F491" s="727" t="s">
        <v>292</v>
      </c>
      <c r="G491" s="728" t="s">
        <v>293</v>
      </c>
    </row>
    <row r="492" spans="2:7" hidden="1">
      <c r="B492" s="753" t="s">
        <v>614</v>
      </c>
      <c r="C492" s="159" t="s">
        <v>1004</v>
      </c>
      <c r="D492" s="753" t="s">
        <v>7</v>
      </c>
      <c r="E492" s="755">
        <v>1</v>
      </c>
      <c r="F492" s="755">
        <v>11.8</v>
      </c>
      <c r="G492" s="756">
        <f>TRUNC(E492*F492,2)</f>
        <v>11.8</v>
      </c>
    </row>
    <row r="493" spans="2:7" hidden="1">
      <c r="B493" s="753" t="s">
        <v>614</v>
      </c>
      <c r="C493" s="159" t="s">
        <v>1005</v>
      </c>
      <c r="D493" s="753" t="s">
        <v>317</v>
      </c>
      <c r="E493" s="755">
        <v>0.1</v>
      </c>
      <c r="F493" s="755">
        <v>15.9</v>
      </c>
      <c r="G493" s="756">
        <f>TRUNC(E493*F493,2)</f>
        <v>1.59</v>
      </c>
    </row>
    <row r="494" spans="2:7" hidden="1">
      <c r="B494" s="753" t="s">
        <v>614</v>
      </c>
      <c r="C494" s="159" t="s">
        <v>1006</v>
      </c>
      <c r="D494" s="753" t="s">
        <v>317</v>
      </c>
      <c r="E494" s="755">
        <v>0.15</v>
      </c>
      <c r="F494" s="755">
        <v>4.8</v>
      </c>
      <c r="G494" s="756">
        <f>TRUNC(E494*F494,2)</f>
        <v>0.72</v>
      </c>
    </row>
    <row r="495" spans="2:7" hidden="1">
      <c r="B495" s="753" t="s">
        <v>1007</v>
      </c>
      <c r="C495" s="159" t="s">
        <v>1008</v>
      </c>
      <c r="D495" s="753" t="s">
        <v>296</v>
      </c>
      <c r="E495" s="755">
        <v>0.1</v>
      </c>
      <c r="F495" s="755">
        <v>20.89</v>
      </c>
      <c r="G495" s="756">
        <f>TRUNC(E495*F495,2)</f>
        <v>2.08</v>
      </c>
    </row>
    <row r="496" spans="2:7" hidden="1">
      <c r="B496" s="753" t="s">
        <v>335</v>
      </c>
      <c r="C496" s="754" t="s">
        <v>309</v>
      </c>
      <c r="D496" s="753" t="s">
        <v>296</v>
      </c>
      <c r="E496" s="755">
        <v>1.3</v>
      </c>
      <c r="F496" s="755">
        <v>17.32</v>
      </c>
      <c r="G496" s="756">
        <f>TRUNC(E496*F496,2)</f>
        <v>22.51</v>
      </c>
    </row>
    <row r="497" spans="2:7" hidden="1">
      <c r="B497" s="737"/>
      <c r="C497" s="738"/>
      <c r="D497" s="677" t="s">
        <v>941</v>
      </c>
      <c r="E497" s="677"/>
      <c r="F497" s="162"/>
      <c r="G497" s="319">
        <v>0</v>
      </c>
    </row>
    <row r="498" spans="2:7" hidden="1">
      <c r="B498" s="737"/>
      <c r="C498" s="739"/>
      <c r="D498" s="681" t="s">
        <v>298</v>
      </c>
      <c r="E498" s="164"/>
      <c r="F498" s="162"/>
      <c r="G498" s="319">
        <f>SUM(G492:G494)</f>
        <v>14.110000000000001</v>
      </c>
    </row>
    <row r="499" spans="2:7" hidden="1">
      <c r="B499" s="737"/>
      <c r="C499" s="739"/>
      <c r="D499" s="681" t="s">
        <v>297</v>
      </c>
      <c r="E499" s="164"/>
      <c r="F499" s="162"/>
      <c r="G499" s="319">
        <f>SUM(G495:G496)</f>
        <v>24.590000000000003</v>
      </c>
    </row>
    <row r="500" spans="2:7" hidden="1">
      <c r="B500" s="737"/>
      <c r="C500" s="739"/>
      <c r="D500" s="678" t="s">
        <v>299</v>
      </c>
      <c r="E500" s="678"/>
      <c r="F500" s="162"/>
      <c r="G500" s="319">
        <v>0</v>
      </c>
    </row>
    <row r="501" spans="2:7" hidden="1">
      <c r="B501" s="737"/>
      <c r="C501" s="739"/>
      <c r="D501" s="740" t="s">
        <v>300</v>
      </c>
      <c r="E501" s="164"/>
      <c r="F501" s="162"/>
      <c r="G501" s="741">
        <f>SUM(G497:G500)</f>
        <v>38.700000000000003</v>
      </c>
    </row>
    <row r="502" spans="2:7" ht="15.75" hidden="1" thickBot="1">
      <c r="B502" s="742" t="s">
        <v>943</v>
      </c>
      <c r="C502" s="743"/>
      <c r="D502" s="744"/>
      <c r="E502" s="169"/>
      <c r="F502" s="170"/>
      <c r="G502" s="320"/>
    </row>
    <row r="503" spans="2:7" hidden="1">
      <c r="B503" s="746"/>
      <c r="C503" s="759"/>
      <c r="D503" s="760"/>
      <c r="E503" s="761"/>
      <c r="F503" s="762"/>
      <c r="G503" s="763"/>
    </row>
    <row r="504" spans="2:7" hidden="1">
      <c r="B504" s="153" t="s">
        <v>1009</v>
      </c>
      <c r="C504" s="324" t="e">
        <f>#REF!</f>
        <v>#REF!</v>
      </c>
      <c r="D504" s="752" t="s">
        <v>21</v>
      </c>
      <c r="E504" s="726" t="s">
        <v>291</v>
      </c>
      <c r="F504" s="727" t="s">
        <v>292</v>
      </c>
      <c r="G504" s="728" t="s">
        <v>293</v>
      </c>
    </row>
    <row r="505" spans="2:7" hidden="1">
      <c r="B505" s="753" t="s">
        <v>614</v>
      </c>
      <c r="C505" s="159" t="s">
        <v>1010</v>
      </c>
      <c r="D505" s="753" t="s">
        <v>15</v>
      </c>
      <c r="E505" s="755">
        <v>1.1000000000000001</v>
      </c>
      <c r="F505" s="755">
        <v>92.41</v>
      </c>
      <c r="G505" s="756">
        <f>TRUNC(E505*F505,2)</f>
        <v>101.65</v>
      </c>
    </row>
    <row r="506" spans="2:7" ht="36" hidden="1">
      <c r="B506" s="753" t="s">
        <v>1011</v>
      </c>
      <c r="C506" s="159" t="s">
        <v>1012</v>
      </c>
      <c r="D506" s="753" t="s">
        <v>15</v>
      </c>
      <c r="E506" s="755">
        <v>0.3</v>
      </c>
      <c r="F506" s="755">
        <v>427.28</v>
      </c>
      <c r="G506" s="756">
        <f>TRUNC(E506*F506,2)</f>
        <v>128.18</v>
      </c>
    </row>
    <row r="507" spans="2:7" hidden="1">
      <c r="B507" s="753" t="s">
        <v>453</v>
      </c>
      <c r="C507" s="754" t="s">
        <v>454</v>
      </c>
      <c r="D507" s="753" t="s">
        <v>296</v>
      </c>
      <c r="E507" s="755">
        <v>6</v>
      </c>
      <c r="F507" s="755">
        <v>21.65</v>
      </c>
      <c r="G507" s="756">
        <f>TRUNC(E507*F507,2)</f>
        <v>129.9</v>
      </c>
    </row>
    <row r="508" spans="2:7" hidden="1">
      <c r="B508" s="753" t="s">
        <v>335</v>
      </c>
      <c r="C508" s="754" t="s">
        <v>309</v>
      </c>
      <c r="D508" s="753" t="s">
        <v>296</v>
      </c>
      <c r="E508" s="755">
        <v>1.3</v>
      </c>
      <c r="F508" s="755">
        <v>27.32</v>
      </c>
      <c r="G508" s="756">
        <f>TRUNC(E508*F508,2)</f>
        <v>35.51</v>
      </c>
    </row>
    <row r="509" spans="2:7" hidden="1">
      <c r="B509" s="737"/>
      <c r="C509" s="738"/>
      <c r="D509" s="677" t="s">
        <v>941</v>
      </c>
      <c r="E509" s="677"/>
      <c r="F509" s="162"/>
      <c r="G509" s="319">
        <v>0</v>
      </c>
    </row>
    <row r="510" spans="2:7" hidden="1">
      <c r="B510" s="737"/>
      <c r="C510" s="739"/>
      <c r="D510" s="681" t="s">
        <v>298</v>
      </c>
      <c r="E510" s="164"/>
      <c r="F510" s="162"/>
      <c r="G510" s="319">
        <f>SUM(G505:G506)</f>
        <v>229.83</v>
      </c>
    </row>
    <row r="511" spans="2:7" hidden="1">
      <c r="B511" s="737"/>
      <c r="C511" s="739"/>
      <c r="D511" s="681" t="s">
        <v>297</v>
      </c>
      <c r="E511" s="164"/>
      <c r="F511" s="162"/>
      <c r="G511" s="319">
        <f>SUM(G507:G508)</f>
        <v>165.41</v>
      </c>
    </row>
    <row r="512" spans="2:7" hidden="1">
      <c r="B512" s="737"/>
      <c r="C512" s="739"/>
      <c r="D512" s="678" t="s">
        <v>299</v>
      </c>
      <c r="E512" s="678"/>
      <c r="F512" s="162"/>
      <c r="G512" s="319">
        <v>0</v>
      </c>
    </row>
    <row r="513" spans="2:7" hidden="1">
      <c r="B513" s="737"/>
      <c r="C513" s="739"/>
      <c r="D513" s="740" t="s">
        <v>300</v>
      </c>
      <c r="E513" s="164"/>
      <c r="F513" s="162"/>
      <c r="G513" s="741">
        <f>SUM(G509:G512)</f>
        <v>395.24</v>
      </c>
    </row>
    <row r="514" spans="2:7" ht="15.75" hidden="1" thickBot="1">
      <c r="B514" s="742" t="s">
        <v>943</v>
      </c>
      <c r="C514" s="743"/>
      <c r="D514" s="744"/>
      <c r="E514" s="169"/>
      <c r="F514" s="170"/>
      <c r="G514" s="320"/>
    </row>
    <row r="515" spans="2:7" ht="15.75" hidden="1" thickBot="1">
      <c r="B515" s="746"/>
      <c r="C515" s="759"/>
      <c r="D515" s="760"/>
      <c r="E515" s="761"/>
      <c r="F515" s="762"/>
      <c r="G515" s="763"/>
    </row>
    <row r="516" spans="2:7" ht="30" hidden="1" customHeight="1">
      <c r="B516" s="153" t="s">
        <v>1009</v>
      </c>
      <c r="C516" s="324" t="s">
        <v>744</v>
      </c>
      <c r="D516" s="752" t="s">
        <v>21</v>
      </c>
      <c r="E516" s="726" t="s">
        <v>291</v>
      </c>
      <c r="F516" s="727" t="s">
        <v>292</v>
      </c>
      <c r="G516" s="728" t="s">
        <v>293</v>
      </c>
    </row>
    <row r="517" spans="2:7" hidden="1">
      <c r="B517" s="729" t="s">
        <v>614</v>
      </c>
      <c r="C517" s="765" t="s">
        <v>1013</v>
      </c>
      <c r="D517" s="753" t="s">
        <v>21</v>
      </c>
      <c r="E517" s="755">
        <v>0.1333</v>
      </c>
      <c r="F517" s="755">
        <v>60.25</v>
      </c>
      <c r="G517" s="766">
        <f t="shared" ref="G517:G534" si="8">TRUNC(E517*F517,2)</f>
        <v>8.0299999999999994</v>
      </c>
    </row>
    <row r="518" spans="2:7" ht="24.75" hidden="1">
      <c r="B518" s="729" t="s">
        <v>614</v>
      </c>
      <c r="C518" s="765" t="s">
        <v>1014</v>
      </c>
      <c r="D518" s="753" t="s">
        <v>21</v>
      </c>
      <c r="E518" s="755">
        <v>2</v>
      </c>
      <c r="F518" s="755">
        <v>29.25</v>
      </c>
      <c r="G518" s="766">
        <f t="shared" si="8"/>
        <v>58.5</v>
      </c>
    </row>
    <row r="519" spans="2:7" hidden="1">
      <c r="B519" s="729" t="s">
        <v>614</v>
      </c>
      <c r="C519" s="765" t="s">
        <v>1015</v>
      </c>
      <c r="D519" s="753" t="s">
        <v>77</v>
      </c>
      <c r="E519" s="755">
        <v>3</v>
      </c>
      <c r="F519" s="755">
        <v>9.27</v>
      </c>
      <c r="G519" s="766">
        <f t="shared" si="8"/>
        <v>27.81</v>
      </c>
    </row>
    <row r="520" spans="2:7" ht="24.75" hidden="1">
      <c r="B520" s="729" t="s">
        <v>614</v>
      </c>
      <c r="C520" s="765" t="s">
        <v>1016</v>
      </c>
      <c r="D520" s="753" t="s">
        <v>77</v>
      </c>
      <c r="E520" s="755">
        <v>27</v>
      </c>
      <c r="F520" s="755">
        <v>9.85</v>
      </c>
      <c r="G520" s="766">
        <f t="shared" si="8"/>
        <v>265.95</v>
      </c>
    </row>
    <row r="521" spans="2:7" ht="24.75" hidden="1">
      <c r="B521" s="729" t="s">
        <v>614</v>
      </c>
      <c r="C521" s="765" t="s">
        <v>1017</v>
      </c>
      <c r="D521" s="753" t="s">
        <v>77</v>
      </c>
      <c r="E521" s="755">
        <v>1</v>
      </c>
      <c r="F521" s="755">
        <v>72</v>
      </c>
      <c r="G521" s="766">
        <f t="shared" si="8"/>
        <v>72</v>
      </c>
    </row>
    <row r="522" spans="2:7" ht="24.75" hidden="1">
      <c r="B522" s="729" t="s">
        <v>614</v>
      </c>
      <c r="C522" s="765" t="s">
        <v>1018</v>
      </c>
      <c r="D522" s="753" t="s">
        <v>21</v>
      </c>
      <c r="E522" s="755">
        <v>1</v>
      </c>
      <c r="F522" s="755">
        <v>105</v>
      </c>
      <c r="G522" s="766">
        <f t="shared" si="8"/>
        <v>105</v>
      </c>
    </row>
    <row r="523" spans="2:7" ht="24.75" hidden="1">
      <c r="B523" s="729" t="s">
        <v>614</v>
      </c>
      <c r="C523" s="765" t="s">
        <v>1019</v>
      </c>
      <c r="D523" s="753" t="s">
        <v>21</v>
      </c>
      <c r="E523" s="755">
        <v>8</v>
      </c>
      <c r="F523" s="755">
        <v>5.35</v>
      </c>
      <c r="G523" s="766">
        <f t="shared" si="8"/>
        <v>42.8</v>
      </c>
    </row>
    <row r="524" spans="2:7" ht="17.25" hidden="1" customHeight="1">
      <c r="B524" s="729" t="s">
        <v>614</v>
      </c>
      <c r="C524" s="765" t="s">
        <v>1020</v>
      </c>
      <c r="D524" s="753" t="s">
        <v>21</v>
      </c>
      <c r="E524" s="755">
        <v>4</v>
      </c>
      <c r="F524" s="755">
        <v>1.2</v>
      </c>
      <c r="G524" s="766">
        <f t="shared" si="8"/>
        <v>4.8</v>
      </c>
    </row>
    <row r="525" spans="2:7" hidden="1">
      <c r="B525" s="729" t="s">
        <v>614</v>
      </c>
      <c r="C525" s="765" t="s">
        <v>1021</v>
      </c>
      <c r="D525" s="753" t="s">
        <v>21</v>
      </c>
      <c r="E525" s="755">
        <v>1</v>
      </c>
      <c r="F525" s="755">
        <v>92</v>
      </c>
      <c r="G525" s="766">
        <f t="shared" si="8"/>
        <v>92</v>
      </c>
    </row>
    <row r="526" spans="2:7" hidden="1">
      <c r="B526" s="729" t="s">
        <v>614</v>
      </c>
      <c r="C526" s="765" t="s">
        <v>1022</v>
      </c>
      <c r="D526" s="753" t="s">
        <v>21</v>
      </c>
      <c r="E526" s="755">
        <v>8</v>
      </c>
      <c r="F526" s="755">
        <v>6.36</v>
      </c>
      <c r="G526" s="766">
        <f t="shared" si="8"/>
        <v>50.88</v>
      </c>
    </row>
    <row r="527" spans="2:7" ht="24.75" hidden="1">
      <c r="B527" s="729" t="s">
        <v>614</v>
      </c>
      <c r="C527" s="765" t="s">
        <v>1023</v>
      </c>
      <c r="D527" s="753" t="s">
        <v>21</v>
      </c>
      <c r="E527" s="755">
        <v>7.96</v>
      </c>
      <c r="F527" s="755">
        <v>56</v>
      </c>
      <c r="G527" s="766">
        <f t="shared" si="8"/>
        <v>445.76</v>
      </c>
    </row>
    <row r="528" spans="2:7" ht="24.75" hidden="1">
      <c r="B528" s="729" t="s">
        <v>614</v>
      </c>
      <c r="C528" s="765" t="s">
        <v>1024</v>
      </c>
      <c r="D528" s="753" t="s">
        <v>21</v>
      </c>
      <c r="E528" s="755">
        <v>2</v>
      </c>
      <c r="F528" s="755">
        <v>6.47</v>
      </c>
      <c r="G528" s="766">
        <f t="shared" si="8"/>
        <v>12.94</v>
      </c>
    </row>
    <row r="529" spans="2:7" ht="36.75" hidden="1">
      <c r="B529" s="729" t="s">
        <v>614</v>
      </c>
      <c r="C529" s="765" t="s">
        <v>1025</v>
      </c>
      <c r="D529" s="753" t="s">
        <v>21</v>
      </c>
      <c r="E529" s="755">
        <v>2</v>
      </c>
      <c r="F529" s="755">
        <v>8</v>
      </c>
      <c r="G529" s="766">
        <f t="shared" si="8"/>
        <v>16</v>
      </c>
    </row>
    <row r="530" spans="2:7" hidden="1">
      <c r="B530" s="729" t="s">
        <v>614</v>
      </c>
      <c r="C530" s="765" t="s">
        <v>1026</v>
      </c>
      <c r="D530" s="753" t="s">
        <v>21</v>
      </c>
      <c r="E530" s="755">
        <v>2</v>
      </c>
      <c r="F530" s="755">
        <v>3.66</v>
      </c>
      <c r="G530" s="766">
        <f t="shared" si="8"/>
        <v>7.32</v>
      </c>
    </row>
    <row r="531" spans="2:7" hidden="1">
      <c r="B531" s="729" t="s">
        <v>614</v>
      </c>
      <c r="C531" s="765" t="s">
        <v>1027</v>
      </c>
      <c r="D531" s="753" t="s">
        <v>21</v>
      </c>
      <c r="E531" s="755">
        <v>2</v>
      </c>
      <c r="F531" s="755">
        <v>0.98</v>
      </c>
      <c r="G531" s="766">
        <f t="shared" si="8"/>
        <v>1.96</v>
      </c>
    </row>
    <row r="532" spans="2:7" hidden="1">
      <c r="B532" s="729" t="s">
        <v>614</v>
      </c>
      <c r="C532" s="765" t="s">
        <v>1028</v>
      </c>
      <c r="D532" s="753" t="s">
        <v>21</v>
      </c>
      <c r="E532" s="755">
        <v>2</v>
      </c>
      <c r="F532" s="755">
        <v>0.6</v>
      </c>
      <c r="G532" s="766">
        <f t="shared" si="8"/>
        <v>1.2</v>
      </c>
    </row>
    <row r="533" spans="2:7" hidden="1">
      <c r="B533" s="729" t="s">
        <v>1579</v>
      </c>
      <c r="C533" s="754" t="s">
        <v>660</v>
      </c>
      <c r="D533" s="753" t="s">
        <v>296</v>
      </c>
      <c r="E533" s="755">
        <v>8</v>
      </c>
      <c r="F533" s="755">
        <v>21.84</v>
      </c>
      <c r="G533" s="766">
        <f t="shared" si="8"/>
        <v>174.72</v>
      </c>
    </row>
    <row r="534" spans="2:7" hidden="1">
      <c r="B534" s="729" t="s">
        <v>335</v>
      </c>
      <c r="C534" s="754" t="s">
        <v>309</v>
      </c>
      <c r="D534" s="753" t="s">
        <v>296</v>
      </c>
      <c r="E534" s="755">
        <v>1.3</v>
      </c>
      <c r="F534" s="755">
        <v>17.32</v>
      </c>
      <c r="G534" s="766">
        <f t="shared" si="8"/>
        <v>22.51</v>
      </c>
    </row>
    <row r="535" spans="2:7" hidden="1">
      <c r="B535" s="737"/>
      <c r="C535" s="738"/>
      <c r="D535" s="677" t="s">
        <v>941</v>
      </c>
      <c r="E535" s="677"/>
      <c r="F535" s="162"/>
      <c r="G535" s="319">
        <v>0</v>
      </c>
    </row>
    <row r="536" spans="2:7" hidden="1">
      <c r="B536" s="737"/>
      <c r="C536" s="739"/>
      <c r="D536" s="681" t="s">
        <v>298</v>
      </c>
      <c r="E536" s="164"/>
      <c r="F536" s="162"/>
      <c r="G536" s="319">
        <f>SUM(G517:G532)</f>
        <v>1212.9499999999998</v>
      </c>
    </row>
    <row r="537" spans="2:7" hidden="1">
      <c r="B537" s="737"/>
      <c r="C537" s="739"/>
      <c r="D537" s="681" t="s">
        <v>297</v>
      </c>
      <c r="E537" s="164"/>
      <c r="F537" s="162"/>
      <c r="G537" s="319">
        <f>SUM(G533:G534)</f>
        <v>197.23</v>
      </c>
    </row>
    <row r="538" spans="2:7" hidden="1">
      <c r="B538" s="737"/>
      <c r="C538" s="739"/>
      <c r="D538" s="678" t="s">
        <v>299</v>
      </c>
      <c r="E538" s="678"/>
      <c r="F538" s="162"/>
      <c r="G538" s="319">
        <v>0</v>
      </c>
    </row>
    <row r="539" spans="2:7" hidden="1">
      <c r="B539" s="737"/>
      <c r="C539" s="739"/>
      <c r="D539" s="740" t="s">
        <v>300</v>
      </c>
      <c r="E539" s="164"/>
      <c r="F539" s="162"/>
      <c r="G539" s="741">
        <f>SUM(G535:G538)</f>
        <v>1410.1799999999998</v>
      </c>
    </row>
    <row r="540" spans="2:7" ht="15.75" hidden="1" thickBot="1">
      <c r="B540" s="742" t="s">
        <v>943</v>
      </c>
      <c r="C540" s="743"/>
      <c r="D540" s="744"/>
      <c r="E540" s="169"/>
      <c r="F540" s="170"/>
      <c r="G540" s="320"/>
    </row>
    <row r="541" spans="2:7" ht="15.75" thickBot="1">
      <c r="B541" s="219"/>
      <c r="C541" s="219"/>
      <c r="D541" s="219"/>
      <c r="E541" s="219"/>
      <c r="F541" s="219"/>
      <c r="G541" s="219"/>
    </row>
    <row r="542" spans="2:7">
      <c r="B542" s="924" t="s">
        <v>922</v>
      </c>
      <c r="C542" s="644" t="s">
        <v>1068</v>
      </c>
      <c r="D542" s="154" t="s">
        <v>21</v>
      </c>
      <c r="E542" s="155" t="s">
        <v>291</v>
      </c>
      <c r="F542" s="156" t="s">
        <v>292</v>
      </c>
      <c r="G542" s="157" t="s">
        <v>293</v>
      </c>
    </row>
    <row r="543" spans="2:7">
      <c r="B543" s="138" t="s">
        <v>614</v>
      </c>
      <c r="C543" s="767" t="s">
        <v>1069</v>
      </c>
      <c r="D543" s="140" t="s">
        <v>21</v>
      </c>
      <c r="E543" s="141">
        <v>3</v>
      </c>
      <c r="F543" s="141">
        <v>2.0099999999999998</v>
      </c>
      <c r="G543" s="149">
        <f t="shared" ref="G543:G548" si="9">E543*F543</f>
        <v>6.0299999999999994</v>
      </c>
    </row>
    <row r="544" spans="2:7">
      <c r="B544" s="142" t="s">
        <v>614</v>
      </c>
      <c r="C544" s="143" t="s">
        <v>1070</v>
      </c>
      <c r="D544" s="140" t="s">
        <v>7</v>
      </c>
      <c r="E544" s="141">
        <v>0.6</v>
      </c>
      <c r="F544" s="141">
        <v>93.59</v>
      </c>
      <c r="G544" s="149">
        <f t="shared" si="9"/>
        <v>56.154000000000003</v>
      </c>
    </row>
    <row r="545" spans="2:7">
      <c r="B545" s="142" t="s">
        <v>614</v>
      </c>
      <c r="C545" s="143" t="s">
        <v>1072</v>
      </c>
      <c r="D545" s="140" t="s">
        <v>317</v>
      </c>
      <c r="E545" s="141">
        <v>1</v>
      </c>
      <c r="F545" s="141">
        <v>4</v>
      </c>
      <c r="G545" s="149">
        <f t="shared" si="9"/>
        <v>4</v>
      </c>
    </row>
    <row r="546" spans="2:7">
      <c r="B546" s="142" t="s">
        <v>614</v>
      </c>
      <c r="C546" s="312" t="s">
        <v>1071</v>
      </c>
      <c r="D546" s="152" t="s">
        <v>296</v>
      </c>
      <c r="E546" s="141">
        <v>1</v>
      </c>
      <c r="F546" s="158">
        <v>61.2</v>
      </c>
      <c r="G546" s="149">
        <f t="shared" si="9"/>
        <v>61.2</v>
      </c>
    </row>
    <row r="547" spans="2:7">
      <c r="B547" s="142" t="s">
        <v>453</v>
      </c>
      <c r="C547" s="312" t="s">
        <v>454</v>
      </c>
      <c r="D547" s="152" t="s">
        <v>296</v>
      </c>
      <c r="E547" s="141">
        <v>1</v>
      </c>
      <c r="F547" s="141">
        <v>21.65</v>
      </c>
      <c r="G547" s="149">
        <f t="shared" si="9"/>
        <v>21.65</v>
      </c>
    </row>
    <row r="548" spans="2:7">
      <c r="B548" s="142" t="s">
        <v>335</v>
      </c>
      <c r="C548" s="139" t="s">
        <v>309</v>
      </c>
      <c r="D548" s="152" t="s">
        <v>296</v>
      </c>
      <c r="E548" s="141">
        <v>0.9</v>
      </c>
      <c r="F548" s="158">
        <v>17.32</v>
      </c>
      <c r="G548" s="149">
        <f t="shared" si="9"/>
        <v>15.588000000000001</v>
      </c>
    </row>
    <row r="549" spans="2:7">
      <c r="B549" s="1247"/>
      <c r="C549" s="1248"/>
      <c r="D549" s="640" t="s">
        <v>297</v>
      </c>
      <c r="E549" s="640"/>
      <c r="F549" s="1253"/>
      <c r="G549" s="645">
        <f>SUM(G547:G548)</f>
        <v>37.238</v>
      </c>
    </row>
    <row r="550" spans="2:7">
      <c r="B550" s="1249"/>
      <c r="C550" s="1250"/>
      <c r="D550" s="641" t="s">
        <v>298</v>
      </c>
      <c r="E550" s="642"/>
      <c r="F550" s="1253"/>
      <c r="G550" s="645">
        <f>SUM(G543:G546)</f>
        <v>127.384</v>
      </c>
    </row>
    <row r="551" spans="2:7">
      <c r="B551" s="1249"/>
      <c r="C551" s="1250"/>
      <c r="D551" s="643" t="s">
        <v>299</v>
      </c>
      <c r="E551" s="643"/>
      <c r="F551" s="1253"/>
      <c r="G551" s="646">
        <v>0</v>
      </c>
    </row>
    <row r="552" spans="2:7" ht="15.75" thickBot="1">
      <c r="B552" s="1251"/>
      <c r="C552" s="1252"/>
      <c r="D552" s="647" t="s">
        <v>300</v>
      </c>
      <c r="E552" s="648"/>
      <c r="F552" s="1254"/>
      <c r="G552" s="649">
        <f>SUM(G549:G551)</f>
        <v>164.62200000000001</v>
      </c>
    </row>
    <row r="553" spans="2:7" ht="15.75" thickBot="1">
      <c r="B553" s="1271" t="s">
        <v>1077</v>
      </c>
      <c r="C553" s="1272"/>
      <c r="D553" s="1272"/>
      <c r="E553" s="1272"/>
      <c r="F553" s="1272"/>
      <c r="G553" s="1273"/>
    </row>
    <row r="554" spans="2:7" ht="15.75" thickBot="1">
      <c r="B554" s="219"/>
      <c r="C554" s="219"/>
      <c r="D554" s="219"/>
      <c r="E554" s="219"/>
      <c r="F554" s="219"/>
      <c r="G554" s="219"/>
    </row>
    <row r="555" spans="2:7" ht="48" customHeight="1">
      <c r="B555" s="924" t="s">
        <v>1121</v>
      </c>
      <c r="C555" s="644" t="s">
        <v>1078</v>
      </c>
      <c r="D555" s="154" t="s">
        <v>21</v>
      </c>
      <c r="E555" s="155" t="s">
        <v>291</v>
      </c>
      <c r="F555" s="156" t="s">
        <v>292</v>
      </c>
      <c r="G555" s="157" t="s">
        <v>293</v>
      </c>
    </row>
    <row r="556" spans="2:7" ht="24.75">
      <c r="B556" s="142" t="s">
        <v>614</v>
      </c>
      <c r="C556" s="143" t="s">
        <v>1079</v>
      </c>
      <c r="D556" s="152" t="s">
        <v>21</v>
      </c>
      <c r="E556" s="141">
        <v>3</v>
      </c>
      <c r="F556" s="151">
        <v>24.29</v>
      </c>
      <c r="G556" s="149">
        <f>E556*F556</f>
        <v>72.87</v>
      </c>
    </row>
    <row r="557" spans="2:7" ht="48.75">
      <c r="B557" s="142" t="s">
        <v>614</v>
      </c>
      <c r="C557" s="143" t="s">
        <v>1080</v>
      </c>
      <c r="D557" s="152" t="s">
        <v>21</v>
      </c>
      <c r="E557" s="141">
        <v>1</v>
      </c>
      <c r="F557" s="151">
        <v>202.74</v>
      </c>
      <c r="G557" s="149">
        <f>E557*F557</f>
        <v>202.74</v>
      </c>
    </row>
    <row r="558" spans="2:7" ht="24.75">
      <c r="B558" s="142" t="s">
        <v>614</v>
      </c>
      <c r="C558" s="143" t="s">
        <v>1081</v>
      </c>
      <c r="D558" s="140" t="s">
        <v>21</v>
      </c>
      <c r="E558" s="141">
        <v>1</v>
      </c>
      <c r="F558" s="151">
        <v>4</v>
      </c>
      <c r="G558" s="149">
        <f>E558*F558</f>
        <v>4</v>
      </c>
    </row>
    <row r="559" spans="2:7" ht="24">
      <c r="B559" s="142" t="s">
        <v>1082</v>
      </c>
      <c r="C559" s="312" t="s">
        <v>295</v>
      </c>
      <c r="D559" s="152" t="s">
        <v>296</v>
      </c>
      <c r="E559" s="141">
        <v>1.6779999999999999</v>
      </c>
      <c r="F559" s="151">
        <v>21.43</v>
      </c>
      <c r="G559" s="149">
        <f>E559*F559</f>
        <v>35.959539999999997</v>
      </c>
    </row>
    <row r="560" spans="2:7">
      <c r="B560" s="142" t="s">
        <v>335</v>
      </c>
      <c r="C560" s="139" t="s">
        <v>309</v>
      </c>
      <c r="D560" s="152" t="s">
        <v>296</v>
      </c>
      <c r="E560" s="141">
        <v>0.83899999999999997</v>
      </c>
      <c r="F560" s="650">
        <v>17.32</v>
      </c>
      <c r="G560" s="149">
        <f>E560*F560</f>
        <v>14.53148</v>
      </c>
    </row>
    <row r="561" spans="2:7">
      <c r="B561" s="1247"/>
      <c r="C561" s="1248"/>
      <c r="D561" s="640" t="s">
        <v>297</v>
      </c>
      <c r="E561" s="640"/>
      <c r="F561" s="1253"/>
      <c r="G561" s="645">
        <f>SUM(G559:G560)</f>
        <v>50.491019999999999</v>
      </c>
    </row>
    <row r="562" spans="2:7">
      <c r="B562" s="1249"/>
      <c r="C562" s="1250"/>
      <c r="D562" s="641" t="s">
        <v>298</v>
      </c>
      <c r="E562" s="642"/>
      <c r="F562" s="1253"/>
      <c r="G562" s="645">
        <f>SUM(G556:G558)</f>
        <v>279.61</v>
      </c>
    </row>
    <row r="563" spans="2:7">
      <c r="B563" s="1249"/>
      <c r="C563" s="1250"/>
      <c r="D563" s="643" t="s">
        <v>299</v>
      </c>
      <c r="E563" s="643"/>
      <c r="F563" s="1253"/>
      <c r="G563" s="646">
        <v>0</v>
      </c>
    </row>
    <row r="564" spans="2:7" ht="15.75" thickBot="1">
      <c r="B564" s="1251"/>
      <c r="C564" s="1252"/>
      <c r="D564" s="647" t="s">
        <v>300</v>
      </c>
      <c r="E564" s="648"/>
      <c r="F564" s="1254"/>
      <c r="G564" s="649">
        <f>SUM(G561:G563)</f>
        <v>330.10102000000001</v>
      </c>
    </row>
    <row r="565" spans="2:7" ht="15.75" thickBot="1">
      <c r="B565" s="1271" t="s">
        <v>1077</v>
      </c>
      <c r="C565" s="1272"/>
      <c r="D565" s="1272"/>
      <c r="E565" s="1272"/>
      <c r="F565" s="1272"/>
      <c r="G565" s="1273"/>
    </row>
    <row r="566" spans="2:7" ht="15.75" thickBot="1">
      <c r="B566" s="219"/>
      <c r="C566" s="219"/>
      <c r="D566" s="219"/>
      <c r="E566" s="219"/>
      <c r="F566" s="219"/>
      <c r="G566" s="219"/>
    </row>
    <row r="567" spans="2:7">
      <c r="B567" s="924" t="s">
        <v>1599</v>
      </c>
      <c r="C567" s="644" t="s">
        <v>1087</v>
      </c>
      <c r="D567" s="154" t="s">
        <v>21</v>
      </c>
      <c r="E567" s="155" t="s">
        <v>291</v>
      </c>
      <c r="F567" s="156" t="s">
        <v>292</v>
      </c>
      <c r="G567" s="157" t="s">
        <v>293</v>
      </c>
    </row>
    <row r="568" spans="2:7">
      <c r="B568" s="142" t="s">
        <v>614</v>
      </c>
      <c r="C568" s="143" t="s">
        <v>1088</v>
      </c>
      <c r="D568" s="152" t="s">
        <v>21</v>
      </c>
      <c r="E568" s="141">
        <v>0.01</v>
      </c>
      <c r="F568" s="151">
        <v>62.45</v>
      </c>
      <c r="G568" s="149">
        <f>E568*F568</f>
        <v>0.62450000000000006</v>
      </c>
    </row>
    <row r="569" spans="2:7" ht="24.75">
      <c r="B569" s="142" t="s">
        <v>614</v>
      </c>
      <c r="C569" s="143" t="s">
        <v>1090</v>
      </c>
      <c r="D569" s="152" t="s">
        <v>21</v>
      </c>
      <c r="E569" s="141">
        <v>0.17</v>
      </c>
      <c r="F569" s="151">
        <v>1.75</v>
      </c>
      <c r="G569" s="149">
        <f>E569*F569</f>
        <v>0.29750000000000004</v>
      </c>
    </row>
    <row r="570" spans="2:7" ht="24.75">
      <c r="B570" s="142" t="s">
        <v>614</v>
      </c>
      <c r="C570" s="143" t="s">
        <v>1089</v>
      </c>
      <c r="D570" s="140" t="s">
        <v>77</v>
      </c>
      <c r="E570" s="141">
        <v>1.01</v>
      </c>
      <c r="F570" s="151">
        <v>9.11</v>
      </c>
      <c r="G570" s="149">
        <f>E570*F570</f>
        <v>9.2011000000000003</v>
      </c>
    </row>
    <row r="571" spans="2:7" ht="24">
      <c r="B571" s="142" t="s">
        <v>1000</v>
      </c>
      <c r="C571" s="312" t="s">
        <v>307</v>
      </c>
      <c r="D571" s="152" t="s">
        <v>296</v>
      </c>
      <c r="E571" s="141">
        <v>0.3</v>
      </c>
      <c r="F571" s="151">
        <v>21.16</v>
      </c>
      <c r="G571" s="149">
        <f>E571*F571</f>
        <v>6.3479999999999999</v>
      </c>
    </row>
    <row r="572" spans="2:7">
      <c r="B572" s="142" t="s">
        <v>335</v>
      </c>
      <c r="C572" s="139" t="s">
        <v>309</v>
      </c>
      <c r="D572" s="152" t="s">
        <v>296</v>
      </c>
      <c r="E572" s="141">
        <v>0.3</v>
      </c>
      <c r="F572" s="650">
        <v>17.32</v>
      </c>
      <c r="G572" s="149">
        <f>E572*F572</f>
        <v>5.1959999999999997</v>
      </c>
    </row>
    <row r="573" spans="2:7">
      <c r="B573" s="1247"/>
      <c r="C573" s="1248"/>
      <c r="D573" s="640" t="s">
        <v>297</v>
      </c>
      <c r="E573" s="640"/>
      <c r="F573" s="1253"/>
      <c r="G573" s="645">
        <f>SUM(G571:G572)</f>
        <v>11.544</v>
      </c>
    </row>
    <row r="574" spans="2:7">
      <c r="B574" s="1249"/>
      <c r="C574" s="1250"/>
      <c r="D574" s="641" t="s">
        <v>298</v>
      </c>
      <c r="E574" s="642"/>
      <c r="F574" s="1253"/>
      <c r="G574" s="645">
        <f>SUM(G568:G570)</f>
        <v>10.123100000000001</v>
      </c>
    </row>
    <row r="575" spans="2:7">
      <c r="B575" s="1249"/>
      <c r="C575" s="1250"/>
      <c r="D575" s="643" t="s">
        <v>299</v>
      </c>
      <c r="E575" s="643"/>
      <c r="F575" s="1253"/>
      <c r="G575" s="646">
        <v>0</v>
      </c>
    </row>
    <row r="576" spans="2:7" ht="15.75" thickBot="1">
      <c r="B576" s="1251"/>
      <c r="C576" s="1252"/>
      <c r="D576" s="647" t="s">
        <v>300</v>
      </c>
      <c r="E576" s="648"/>
      <c r="F576" s="1254"/>
      <c r="G576" s="649">
        <f>SUM(G573:G575)</f>
        <v>21.667100000000001</v>
      </c>
    </row>
    <row r="577" spans="2:7" ht="15.75" thickBot="1">
      <c r="B577" s="1271" t="s">
        <v>1077</v>
      </c>
      <c r="C577" s="1272"/>
      <c r="D577" s="1272"/>
      <c r="E577" s="1272"/>
      <c r="F577" s="1272"/>
      <c r="G577" s="1273"/>
    </row>
    <row r="578" spans="2:7" ht="15.75" thickBot="1">
      <c r="B578" s="219"/>
      <c r="C578" s="219"/>
      <c r="D578" s="219"/>
      <c r="E578" s="219"/>
      <c r="F578" s="219"/>
      <c r="G578" s="219"/>
    </row>
    <row r="579" spans="2:7">
      <c r="B579" s="924" t="s">
        <v>1122</v>
      </c>
      <c r="C579" s="644" t="s">
        <v>1091</v>
      </c>
      <c r="D579" s="154" t="s">
        <v>7</v>
      </c>
      <c r="E579" s="155" t="s">
        <v>291</v>
      </c>
      <c r="F579" s="156" t="s">
        <v>292</v>
      </c>
      <c r="G579" s="157" t="s">
        <v>293</v>
      </c>
    </row>
    <row r="580" spans="2:7">
      <c r="B580" s="138" t="s">
        <v>614</v>
      </c>
      <c r="C580" s="767" t="s">
        <v>1092</v>
      </c>
      <c r="D580" s="140" t="s">
        <v>1093</v>
      </c>
      <c r="E580" s="141">
        <v>3</v>
      </c>
      <c r="F580" s="141">
        <v>20</v>
      </c>
      <c r="G580" s="149">
        <f>E580*F580</f>
        <v>60</v>
      </c>
    </row>
    <row r="581" spans="2:7">
      <c r="B581" s="142" t="s">
        <v>1094</v>
      </c>
      <c r="C581" s="312" t="s">
        <v>1095</v>
      </c>
      <c r="D581" s="152" t="s">
        <v>296</v>
      </c>
      <c r="E581" s="141">
        <v>1</v>
      </c>
      <c r="F581" s="158">
        <v>24.7</v>
      </c>
      <c r="G581" s="149">
        <f>E581*F581</f>
        <v>24.7</v>
      </c>
    </row>
    <row r="582" spans="2:7">
      <c r="B582" s="142" t="s">
        <v>453</v>
      </c>
      <c r="C582" s="312" t="s">
        <v>454</v>
      </c>
      <c r="D582" s="152" t="s">
        <v>296</v>
      </c>
      <c r="E582" s="141">
        <v>1</v>
      </c>
      <c r="F582" s="141">
        <v>21.65</v>
      </c>
      <c r="G582" s="149">
        <f>E582*F582</f>
        <v>21.65</v>
      </c>
    </row>
    <row r="583" spans="2:7">
      <c r="B583" s="142" t="s">
        <v>335</v>
      </c>
      <c r="C583" s="139" t="s">
        <v>309</v>
      </c>
      <c r="D583" s="152" t="s">
        <v>296</v>
      </c>
      <c r="E583" s="141">
        <v>0.9</v>
      </c>
      <c r="F583" s="158">
        <v>17.32</v>
      </c>
      <c r="G583" s="149">
        <f>E583*F583</f>
        <v>15.588000000000001</v>
      </c>
    </row>
    <row r="584" spans="2:7">
      <c r="B584" s="1247"/>
      <c r="C584" s="1248"/>
      <c r="D584" s="640" t="s">
        <v>297</v>
      </c>
      <c r="E584" s="640"/>
      <c r="F584" s="1253"/>
      <c r="G584" s="645">
        <f>SUM(G582:G583)</f>
        <v>37.238</v>
      </c>
    </row>
    <row r="585" spans="2:7">
      <c r="B585" s="1249"/>
      <c r="C585" s="1250"/>
      <c r="D585" s="641" t="s">
        <v>298</v>
      </c>
      <c r="E585" s="642"/>
      <c r="F585" s="1253"/>
      <c r="G585" s="645">
        <f>SUM(G580:G581)</f>
        <v>84.7</v>
      </c>
    </row>
    <row r="586" spans="2:7">
      <c r="B586" s="1249"/>
      <c r="C586" s="1250"/>
      <c r="D586" s="643" t="s">
        <v>299</v>
      </c>
      <c r="E586" s="643"/>
      <c r="F586" s="1253"/>
      <c r="G586" s="646">
        <v>0</v>
      </c>
    </row>
    <row r="587" spans="2:7" ht="15.75" thickBot="1">
      <c r="B587" s="1251"/>
      <c r="C587" s="1252"/>
      <c r="D587" s="647" t="s">
        <v>300</v>
      </c>
      <c r="E587" s="648"/>
      <c r="F587" s="1254"/>
      <c r="G587" s="649">
        <f>SUM(G584:G586)</f>
        <v>121.938</v>
      </c>
    </row>
    <row r="588" spans="2:7" ht="15.75" thickBot="1">
      <c r="B588" s="1271" t="s">
        <v>1077</v>
      </c>
      <c r="C588" s="1272"/>
      <c r="D588" s="1272"/>
      <c r="E588" s="1272"/>
      <c r="F588" s="1272"/>
      <c r="G588" s="1273"/>
    </row>
    <row r="589" spans="2:7" ht="15.75" thickBot="1">
      <c r="B589" s="219"/>
      <c r="C589" s="219"/>
      <c r="D589" s="219"/>
      <c r="E589" s="219"/>
      <c r="F589" s="219"/>
      <c r="G589" s="219"/>
    </row>
    <row r="590" spans="2:7" ht="38.25" customHeight="1">
      <c r="B590" s="924" t="s">
        <v>1600</v>
      </c>
      <c r="C590" s="644" t="s">
        <v>777</v>
      </c>
      <c r="D590" s="154" t="s">
        <v>7</v>
      </c>
      <c r="E590" s="155" t="s">
        <v>291</v>
      </c>
      <c r="F590" s="156" t="s">
        <v>292</v>
      </c>
      <c r="G590" s="157" t="s">
        <v>293</v>
      </c>
    </row>
    <row r="591" spans="2:7" ht="36">
      <c r="B591" s="142" t="s">
        <v>1133</v>
      </c>
      <c r="C591" s="312" t="s">
        <v>777</v>
      </c>
      <c r="D591" s="140" t="s">
        <v>7</v>
      </c>
      <c r="E591" s="141">
        <v>1</v>
      </c>
      <c r="F591" s="141">
        <v>52.24</v>
      </c>
      <c r="G591" s="149">
        <f>E591*F591</f>
        <v>52.24</v>
      </c>
    </row>
    <row r="592" spans="2:7">
      <c r="B592" s="142" t="s">
        <v>453</v>
      </c>
      <c r="C592" s="312" t="s">
        <v>454</v>
      </c>
      <c r="D592" s="152" t="s">
        <v>296</v>
      </c>
      <c r="E592" s="141">
        <v>1</v>
      </c>
      <c r="F592" s="141">
        <v>21.65</v>
      </c>
      <c r="G592" s="149">
        <f>E592*F592</f>
        <v>21.65</v>
      </c>
    </row>
    <row r="593" spans="2:7">
      <c r="B593" s="142" t="s">
        <v>335</v>
      </c>
      <c r="C593" s="139" t="s">
        <v>309</v>
      </c>
      <c r="D593" s="152" t="s">
        <v>296</v>
      </c>
      <c r="E593" s="141">
        <v>0.9</v>
      </c>
      <c r="F593" s="158">
        <v>17.32</v>
      </c>
      <c r="G593" s="149">
        <f>E593*F593</f>
        <v>15.588000000000001</v>
      </c>
    </row>
    <row r="594" spans="2:7">
      <c r="B594" s="1247"/>
      <c r="C594" s="1248"/>
      <c r="D594" s="640" t="s">
        <v>297</v>
      </c>
      <c r="E594" s="640"/>
      <c r="F594" s="1253"/>
      <c r="G594" s="645">
        <f>SUM(G592:G593)</f>
        <v>37.238</v>
      </c>
    </row>
    <row r="595" spans="2:7">
      <c r="B595" s="1249"/>
      <c r="C595" s="1250"/>
      <c r="D595" s="641" t="s">
        <v>298</v>
      </c>
      <c r="E595" s="642"/>
      <c r="F595" s="1253"/>
      <c r="G595" s="645">
        <f>SUM(G591:G591)</f>
        <v>52.24</v>
      </c>
    </row>
    <row r="596" spans="2:7">
      <c r="B596" s="1249"/>
      <c r="C596" s="1250"/>
      <c r="D596" s="643" t="s">
        <v>299</v>
      </c>
      <c r="E596" s="643"/>
      <c r="F596" s="1253"/>
      <c r="G596" s="646">
        <v>0</v>
      </c>
    </row>
    <row r="597" spans="2:7" ht="15.75" thickBot="1">
      <c r="B597" s="1251"/>
      <c r="C597" s="1252"/>
      <c r="D597" s="647" t="s">
        <v>300</v>
      </c>
      <c r="E597" s="648"/>
      <c r="F597" s="1254"/>
      <c r="G597" s="649">
        <f>SUM(G594:G596)</f>
        <v>89.478000000000009</v>
      </c>
    </row>
    <row r="598" spans="2:7" ht="15.75" thickBot="1">
      <c r="B598" s="1271" t="s">
        <v>1077</v>
      </c>
      <c r="C598" s="1272"/>
      <c r="D598" s="1272"/>
      <c r="E598" s="1272"/>
      <c r="F598" s="1272"/>
      <c r="G598" s="1273"/>
    </row>
    <row r="599" spans="2:7" ht="15.75" thickBot="1"/>
    <row r="600" spans="2:7" ht="15.75" thickBot="1">
      <c r="B600" s="1271" t="s">
        <v>1077</v>
      </c>
      <c r="C600" s="1272"/>
      <c r="D600" s="1272"/>
      <c r="E600" s="1272"/>
      <c r="F600" s="1272"/>
      <c r="G600" s="1273"/>
    </row>
    <row r="601" spans="2:7" ht="15.75" thickBot="1"/>
    <row r="602" spans="2:7" ht="24">
      <c r="B602" s="924" t="s">
        <v>1601</v>
      </c>
      <c r="C602" s="644" t="s">
        <v>1267</v>
      </c>
      <c r="D602" s="154" t="s">
        <v>21</v>
      </c>
      <c r="E602" s="155" t="s">
        <v>291</v>
      </c>
      <c r="F602" s="156" t="s">
        <v>292</v>
      </c>
      <c r="G602" s="157" t="s">
        <v>293</v>
      </c>
    </row>
    <row r="603" spans="2:7">
      <c r="B603" s="142" t="s">
        <v>335</v>
      </c>
      <c r="C603" s="312" t="s">
        <v>309</v>
      </c>
      <c r="D603" s="140" t="s">
        <v>296</v>
      </c>
      <c r="E603" s="141">
        <v>4</v>
      </c>
      <c r="F603" s="141">
        <v>17.32</v>
      </c>
      <c r="G603" s="149">
        <f t="shared" ref="G603:G608" si="10">E603*F603</f>
        <v>69.28</v>
      </c>
    </row>
    <row r="604" spans="2:7">
      <c r="B604" s="142" t="s">
        <v>453</v>
      </c>
      <c r="C604" s="139" t="s">
        <v>454</v>
      </c>
      <c r="D604" s="140" t="s">
        <v>296</v>
      </c>
      <c r="E604" s="141">
        <v>4</v>
      </c>
      <c r="F604" s="141">
        <v>21.65</v>
      </c>
      <c r="G604" s="149">
        <f t="shared" si="10"/>
        <v>86.6</v>
      </c>
    </row>
    <row r="605" spans="2:7">
      <c r="B605" s="142" t="s">
        <v>1271</v>
      </c>
      <c r="C605" s="312" t="s">
        <v>321</v>
      </c>
      <c r="D605" s="140" t="s">
        <v>296</v>
      </c>
      <c r="E605" s="141">
        <v>8</v>
      </c>
      <c r="F605" s="141">
        <v>21.53</v>
      </c>
      <c r="G605" s="149">
        <f t="shared" si="10"/>
        <v>172.24</v>
      </c>
    </row>
    <row r="606" spans="2:7">
      <c r="B606" s="142" t="s">
        <v>614</v>
      </c>
      <c r="C606" s="312" t="s">
        <v>1268</v>
      </c>
      <c r="D606" s="140" t="s">
        <v>15</v>
      </c>
      <c r="E606" s="141">
        <v>8.0000000000000002E-3</v>
      </c>
      <c r="F606" s="141">
        <v>314.58</v>
      </c>
      <c r="G606" s="149">
        <f t="shared" si="10"/>
        <v>2.5166399999999998</v>
      </c>
    </row>
    <row r="607" spans="2:7" ht="31.5" customHeight="1">
      <c r="B607" s="142" t="s">
        <v>614</v>
      </c>
      <c r="C607" s="312" t="s">
        <v>1269</v>
      </c>
      <c r="D607" s="140" t="s">
        <v>77</v>
      </c>
      <c r="E607" s="141">
        <v>112.2</v>
      </c>
      <c r="F607" s="141">
        <v>38.33</v>
      </c>
      <c r="G607" s="149">
        <f t="shared" si="10"/>
        <v>4300.6260000000002</v>
      </c>
    </row>
    <row r="608" spans="2:7">
      <c r="B608" s="142" t="s">
        <v>1272</v>
      </c>
      <c r="C608" s="312" t="s">
        <v>1270</v>
      </c>
      <c r="D608" s="140" t="s">
        <v>317</v>
      </c>
      <c r="E608" s="141">
        <v>1</v>
      </c>
      <c r="F608" s="141">
        <v>30.5</v>
      </c>
      <c r="G608" s="149">
        <f t="shared" si="10"/>
        <v>30.5</v>
      </c>
    </row>
    <row r="609" spans="2:7">
      <c r="B609" s="1247"/>
      <c r="C609" s="1248"/>
      <c r="D609" s="640" t="s">
        <v>297</v>
      </c>
      <c r="E609" s="640"/>
      <c r="F609" s="1253"/>
      <c r="G609" s="645">
        <f>SUM(G603:G605)</f>
        <v>328.12</v>
      </c>
    </row>
    <row r="610" spans="2:7">
      <c r="B610" s="1249"/>
      <c r="C610" s="1250"/>
      <c r="D610" s="641" t="s">
        <v>298</v>
      </c>
      <c r="E610" s="642"/>
      <c r="F610" s="1253"/>
      <c r="G610" s="645">
        <f>SUM(G606:G608)</f>
        <v>4333.64264</v>
      </c>
    </row>
    <row r="611" spans="2:7">
      <c r="B611" s="1249"/>
      <c r="C611" s="1250"/>
      <c r="D611" s="643" t="s">
        <v>299</v>
      </c>
      <c r="E611" s="643"/>
      <c r="F611" s="1253"/>
      <c r="G611" s="646">
        <v>0</v>
      </c>
    </row>
    <row r="612" spans="2:7" ht="15.75" thickBot="1">
      <c r="B612" s="1251"/>
      <c r="C612" s="1252"/>
      <c r="D612" s="647" t="s">
        <v>300</v>
      </c>
      <c r="E612" s="648"/>
      <c r="F612" s="1254"/>
      <c r="G612" s="649">
        <f>SUM(G609:G611)</f>
        <v>4661.7626399999999</v>
      </c>
    </row>
    <row r="613" spans="2:7" ht="15.75" thickBot="1"/>
    <row r="614" spans="2:7" ht="37.5" customHeight="1">
      <c r="B614" s="924" t="s">
        <v>1602</v>
      </c>
      <c r="C614" s="644" t="s">
        <v>1596</v>
      </c>
      <c r="D614" s="154" t="s">
        <v>21</v>
      </c>
      <c r="E614" s="155" t="s">
        <v>291</v>
      </c>
      <c r="F614" s="156" t="s">
        <v>292</v>
      </c>
      <c r="G614" s="157" t="s">
        <v>293</v>
      </c>
    </row>
    <row r="615" spans="2:7">
      <c r="B615" s="142" t="s">
        <v>335</v>
      </c>
      <c r="C615" s="312" t="s">
        <v>309</v>
      </c>
      <c r="D615" s="140" t="s">
        <v>296</v>
      </c>
      <c r="E615" s="141">
        <v>0.1</v>
      </c>
      <c r="F615" s="141">
        <v>17.32</v>
      </c>
      <c r="G615" s="149">
        <f>E615*F615</f>
        <v>1.7320000000000002</v>
      </c>
    </row>
    <row r="616" spans="2:7" ht="24">
      <c r="B616" s="142" t="s">
        <v>1278</v>
      </c>
      <c r="C616" s="312" t="s">
        <v>1627</v>
      </c>
      <c r="D616" s="140" t="s">
        <v>296</v>
      </c>
      <c r="E616" s="141">
        <v>1</v>
      </c>
      <c r="F616" s="141">
        <v>225</v>
      </c>
      <c r="G616" s="149">
        <f>E616*F616</f>
        <v>225</v>
      </c>
    </row>
    <row r="617" spans="2:7">
      <c r="B617" s="1247"/>
      <c r="C617" s="1248"/>
      <c r="D617" s="640" t="s">
        <v>297</v>
      </c>
      <c r="E617" s="640"/>
      <c r="F617" s="1253"/>
      <c r="G617" s="645">
        <f>SUM(G615)</f>
        <v>1.7320000000000002</v>
      </c>
    </row>
    <row r="618" spans="2:7">
      <c r="B618" s="1249"/>
      <c r="C618" s="1250"/>
      <c r="D618" s="641" t="s">
        <v>298</v>
      </c>
      <c r="E618" s="642"/>
      <c r="F618" s="1253"/>
      <c r="G618" s="645">
        <f>SUM(G616)</f>
        <v>225</v>
      </c>
    </row>
    <row r="619" spans="2:7">
      <c r="B619" s="1249"/>
      <c r="C619" s="1250"/>
      <c r="D619" s="643" t="s">
        <v>299</v>
      </c>
      <c r="E619" s="643"/>
      <c r="F619" s="1253"/>
      <c r="G619" s="646">
        <v>0</v>
      </c>
    </row>
    <row r="620" spans="2:7" ht="15.75" thickBot="1">
      <c r="B620" s="1251"/>
      <c r="C620" s="1252"/>
      <c r="D620" s="647" t="s">
        <v>300</v>
      </c>
      <c r="E620" s="648"/>
      <c r="F620" s="1254"/>
      <c r="G620" s="649">
        <f>SUM(G617:G619)</f>
        <v>226.732</v>
      </c>
    </row>
    <row r="621" spans="2:7" ht="15.75" thickBot="1"/>
    <row r="622" spans="2:7" ht="30" customHeight="1">
      <c r="B622" s="924" t="s">
        <v>1603</v>
      </c>
      <c r="C622" s="644" t="s">
        <v>40</v>
      </c>
      <c r="D622" s="154" t="s">
        <v>21</v>
      </c>
      <c r="E622" s="155" t="s">
        <v>291</v>
      </c>
      <c r="F622" s="156" t="s">
        <v>292</v>
      </c>
      <c r="G622" s="157" t="s">
        <v>293</v>
      </c>
    </row>
    <row r="623" spans="2:7" ht="12" customHeight="1">
      <c r="B623" s="142" t="s">
        <v>614</v>
      </c>
      <c r="C623" s="312" t="s">
        <v>1528</v>
      </c>
      <c r="D623" s="140" t="s">
        <v>948</v>
      </c>
      <c r="E623" s="141" t="s">
        <v>1529</v>
      </c>
      <c r="F623" s="141" t="s">
        <v>1530</v>
      </c>
      <c r="G623" s="149">
        <f t="shared" ref="G623:G624" si="11">E623*F623</f>
        <v>9.3461999999999996</v>
      </c>
    </row>
    <row r="624" spans="2:7" ht="19.5" customHeight="1">
      <c r="B624" s="142" t="s">
        <v>335</v>
      </c>
      <c r="C624" s="312" t="s">
        <v>309</v>
      </c>
      <c r="D624" s="140" t="s">
        <v>296</v>
      </c>
      <c r="E624" s="141" t="s">
        <v>1531</v>
      </c>
      <c r="F624" s="141">
        <v>17.32</v>
      </c>
      <c r="G624" s="149">
        <f t="shared" si="11"/>
        <v>0.25979999999999998</v>
      </c>
    </row>
    <row r="625" spans="2:7" ht="24">
      <c r="B625" s="142" t="s">
        <v>1628</v>
      </c>
      <c r="C625" s="312" t="s">
        <v>1533</v>
      </c>
      <c r="D625" s="140" t="s">
        <v>1534</v>
      </c>
      <c r="E625" s="141" t="s">
        <v>1535</v>
      </c>
      <c r="F625" s="141" t="s">
        <v>1536</v>
      </c>
      <c r="G625" s="149">
        <f>E625*F625</f>
        <v>0.12756600000000001</v>
      </c>
    </row>
    <row r="626" spans="2:7" ht="24">
      <c r="B626" s="142" t="s">
        <v>1629</v>
      </c>
      <c r="C626" s="139" t="s">
        <v>1538</v>
      </c>
      <c r="D626" s="140" t="s">
        <v>1539</v>
      </c>
      <c r="E626" s="141" t="s">
        <v>1540</v>
      </c>
      <c r="F626" s="141" t="s">
        <v>1541</v>
      </c>
      <c r="G626" s="149">
        <f>E626*F626</f>
        <v>0.76600999999999997</v>
      </c>
    </row>
    <row r="627" spans="2:7">
      <c r="B627" s="1247"/>
      <c r="C627" s="1248"/>
      <c r="D627" s="640" t="s">
        <v>297</v>
      </c>
      <c r="E627" s="640"/>
      <c r="F627" s="1253"/>
      <c r="G627" s="645">
        <f>SUM(G624)</f>
        <v>0.25979999999999998</v>
      </c>
    </row>
    <row r="628" spans="2:7">
      <c r="B628" s="1249"/>
      <c r="C628" s="1250"/>
      <c r="D628" s="641" t="s">
        <v>298</v>
      </c>
      <c r="E628" s="642"/>
      <c r="F628" s="1253"/>
      <c r="G628" s="645">
        <f>G623</f>
        <v>9.3461999999999996</v>
      </c>
    </row>
    <row r="629" spans="2:7">
      <c r="B629" s="1249"/>
      <c r="C629" s="1250"/>
      <c r="D629" s="643" t="s">
        <v>299</v>
      </c>
      <c r="E629" s="643"/>
      <c r="F629" s="1253"/>
      <c r="G629" s="646">
        <f>SUM(G625:G626)</f>
        <v>0.89357599999999993</v>
      </c>
    </row>
    <row r="630" spans="2:7" ht="15.75" thickBot="1">
      <c r="B630" s="1251"/>
      <c r="C630" s="1252"/>
      <c r="D630" s="647" t="s">
        <v>300</v>
      </c>
      <c r="E630" s="648"/>
      <c r="F630" s="1254"/>
      <c r="G630" s="649">
        <f>SUM(G627:G629)</f>
        <v>10.499575999999999</v>
      </c>
    </row>
    <row r="631" spans="2:7" ht="15.75" thickBot="1"/>
    <row r="632" spans="2:7" ht="29.25" customHeight="1">
      <c r="B632" s="924" t="s">
        <v>1604</v>
      </c>
      <c r="C632" s="644" t="str">
        <f>'ESC. MUN. ANDRE VIDAL'!C48</f>
        <v>CAIXA D´ÁGUA EM POLIETILENO, 1000 LITROS, COM ACESSÓRIOS</v>
      </c>
      <c r="D632" s="154" t="s">
        <v>21</v>
      </c>
      <c r="E632" s="155" t="s">
        <v>291</v>
      </c>
      <c r="F632" s="156" t="s">
        <v>292</v>
      </c>
      <c r="G632" s="157" t="s">
        <v>293</v>
      </c>
    </row>
    <row r="633" spans="2:7">
      <c r="B633" s="142" t="s">
        <v>916</v>
      </c>
      <c r="C633" s="312" t="s">
        <v>309</v>
      </c>
      <c r="D633" s="140" t="s">
        <v>296</v>
      </c>
      <c r="E633" s="141">
        <v>1</v>
      </c>
      <c r="F633" s="141">
        <v>17.32</v>
      </c>
      <c r="G633" s="149">
        <f t="shared" ref="G633" si="12">E633*F633</f>
        <v>17.32</v>
      </c>
    </row>
    <row r="634" spans="2:7" ht="37.5" customHeight="1">
      <c r="B634" s="142" t="s">
        <v>614</v>
      </c>
      <c r="C634" s="139" t="str">
        <f>C632</f>
        <v>CAIXA D´ÁGUA EM POLIETILENO, 1000 LITROS, COM ACESSÓRIOS</v>
      </c>
      <c r="D634" s="140" t="s">
        <v>21</v>
      </c>
      <c r="E634" s="141">
        <v>1</v>
      </c>
      <c r="F634" s="141">
        <v>700</v>
      </c>
      <c r="G634" s="149">
        <f>E634*F634</f>
        <v>700</v>
      </c>
    </row>
    <row r="635" spans="2:7">
      <c r="B635" s="1247"/>
      <c r="C635" s="1248"/>
      <c r="D635" s="640" t="s">
        <v>297</v>
      </c>
      <c r="E635" s="640"/>
      <c r="F635" s="1253"/>
      <c r="G635" s="645">
        <f>G633</f>
        <v>17.32</v>
      </c>
    </row>
    <row r="636" spans="2:7">
      <c r="B636" s="1249"/>
      <c r="C636" s="1250"/>
      <c r="D636" s="641" t="s">
        <v>298</v>
      </c>
      <c r="E636" s="642"/>
      <c r="F636" s="1253"/>
      <c r="G636" s="645">
        <f>G634</f>
        <v>700</v>
      </c>
    </row>
    <row r="637" spans="2:7">
      <c r="B637" s="1249"/>
      <c r="C637" s="1250"/>
      <c r="D637" s="643" t="s">
        <v>299</v>
      </c>
      <c r="E637" s="643"/>
      <c r="F637" s="1253"/>
      <c r="G637" s="646">
        <v>0</v>
      </c>
    </row>
    <row r="638" spans="2:7" ht="15.75" thickBot="1">
      <c r="B638" s="1251"/>
      <c r="C638" s="1252"/>
      <c r="D638" s="647" t="s">
        <v>300</v>
      </c>
      <c r="E638" s="648"/>
      <c r="F638" s="1254"/>
      <c r="G638" s="649">
        <f>SUM(G635:G637)</f>
        <v>717.32</v>
      </c>
    </row>
    <row r="639" spans="2:7" ht="15.75" thickBot="1"/>
    <row r="640" spans="2:7" ht="36" customHeight="1">
      <c r="B640" s="924" t="s">
        <v>1605</v>
      </c>
      <c r="C640" s="644" t="str">
        <f>'ESCOLA MUNICIPAL DE QUEBEC E Q'!C129</f>
        <v>COBOGÓ 20 X 20 CM</v>
      </c>
      <c r="D640" s="154" t="s">
        <v>21</v>
      </c>
      <c r="E640" s="155" t="s">
        <v>291</v>
      </c>
      <c r="F640" s="156" t="s">
        <v>292</v>
      </c>
      <c r="G640" s="157" t="s">
        <v>293</v>
      </c>
    </row>
    <row r="641" spans="2:7">
      <c r="B641" s="142" t="s">
        <v>916</v>
      </c>
      <c r="C641" s="312" t="s">
        <v>309</v>
      </c>
      <c r="D641" s="140" t="s">
        <v>296</v>
      </c>
      <c r="E641" s="141">
        <v>1</v>
      </c>
      <c r="F641" s="141">
        <v>17.32</v>
      </c>
      <c r="G641" s="149">
        <f t="shared" ref="G641" si="13">E641*F641</f>
        <v>17.32</v>
      </c>
    </row>
    <row r="642" spans="2:7">
      <c r="B642" s="142" t="s">
        <v>614</v>
      </c>
      <c r="C642" s="139" t="str">
        <f>C640</f>
        <v>COBOGÓ 20 X 20 CM</v>
      </c>
      <c r="D642" s="140" t="s">
        <v>21</v>
      </c>
      <c r="E642" s="141">
        <v>1</v>
      </c>
      <c r="F642" s="141">
        <v>25</v>
      </c>
      <c r="G642" s="149">
        <f>E642*F642</f>
        <v>25</v>
      </c>
    </row>
    <row r="643" spans="2:7">
      <c r="B643" s="1247"/>
      <c r="C643" s="1248"/>
      <c r="D643" s="640" t="s">
        <v>297</v>
      </c>
      <c r="E643" s="640"/>
      <c r="F643" s="1253"/>
      <c r="G643" s="645">
        <f>G641</f>
        <v>17.32</v>
      </c>
    </row>
    <row r="644" spans="2:7">
      <c r="B644" s="1249"/>
      <c r="C644" s="1250"/>
      <c r="D644" s="641" t="s">
        <v>298</v>
      </c>
      <c r="E644" s="642"/>
      <c r="F644" s="1253"/>
      <c r="G644" s="645">
        <f>G642</f>
        <v>25</v>
      </c>
    </row>
    <row r="645" spans="2:7">
      <c r="B645" s="1249"/>
      <c r="C645" s="1250"/>
      <c r="D645" s="643" t="s">
        <v>299</v>
      </c>
      <c r="E645" s="643"/>
      <c r="F645" s="1253"/>
      <c r="G645" s="646">
        <v>0</v>
      </c>
    </row>
    <row r="646" spans="2:7" ht="15.75" thickBot="1">
      <c r="B646" s="1251"/>
      <c r="C646" s="1252"/>
      <c r="D646" s="647" t="s">
        <v>300</v>
      </c>
      <c r="E646" s="648"/>
      <c r="F646" s="1254"/>
      <c r="G646" s="649">
        <f>SUM(G643:G645)</f>
        <v>42.32</v>
      </c>
    </row>
    <row r="647" spans="2:7" ht="15.75" thickBot="1"/>
    <row r="648" spans="2:7">
      <c r="B648" s="924" t="s">
        <v>1606</v>
      </c>
      <c r="C648" s="644" t="s">
        <v>1551</v>
      </c>
      <c r="D648" s="154" t="s">
        <v>7</v>
      </c>
      <c r="E648" s="155" t="s">
        <v>291</v>
      </c>
      <c r="F648" s="156" t="s">
        <v>292</v>
      </c>
      <c r="G648" s="157" t="s">
        <v>293</v>
      </c>
    </row>
    <row r="649" spans="2:7" ht="24">
      <c r="B649" s="142" t="s">
        <v>614</v>
      </c>
      <c r="C649" s="312" t="s">
        <v>1553</v>
      </c>
      <c r="D649" s="140" t="s">
        <v>77</v>
      </c>
      <c r="E649" s="141">
        <v>1.67</v>
      </c>
      <c r="F649" s="141">
        <v>0.79</v>
      </c>
      <c r="G649" s="149">
        <f t="shared" ref="G649:G651" si="14">E649*F649</f>
        <v>1.3192999999999999</v>
      </c>
    </row>
    <row r="650" spans="2:7" ht="24">
      <c r="B650" s="142" t="s">
        <v>614</v>
      </c>
      <c r="C650" s="312" t="s">
        <v>1554</v>
      </c>
      <c r="D650" s="140" t="s">
        <v>317</v>
      </c>
      <c r="E650" s="141">
        <v>23.24</v>
      </c>
      <c r="F650" s="141">
        <v>0.31</v>
      </c>
      <c r="G650" s="149">
        <f t="shared" si="14"/>
        <v>7.2043999999999997</v>
      </c>
    </row>
    <row r="651" spans="2:7" ht="21">
      <c r="B651" s="142" t="s">
        <v>614</v>
      </c>
      <c r="C651" s="845" t="s">
        <v>1555</v>
      </c>
      <c r="D651" s="140" t="s">
        <v>317</v>
      </c>
      <c r="E651" s="141">
        <v>1.6E-2</v>
      </c>
      <c r="F651" s="141">
        <v>603.6</v>
      </c>
      <c r="G651" s="149">
        <f t="shared" si="14"/>
        <v>9.6576000000000004</v>
      </c>
    </row>
    <row r="652" spans="2:7">
      <c r="B652" s="142" t="s">
        <v>916</v>
      </c>
      <c r="C652" s="312" t="s">
        <v>309</v>
      </c>
      <c r="D652" s="140" t="s">
        <v>296</v>
      </c>
      <c r="E652" s="141">
        <v>1</v>
      </c>
      <c r="F652" s="141">
        <v>17.32</v>
      </c>
      <c r="G652" s="149">
        <f t="shared" ref="G652:G654" si="15">E652*F652</f>
        <v>17.32</v>
      </c>
    </row>
    <row r="653" spans="2:7">
      <c r="B653" s="142" t="s">
        <v>453</v>
      </c>
      <c r="C653" s="139" t="s">
        <v>454</v>
      </c>
      <c r="D653" s="140" t="s">
        <v>296</v>
      </c>
      <c r="E653" s="141">
        <v>1</v>
      </c>
      <c r="F653" s="141">
        <v>21.65</v>
      </c>
      <c r="G653" s="149">
        <f t="shared" si="15"/>
        <v>21.65</v>
      </c>
    </row>
    <row r="654" spans="2:7" ht="24">
      <c r="B654" s="142" t="s">
        <v>614</v>
      </c>
      <c r="C654" s="312" t="s">
        <v>1557</v>
      </c>
      <c r="D654" s="140" t="s">
        <v>1534</v>
      </c>
      <c r="E654" s="141">
        <v>0.43</v>
      </c>
      <c r="F654" s="141">
        <v>0.45</v>
      </c>
      <c r="G654" s="149">
        <f t="shared" si="15"/>
        <v>0.19350000000000001</v>
      </c>
    </row>
    <row r="655" spans="2:7" ht="24">
      <c r="B655" s="142" t="s">
        <v>614</v>
      </c>
      <c r="C655" s="312" t="s">
        <v>1556</v>
      </c>
      <c r="D655" s="140" t="s">
        <v>1534</v>
      </c>
      <c r="E655" s="141">
        <v>0.13</v>
      </c>
      <c r="F655" s="141">
        <v>0.45</v>
      </c>
      <c r="G655" s="149">
        <f>E655*F655</f>
        <v>5.8500000000000003E-2</v>
      </c>
    </row>
    <row r="656" spans="2:7">
      <c r="B656" s="1247"/>
      <c r="C656" s="1248"/>
      <c r="D656" s="640" t="s">
        <v>297</v>
      </c>
      <c r="E656" s="640"/>
      <c r="F656" s="1253"/>
      <c r="G656" s="645">
        <f>SUM(G652:G653)</f>
        <v>38.97</v>
      </c>
    </row>
    <row r="657" spans="2:7">
      <c r="B657" s="1249"/>
      <c r="C657" s="1250"/>
      <c r="D657" s="641" t="s">
        <v>298</v>
      </c>
      <c r="E657" s="642"/>
      <c r="F657" s="1253"/>
      <c r="G657" s="645">
        <f>SUM(G650,G649,G651)</f>
        <v>18.1813</v>
      </c>
    </row>
    <row r="658" spans="2:7">
      <c r="B658" s="1249"/>
      <c r="C658" s="1250"/>
      <c r="D658" s="643" t="s">
        <v>299</v>
      </c>
      <c r="E658" s="643"/>
      <c r="F658" s="1253"/>
      <c r="G658" s="646">
        <f>SUM(G654:G655)</f>
        <v>0.252</v>
      </c>
    </row>
    <row r="659" spans="2:7" ht="15.75" thickBot="1">
      <c r="B659" s="1251"/>
      <c r="C659" s="1252"/>
      <c r="D659" s="647" t="s">
        <v>300</v>
      </c>
      <c r="E659" s="648"/>
      <c r="F659" s="1254"/>
      <c r="G659" s="649">
        <f>SUM(G656:G658)</f>
        <v>57.403300000000002</v>
      </c>
    </row>
    <row r="661" spans="2:7" hidden="1"/>
    <row r="662" spans="2:7" ht="15.75" thickBot="1"/>
    <row r="663" spans="2:7" ht="51.75" customHeight="1">
      <c r="B663" s="924" t="s">
        <v>1607</v>
      </c>
      <c r="C663" s="644" t="str">
        <f>'ESCOLA MUNICIPAL DE QUEBEC E Q'!C145</f>
        <v>PINTURA EPOXI PRIME P/ CONCRETO, 2 DEMAOS</v>
      </c>
      <c r="D663" s="154" t="s">
        <v>21</v>
      </c>
      <c r="E663" s="155" t="s">
        <v>291</v>
      </c>
      <c r="F663" s="156" t="s">
        <v>292</v>
      </c>
      <c r="G663" s="157" t="s">
        <v>293</v>
      </c>
    </row>
    <row r="664" spans="2:7">
      <c r="B664" s="735" t="s">
        <v>348</v>
      </c>
      <c r="C664" s="730" t="s">
        <v>349</v>
      </c>
      <c r="D664" s="731" t="s">
        <v>296</v>
      </c>
      <c r="E664" s="732">
        <v>0.33</v>
      </c>
      <c r="F664" s="736">
        <v>22.54</v>
      </c>
      <c r="G664" s="734">
        <f>TRUNC(E664*F664,2)</f>
        <v>7.43</v>
      </c>
    </row>
    <row r="665" spans="2:7">
      <c r="B665" s="142" t="s">
        <v>614</v>
      </c>
      <c r="C665" s="139" t="str">
        <f>C663</f>
        <v>PINTURA EPOXI PRIME P/ CONCRETO, 2 DEMAOS</v>
      </c>
      <c r="D665" s="140" t="s">
        <v>21</v>
      </c>
      <c r="E665" s="141">
        <v>1</v>
      </c>
      <c r="F665" s="141">
        <v>75</v>
      </c>
      <c r="G665" s="149">
        <f>E665*F665</f>
        <v>75</v>
      </c>
    </row>
    <row r="666" spans="2:7">
      <c r="B666" s="1247"/>
      <c r="C666" s="1248"/>
      <c r="D666" s="640" t="s">
        <v>297</v>
      </c>
      <c r="E666" s="640"/>
      <c r="F666" s="1253"/>
      <c r="G666" s="645">
        <f>G664</f>
        <v>7.43</v>
      </c>
    </row>
    <row r="667" spans="2:7">
      <c r="B667" s="1249"/>
      <c r="C667" s="1250"/>
      <c r="D667" s="641" t="s">
        <v>298</v>
      </c>
      <c r="E667" s="642"/>
      <c r="F667" s="1253"/>
      <c r="G667" s="645">
        <f>G665</f>
        <v>75</v>
      </c>
    </row>
    <row r="668" spans="2:7">
      <c r="B668" s="1249"/>
      <c r="C668" s="1250"/>
      <c r="D668" s="643" t="s">
        <v>299</v>
      </c>
      <c r="E668" s="643"/>
      <c r="F668" s="1253"/>
      <c r="G668" s="646">
        <v>0</v>
      </c>
    </row>
    <row r="669" spans="2:7" ht="15.75" thickBot="1">
      <c r="B669" s="1251"/>
      <c r="C669" s="1252"/>
      <c r="D669" s="647" t="s">
        <v>300</v>
      </c>
      <c r="E669" s="648"/>
      <c r="F669" s="1254"/>
      <c r="G669" s="649">
        <f>SUM(G666:G668)</f>
        <v>82.43</v>
      </c>
    </row>
    <row r="670" spans="2:7" ht="15.75" thickBot="1"/>
    <row r="671" spans="2:7" ht="51" customHeight="1">
      <c r="B671" s="924" t="s">
        <v>1608</v>
      </c>
      <c r="C671" s="644" t="str">
        <f>'ESCOLA MUNICIPAL DE QUEBEC E Q'!C146</f>
        <v>PINTURA DE PROTEÇÃO SOBRE SUPERFÍCIES METÁLICAS COM APLICAÇÃO DE 02 DEMÃO DE TINTA EPOXI FUNDO ÓXIDO DE FERRO - R1</v>
      </c>
      <c r="D671" s="154" t="s">
        <v>21</v>
      </c>
      <c r="E671" s="155" t="s">
        <v>291</v>
      </c>
      <c r="F671" s="156" t="s">
        <v>292</v>
      </c>
      <c r="G671" s="157" t="s">
        <v>293</v>
      </c>
    </row>
    <row r="672" spans="2:7">
      <c r="B672" s="735" t="s">
        <v>348</v>
      </c>
      <c r="C672" s="730" t="s">
        <v>349</v>
      </c>
      <c r="D672" s="731" t="s">
        <v>296</v>
      </c>
      <c r="E672" s="732">
        <v>0.33</v>
      </c>
      <c r="F672" s="736">
        <v>22.54</v>
      </c>
      <c r="G672" s="734">
        <f>TRUNC(E672*F672,2)</f>
        <v>7.43</v>
      </c>
    </row>
    <row r="673" spans="2:7" ht="40.5" customHeight="1">
      <c r="B673" s="142" t="s">
        <v>614</v>
      </c>
      <c r="C673" s="139" t="str">
        <f>C671</f>
        <v>PINTURA DE PROTEÇÃO SOBRE SUPERFÍCIES METÁLICAS COM APLICAÇÃO DE 02 DEMÃO DE TINTA EPOXI FUNDO ÓXIDO DE FERRO - R1</v>
      </c>
      <c r="D673" s="140" t="s">
        <v>21</v>
      </c>
      <c r="E673" s="141">
        <v>1</v>
      </c>
      <c r="F673" s="141">
        <v>15</v>
      </c>
      <c r="G673" s="149">
        <f>E673*F673</f>
        <v>15</v>
      </c>
    </row>
    <row r="674" spans="2:7">
      <c r="B674" s="1247"/>
      <c r="C674" s="1248"/>
      <c r="D674" s="640" t="s">
        <v>297</v>
      </c>
      <c r="E674" s="640"/>
      <c r="F674" s="1253"/>
      <c r="G674" s="645">
        <f>G672</f>
        <v>7.43</v>
      </c>
    </row>
    <row r="675" spans="2:7">
      <c r="B675" s="1249"/>
      <c r="C675" s="1250"/>
      <c r="D675" s="641" t="s">
        <v>298</v>
      </c>
      <c r="E675" s="642"/>
      <c r="F675" s="1253"/>
      <c r="G675" s="645">
        <f>G673</f>
        <v>15</v>
      </c>
    </row>
    <row r="676" spans="2:7">
      <c r="B676" s="1249"/>
      <c r="C676" s="1250"/>
      <c r="D676" s="643" t="s">
        <v>299</v>
      </c>
      <c r="E676" s="643"/>
      <c r="F676" s="1253"/>
      <c r="G676" s="646">
        <v>0</v>
      </c>
    </row>
    <row r="677" spans="2:7" ht="15.75" thickBot="1">
      <c r="B677" s="1251"/>
      <c r="C677" s="1252"/>
      <c r="D677" s="647" t="s">
        <v>300</v>
      </c>
      <c r="E677" s="648"/>
      <c r="F677" s="1254"/>
      <c r="G677" s="649">
        <f>SUM(G674:G676)</f>
        <v>22.43</v>
      </c>
    </row>
    <row r="678" spans="2:7" ht="15.75" thickBot="1"/>
    <row r="679" spans="2:7">
      <c r="B679" s="924" t="s">
        <v>1609</v>
      </c>
      <c r="C679" s="644" t="str">
        <f>'ESCOLA MUNICIPAL DE QUEBEC E Q'!C154</f>
        <v>RALO HEMISFÉRICO, DN 150MM</v>
      </c>
      <c r="D679" s="154" t="s">
        <v>21</v>
      </c>
      <c r="E679" s="155" t="s">
        <v>291</v>
      </c>
      <c r="F679" s="156" t="s">
        <v>292</v>
      </c>
      <c r="G679" s="157" t="s">
        <v>293</v>
      </c>
    </row>
    <row r="680" spans="2:7" ht="24">
      <c r="B680" s="142" t="s">
        <v>1000</v>
      </c>
      <c r="C680" s="312" t="s">
        <v>307</v>
      </c>
      <c r="D680" s="152" t="s">
        <v>296</v>
      </c>
      <c r="E680" s="141">
        <v>0.3</v>
      </c>
      <c r="F680" s="151">
        <v>21.16</v>
      </c>
      <c r="G680" s="149">
        <f>E680*F680</f>
        <v>6.3479999999999999</v>
      </c>
    </row>
    <row r="681" spans="2:7">
      <c r="B681" s="142" t="s">
        <v>614</v>
      </c>
      <c r="C681" s="139" t="str">
        <f>C679</f>
        <v>RALO HEMISFÉRICO, DN 150MM</v>
      </c>
      <c r="D681" s="846" t="s">
        <v>21</v>
      </c>
      <c r="E681" s="141">
        <v>1</v>
      </c>
      <c r="F681" s="151">
        <v>74</v>
      </c>
      <c r="G681" s="149">
        <f>E681*F681</f>
        <v>74</v>
      </c>
    </row>
    <row r="682" spans="2:7">
      <c r="B682" s="1247"/>
      <c r="C682" s="1248"/>
      <c r="D682" s="640" t="s">
        <v>297</v>
      </c>
      <c r="E682" s="640"/>
      <c r="F682" s="1253"/>
      <c r="G682" s="645">
        <f>G680</f>
        <v>6.3479999999999999</v>
      </c>
    </row>
    <row r="683" spans="2:7">
      <c r="B683" s="1249"/>
      <c r="C683" s="1250"/>
      <c r="D683" s="641" t="s">
        <v>298</v>
      </c>
      <c r="E683" s="642"/>
      <c r="F683" s="1253"/>
      <c r="G683" s="645">
        <f>G681</f>
        <v>74</v>
      </c>
    </row>
    <row r="684" spans="2:7">
      <c r="B684" s="1249"/>
      <c r="C684" s="1250"/>
      <c r="D684" s="643" t="s">
        <v>299</v>
      </c>
      <c r="E684" s="643"/>
      <c r="F684" s="1253"/>
      <c r="G684" s="646">
        <v>0</v>
      </c>
    </row>
    <row r="685" spans="2:7" ht="15.75" thickBot="1">
      <c r="B685" s="1251"/>
      <c r="C685" s="1252"/>
      <c r="D685" s="647" t="s">
        <v>300</v>
      </c>
      <c r="E685" s="648"/>
      <c r="F685" s="1254"/>
      <c r="G685" s="649">
        <f>SUM(G682:G684)</f>
        <v>80.347999999999999</v>
      </c>
    </row>
    <row r="686" spans="2:7" ht="15.75" thickBot="1"/>
    <row r="687" spans="2:7" ht="30" customHeight="1">
      <c r="B687" s="924" t="s">
        <v>1610</v>
      </c>
      <c r="C687" s="644" t="str">
        <f>'ESCOLA MUNICIPAL DE QUEBEC E Q'!C177</f>
        <v>LUMINARIA QUADRA POLIESPORTIVA 500W, FORNECIMENTO E INSTALAÇÃO</v>
      </c>
      <c r="D687" s="154" t="s">
        <v>21</v>
      </c>
      <c r="E687" s="155" t="s">
        <v>291</v>
      </c>
      <c r="F687" s="156" t="s">
        <v>292</v>
      </c>
      <c r="G687" s="157" t="s">
        <v>293</v>
      </c>
    </row>
    <row r="688" spans="2:7">
      <c r="B688" s="729" t="s">
        <v>453</v>
      </c>
      <c r="C688" s="754" t="s">
        <v>660</v>
      </c>
      <c r="D688" s="753" t="s">
        <v>296</v>
      </c>
      <c r="E688" s="755">
        <v>1</v>
      </c>
      <c r="F688" s="755">
        <v>21.65</v>
      </c>
      <c r="G688" s="766">
        <f t="shared" ref="G688" si="16">TRUNC(E688*F688,2)</f>
        <v>21.65</v>
      </c>
    </row>
    <row r="689" spans="2:7" ht="24">
      <c r="B689" s="142" t="s">
        <v>614</v>
      </c>
      <c r="C689" s="139" t="str">
        <f>C687</f>
        <v>LUMINARIA QUADRA POLIESPORTIVA 500W, FORNECIMENTO E INSTALAÇÃO</v>
      </c>
      <c r="D689" s="846" t="s">
        <v>21</v>
      </c>
      <c r="E689" s="141">
        <v>1</v>
      </c>
      <c r="F689" s="141">
        <v>550</v>
      </c>
      <c r="G689" s="149">
        <f>E689*F689</f>
        <v>550</v>
      </c>
    </row>
    <row r="690" spans="2:7">
      <c r="B690" s="1247"/>
      <c r="C690" s="1248"/>
      <c r="D690" s="640" t="s">
        <v>297</v>
      </c>
      <c r="E690" s="640"/>
      <c r="F690" s="1253"/>
      <c r="G690" s="645">
        <f>G688</f>
        <v>21.65</v>
      </c>
    </row>
    <row r="691" spans="2:7">
      <c r="B691" s="1249"/>
      <c r="C691" s="1250"/>
      <c r="D691" s="641" t="s">
        <v>298</v>
      </c>
      <c r="E691" s="642"/>
      <c r="F691" s="1253"/>
      <c r="G691" s="645">
        <f>G689</f>
        <v>550</v>
      </c>
    </row>
    <row r="692" spans="2:7">
      <c r="B692" s="1249"/>
      <c r="C692" s="1250"/>
      <c r="D692" s="643" t="s">
        <v>299</v>
      </c>
      <c r="E692" s="643"/>
      <c r="F692" s="1253"/>
      <c r="G692" s="646">
        <v>0</v>
      </c>
    </row>
    <row r="693" spans="2:7" ht="15.75" thickBot="1">
      <c r="B693" s="1251"/>
      <c r="C693" s="1252"/>
      <c r="D693" s="647" t="s">
        <v>300</v>
      </c>
      <c r="E693" s="648"/>
      <c r="F693" s="1254"/>
      <c r="G693" s="649">
        <f>SUM(G690:G692)</f>
        <v>571.65</v>
      </c>
    </row>
    <row r="695" spans="2:7" ht="15.75" thickBot="1"/>
    <row r="696" spans="2:7">
      <c r="B696" s="924" t="s">
        <v>1611</v>
      </c>
      <c r="C696" s="644" t="str">
        <f>'ESCOLA MUNICIPAL DE QUEBEC E Q'!C181</f>
        <v xml:space="preserve">CAIXA DE EQUALIZAÇAO DE POTÊNCIAS DE EMBUTIR </v>
      </c>
      <c r="D696" s="154" t="s">
        <v>21</v>
      </c>
      <c r="E696" s="155" t="s">
        <v>291</v>
      </c>
      <c r="F696" s="156" t="s">
        <v>292</v>
      </c>
      <c r="G696" s="157" t="s">
        <v>293</v>
      </c>
    </row>
    <row r="697" spans="2:7">
      <c r="B697" s="729" t="s">
        <v>453</v>
      </c>
      <c r="C697" s="754" t="s">
        <v>660</v>
      </c>
      <c r="D697" s="753" t="s">
        <v>296</v>
      </c>
      <c r="E697" s="755">
        <v>1</v>
      </c>
      <c r="F697" s="755">
        <v>21.84</v>
      </c>
      <c r="G697" s="766">
        <f t="shared" ref="G697" si="17">TRUNC(E697*F697,2)</f>
        <v>21.84</v>
      </c>
    </row>
    <row r="698" spans="2:7">
      <c r="B698" s="142" t="s">
        <v>614</v>
      </c>
      <c r="C698" s="139" t="str">
        <f>C696</f>
        <v xml:space="preserve">CAIXA DE EQUALIZAÇAO DE POTÊNCIAS DE EMBUTIR </v>
      </c>
      <c r="D698" s="846" t="s">
        <v>21</v>
      </c>
      <c r="E698" s="141">
        <v>1</v>
      </c>
      <c r="F698" s="141">
        <v>1002</v>
      </c>
      <c r="G698" s="149">
        <f>E698*F698</f>
        <v>1002</v>
      </c>
    </row>
    <row r="699" spans="2:7">
      <c r="B699" s="1247"/>
      <c r="C699" s="1248"/>
      <c r="D699" s="640" t="s">
        <v>297</v>
      </c>
      <c r="E699" s="640"/>
      <c r="F699" s="1253"/>
      <c r="G699" s="645">
        <f>G697</f>
        <v>21.84</v>
      </c>
    </row>
    <row r="700" spans="2:7">
      <c r="B700" s="1249"/>
      <c r="C700" s="1250"/>
      <c r="D700" s="641" t="s">
        <v>298</v>
      </c>
      <c r="E700" s="642"/>
      <c r="F700" s="1253"/>
      <c r="G700" s="645">
        <f>G698</f>
        <v>1002</v>
      </c>
    </row>
    <row r="701" spans="2:7">
      <c r="B701" s="1249"/>
      <c r="C701" s="1250"/>
      <c r="D701" s="643" t="s">
        <v>299</v>
      </c>
      <c r="E701" s="643"/>
      <c r="F701" s="1253"/>
      <c r="G701" s="646">
        <v>0</v>
      </c>
    </row>
    <row r="702" spans="2:7" ht="15.75" thickBot="1">
      <c r="B702" s="1251"/>
      <c r="C702" s="1252"/>
      <c r="D702" s="647" t="s">
        <v>300</v>
      </c>
      <c r="E702" s="648"/>
      <c r="F702" s="1254"/>
      <c r="G702" s="649">
        <f>SUM(G699:G701)</f>
        <v>1023.84</v>
      </c>
    </row>
    <row r="703" spans="2:7" ht="15.75" thickBot="1"/>
    <row r="704" spans="2:7" ht="33.75" customHeight="1">
      <c r="B704" s="924" t="s">
        <v>1612</v>
      </c>
      <c r="C704" s="644" t="str">
        <f>'ESCOLA MUNICIPAL DE QUEBEC E Q'!C188</f>
        <v>CONECTOR DE BRONZE PARA 2 CABOS  5/8" TEL  580</v>
      </c>
      <c r="D704" s="154" t="s">
        <v>21</v>
      </c>
      <c r="E704" s="155" t="s">
        <v>291</v>
      </c>
      <c r="F704" s="156" t="s">
        <v>292</v>
      </c>
      <c r="G704" s="157" t="s">
        <v>293</v>
      </c>
    </row>
    <row r="705" spans="2:7">
      <c r="B705" s="142" t="s">
        <v>614</v>
      </c>
      <c r="C705" s="139" t="str">
        <f>C704</f>
        <v>CONECTOR DE BRONZE PARA 2 CABOS  5/8" TEL  580</v>
      </c>
      <c r="D705" s="846" t="s">
        <v>21</v>
      </c>
      <c r="E705" s="141">
        <v>1</v>
      </c>
      <c r="F705" s="141">
        <v>9.58</v>
      </c>
      <c r="G705" s="149">
        <f>E705*F705</f>
        <v>9.58</v>
      </c>
    </row>
    <row r="706" spans="2:7">
      <c r="B706" s="1247"/>
      <c r="C706" s="1248"/>
      <c r="D706" s="640" t="s">
        <v>297</v>
      </c>
      <c r="E706" s="640"/>
      <c r="F706" s="1253"/>
      <c r="G706" s="645">
        <v>0</v>
      </c>
    </row>
    <row r="707" spans="2:7">
      <c r="B707" s="1249"/>
      <c r="C707" s="1250"/>
      <c r="D707" s="641" t="s">
        <v>298</v>
      </c>
      <c r="E707" s="642"/>
      <c r="F707" s="1253"/>
      <c r="G707" s="645">
        <f>G705</f>
        <v>9.58</v>
      </c>
    </row>
    <row r="708" spans="2:7">
      <c r="B708" s="1249"/>
      <c r="C708" s="1250"/>
      <c r="D708" s="643" t="s">
        <v>299</v>
      </c>
      <c r="E708" s="643"/>
      <c r="F708" s="1253"/>
      <c r="G708" s="646">
        <v>0</v>
      </c>
    </row>
    <row r="709" spans="2:7" ht="15.75" thickBot="1">
      <c r="B709" s="1251"/>
      <c r="C709" s="1252"/>
      <c r="D709" s="647" t="s">
        <v>300</v>
      </c>
      <c r="E709" s="648"/>
      <c r="F709" s="1254"/>
      <c r="G709" s="649">
        <f>SUM(G706:G708)</f>
        <v>9.58</v>
      </c>
    </row>
    <row r="711" spans="2:7" ht="80.25" hidden="1" customHeight="1">
      <c r="B711" s="153" t="s">
        <v>706</v>
      </c>
      <c r="C711" s="324" t="s">
        <v>711</v>
      </c>
      <c r="D711" s="154" t="s">
        <v>21</v>
      </c>
      <c r="E711" s="155" t="s">
        <v>291</v>
      </c>
      <c r="F711" s="156" t="s">
        <v>292</v>
      </c>
      <c r="G711" s="157" t="s">
        <v>293</v>
      </c>
    </row>
    <row r="712" spans="2:7" ht="24" hidden="1">
      <c r="B712" s="142" t="s">
        <v>1558</v>
      </c>
      <c r="C712" s="139" t="s">
        <v>1559</v>
      </c>
      <c r="D712" s="846" t="s">
        <v>7</v>
      </c>
      <c r="E712" s="141">
        <v>1.0203</v>
      </c>
      <c r="F712" s="141">
        <v>35.58</v>
      </c>
      <c r="G712" s="149">
        <f>E712*F712</f>
        <v>36.302273999999997</v>
      </c>
    </row>
    <row r="713" spans="2:7" ht="24" hidden="1">
      <c r="B713" s="142" t="s">
        <v>1560</v>
      </c>
      <c r="C713" s="139" t="s">
        <v>1561</v>
      </c>
      <c r="D713" s="846" t="s">
        <v>77</v>
      </c>
      <c r="E713" s="141">
        <v>0.61050000000000004</v>
      </c>
      <c r="F713" s="141">
        <v>73.61</v>
      </c>
      <c r="G713" s="149">
        <f t="shared" ref="G713:G718" si="18">E713*F713</f>
        <v>44.938905000000005</v>
      </c>
    </row>
    <row r="714" spans="2:7" ht="24" hidden="1">
      <c r="B714" s="142" t="s">
        <v>1562</v>
      </c>
      <c r="C714" s="139" t="s">
        <v>1563</v>
      </c>
      <c r="D714" s="846" t="s">
        <v>77</v>
      </c>
      <c r="E714" s="141">
        <v>0.87009999999999998</v>
      </c>
      <c r="F714" s="141">
        <v>43.94</v>
      </c>
      <c r="G714" s="149">
        <f t="shared" si="18"/>
        <v>38.232194</v>
      </c>
    </row>
    <row r="715" spans="2:7" hidden="1">
      <c r="B715" s="142" t="s">
        <v>1564</v>
      </c>
      <c r="C715" s="139" t="s">
        <v>1565</v>
      </c>
      <c r="D715" s="846" t="s">
        <v>317</v>
      </c>
      <c r="E715" s="141">
        <v>2.5000000000000001E-3</v>
      </c>
      <c r="F715" s="141">
        <v>29.29</v>
      </c>
      <c r="G715" s="149">
        <f t="shared" si="18"/>
        <v>7.3224999999999998E-2</v>
      </c>
    </row>
    <row r="716" spans="2:7" ht="24" hidden="1">
      <c r="B716" s="142" t="s">
        <v>1566</v>
      </c>
      <c r="C716" s="139" t="s">
        <v>1567</v>
      </c>
      <c r="D716" s="846" t="s">
        <v>317</v>
      </c>
      <c r="E716" s="141">
        <v>7.9699999999999993E-2</v>
      </c>
      <c r="F716" s="141">
        <v>27.6</v>
      </c>
      <c r="G716" s="149">
        <f t="shared" si="18"/>
        <v>2.1997200000000001</v>
      </c>
    </row>
    <row r="717" spans="2:7" hidden="1">
      <c r="B717" s="142" t="s">
        <v>1568</v>
      </c>
      <c r="C717" s="139" t="s">
        <v>321</v>
      </c>
      <c r="D717" s="846" t="s">
        <v>296</v>
      </c>
      <c r="E717" s="141">
        <v>0.97740000000000005</v>
      </c>
      <c r="F717" s="141">
        <v>21.53</v>
      </c>
      <c r="G717" s="149">
        <f t="shared" si="18"/>
        <v>21.043422000000003</v>
      </c>
    </row>
    <row r="718" spans="2:7" hidden="1">
      <c r="B718" s="142" t="s">
        <v>916</v>
      </c>
      <c r="C718" s="139" t="s">
        <v>309</v>
      </c>
      <c r="D718" s="846" t="s">
        <v>296</v>
      </c>
      <c r="E718" s="141">
        <v>0.99739999999999995</v>
      </c>
      <c r="F718" s="141">
        <v>17.32</v>
      </c>
      <c r="G718" s="149">
        <f t="shared" si="18"/>
        <v>17.274968000000001</v>
      </c>
    </row>
    <row r="719" spans="2:7" ht="36" hidden="1">
      <c r="B719" s="142" t="s">
        <v>1569</v>
      </c>
      <c r="C719" s="139" t="s">
        <v>1570</v>
      </c>
      <c r="D719" s="846" t="s">
        <v>15</v>
      </c>
      <c r="E719" s="141" t="s">
        <v>1571</v>
      </c>
      <c r="F719" s="141">
        <v>319.07</v>
      </c>
      <c r="G719" s="149">
        <f>E719*F719</f>
        <v>1.4358149999999998</v>
      </c>
    </row>
    <row r="720" spans="2:7" hidden="1">
      <c r="B720" s="1247"/>
      <c r="C720" s="1248"/>
      <c r="D720" s="640" t="s">
        <v>297</v>
      </c>
      <c r="E720" s="640"/>
      <c r="F720" s="1253"/>
      <c r="G720" s="645">
        <f>SUM(G717:G718)</f>
        <v>38.318390000000008</v>
      </c>
    </row>
    <row r="721" spans="2:7" hidden="1">
      <c r="B721" s="1249"/>
      <c r="C721" s="1250"/>
      <c r="D721" s="641" t="s">
        <v>298</v>
      </c>
      <c r="E721" s="642"/>
      <c r="F721" s="1253"/>
      <c r="G721" s="645">
        <f>SUM(G719,G712:G716)</f>
        <v>123.18213299999999</v>
      </c>
    </row>
    <row r="722" spans="2:7" hidden="1">
      <c r="B722" s="1249"/>
      <c r="C722" s="1250"/>
      <c r="D722" s="643" t="s">
        <v>299</v>
      </c>
      <c r="E722" s="643"/>
      <c r="F722" s="1253"/>
      <c r="G722" s="646">
        <v>0</v>
      </c>
    </row>
    <row r="723" spans="2:7" ht="15.75" hidden="1" thickBot="1">
      <c r="B723" s="1251"/>
      <c r="C723" s="1252"/>
      <c r="D723" s="647" t="s">
        <v>300</v>
      </c>
      <c r="E723" s="648"/>
      <c r="F723" s="1254"/>
      <c r="G723" s="649">
        <f>SUM(G720:G722)</f>
        <v>161.50052299999999</v>
      </c>
    </row>
    <row r="725" spans="2:7" ht="15.75" thickBot="1"/>
    <row r="726" spans="2:7" ht="42" customHeight="1">
      <c r="B726" s="924" t="s">
        <v>1613</v>
      </c>
      <c r="C726" s="324" t="s">
        <v>1592</v>
      </c>
      <c r="D726" s="154" t="s">
        <v>21</v>
      </c>
      <c r="E726" s="155" t="s">
        <v>291</v>
      </c>
      <c r="F726" s="156" t="s">
        <v>292</v>
      </c>
      <c r="G726" s="157" t="s">
        <v>293</v>
      </c>
    </row>
    <row r="727" spans="2:7">
      <c r="B727" s="142" t="s">
        <v>614</v>
      </c>
      <c r="C727" s="312" t="s">
        <v>1528</v>
      </c>
      <c r="D727" s="140" t="s">
        <v>948</v>
      </c>
      <c r="E727" s="141" t="s">
        <v>1529</v>
      </c>
      <c r="F727" s="141" t="s">
        <v>1530</v>
      </c>
      <c r="G727" s="149">
        <f t="shared" ref="G727:G728" si="19">E727*F727</f>
        <v>9.3461999999999996</v>
      </c>
    </row>
    <row r="728" spans="2:7">
      <c r="B728" s="142" t="s">
        <v>916</v>
      </c>
      <c r="C728" s="312" t="s">
        <v>309</v>
      </c>
      <c r="D728" s="140" t="s">
        <v>296</v>
      </c>
      <c r="E728" s="141" t="s">
        <v>1531</v>
      </c>
      <c r="F728" s="141">
        <v>17.32</v>
      </c>
      <c r="G728" s="149">
        <f t="shared" si="19"/>
        <v>0.25979999999999998</v>
      </c>
    </row>
    <row r="729" spans="2:7" ht="24">
      <c r="B729" s="142" t="s">
        <v>1532</v>
      </c>
      <c r="C729" s="312" t="s">
        <v>1533</v>
      </c>
      <c r="D729" s="140" t="s">
        <v>1534</v>
      </c>
      <c r="E729" s="141" t="s">
        <v>1535</v>
      </c>
      <c r="F729" s="141" t="s">
        <v>1536</v>
      </c>
      <c r="G729" s="149">
        <f>E729*F729</f>
        <v>0.12756600000000001</v>
      </c>
    </row>
    <row r="730" spans="2:7" ht="24">
      <c r="B730" s="142" t="s">
        <v>1537</v>
      </c>
      <c r="C730" s="139" t="s">
        <v>1538</v>
      </c>
      <c r="D730" s="140" t="s">
        <v>1539</v>
      </c>
      <c r="E730" s="141" t="s">
        <v>1540</v>
      </c>
      <c r="F730" s="141" t="s">
        <v>1541</v>
      </c>
      <c r="G730" s="149">
        <f>E730*F730</f>
        <v>0.76600999999999997</v>
      </c>
    </row>
    <row r="731" spans="2:7">
      <c r="B731" s="1247"/>
      <c r="C731" s="1248"/>
      <c r="D731" s="640" t="s">
        <v>297</v>
      </c>
      <c r="E731" s="640"/>
      <c r="F731" s="1253"/>
      <c r="G731" s="645">
        <f>SUM(G728)</f>
        <v>0.25979999999999998</v>
      </c>
    </row>
    <row r="732" spans="2:7">
      <c r="B732" s="1249"/>
      <c r="C732" s="1250"/>
      <c r="D732" s="641" t="s">
        <v>298</v>
      </c>
      <c r="E732" s="642"/>
      <c r="F732" s="1253"/>
      <c r="G732" s="645">
        <f>G727</f>
        <v>9.3461999999999996</v>
      </c>
    </row>
    <row r="733" spans="2:7">
      <c r="B733" s="1249"/>
      <c r="C733" s="1250"/>
      <c r="D733" s="643" t="s">
        <v>299</v>
      </c>
      <c r="E733" s="643"/>
      <c r="F733" s="1253"/>
      <c r="G733" s="646">
        <f>SUM(G729:G730)</f>
        <v>0.89357599999999993</v>
      </c>
    </row>
    <row r="734" spans="2:7" ht="15.75" thickBot="1">
      <c r="B734" s="1251"/>
      <c r="C734" s="1252"/>
      <c r="D734" s="647" t="s">
        <v>300</v>
      </c>
      <c r="E734" s="648"/>
      <c r="F734" s="1254"/>
      <c r="G734" s="649">
        <f>SUM(G731:G733)</f>
        <v>10.499575999999999</v>
      </c>
    </row>
    <row r="736" spans="2:7" hidden="1"/>
    <row r="737" spans="2:7" ht="15.75" thickBot="1"/>
    <row r="738" spans="2:7" ht="24">
      <c r="B738" s="924" t="s">
        <v>1614</v>
      </c>
      <c r="C738" s="644" t="str">
        <f>'ESCOLA MUNICIPAL DE QUEBEC E Q'!C99</f>
        <v xml:space="preserve">ESCAVAÇÃO MANUAL DE VALA COM PROFUNDIDADE MENOR OU IGUAL A 1,30 M. </v>
      </c>
      <c r="D738" s="154" t="s">
        <v>21</v>
      </c>
      <c r="E738" s="155" t="s">
        <v>291</v>
      </c>
      <c r="F738" s="156" t="s">
        <v>292</v>
      </c>
      <c r="G738" s="157" t="s">
        <v>293</v>
      </c>
    </row>
    <row r="739" spans="2:7">
      <c r="B739" s="142" t="s">
        <v>916</v>
      </c>
      <c r="C739" s="312" t="s">
        <v>309</v>
      </c>
      <c r="D739" s="140" t="s">
        <v>296</v>
      </c>
      <c r="E739" s="141">
        <v>4</v>
      </c>
      <c r="F739" s="151">
        <v>17.32</v>
      </c>
      <c r="G739" s="149">
        <f t="shared" ref="G739" si="20">E739*F739</f>
        <v>69.28</v>
      </c>
    </row>
    <row r="740" spans="2:7">
      <c r="B740" s="1247"/>
      <c r="C740" s="1248"/>
      <c r="D740" s="640" t="s">
        <v>297</v>
      </c>
      <c r="E740" s="640"/>
      <c r="F740" s="1253"/>
      <c r="G740" s="645">
        <f>G739</f>
        <v>69.28</v>
      </c>
    </row>
    <row r="741" spans="2:7">
      <c r="B741" s="1249"/>
      <c r="C741" s="1250"/>
      <c r="D741" s="641" t="s">
        <v>298</v>
      </c>
      <c r="E741" s="642"/>
      <c r="F741" s="1253"/>
      <c r="G741" s="645">
        <v>0</v>
      </c>
    </row>
    <row r="742" spans="2:7">
      <c r="B742" s="1249"/>
      <c r="C742" s="1250"/>
      <c r="D742" s="643" t="s">
        <v>299</v>
      </c>
      <c r="E742" s="643"/>
      <c r="F742" s="1253"/>
      <c r="G742" s="646">
        <v>0</v>
      </c>
    </row>
    <row r="743" spans="2:7" ht="15.75" thickBot="1">
      <c r="B743" s="1251"/>
      <c r="C743" s="1252"/>
      <c r="D743" s="647" t="s">
        <v>300</v>
      </c>
      <c r="E743" s="648"/>
      <c r="F743" s="1254"/>
      <c r="G743" s="649">
        <f>SUM(G740:G742)</f>
        <v>69.28</v>
      </c>
    </row>
    <row r="745" spans="2:7" hidden="1"/>
    <row r="746" spans="2:7" ht="48" hidden="1" customHeight="1">
      <c r="B746" s="153" t="s">
        <v>350</v>
      </c>
      <c r="C746" s="230" t="s">
        <v>343</v>
      </c>
      <c r="D746" s="154" t="s">
        <v>7</v>
      </c>
      <c r="E746" s="155" t="s">
        <v>291</v>
      </c>
      <c r="F746" s="156" t="s">
        <v>292</v>
      </c>
      <c r="G746" s="157" t="s">
        <v>293</v>
      </c>
    </row>
    <row r="747" spans="2:7" ht="35.25" hidden="1" customHeight="1">
      <c r="B747" s="142" t="s">
        <v>346</v>
      </c>
      <c r="C747" s="231" t="s">
        <v>347</v>
      </c>
      <c r="D747" s="142" t="s">
        <v>21</v>
      </c>
      <c r="E747" s="142">
        <v>0.33333299999999999</v>
      </c>
      <c r="F747" s="142">
        <v>0.49</v>
      </c>
      <c r="G747" s="232">
        <f>E747*F747</f>
        <v>0.16333317</v>
      </c>
    </row>
    <row r="748" spans="2:7" hidden="1">
      <c r="B748" s="138" t="s">
        <v>348</v>
      </c>
      <c r="C748" s="139" t="s">
        <v>349</v>
      </c>
      <c r="D748" s="142" t="s">
        <v>296</v>
      </c>
      <c r="E748" s="142">
        <v>0.13</v>
      </c>
      <c r="F748" s="142">
        <v>22.64</v>
      </c>
      <c r="G748" s="232">
        <f>E748*F748</f>
        <v>2.9432</v>
      </c>
    </row>
    <row r="749" spans="2:7" hidden="1">
      <c r="B749" s="233"/>
      <c r="C749" s="234"/>
      <c r="D749" s="1267" t="s">
        <v>297</v>
      </c>
      <c r="E749" s="1256"/>
      <c r="F749" s="174"/>
      <c r="G749" s="175">
        <f>G748</f>
        <v>2.9432</v>
      </c>
    </row>
    <row r="750" spans="2:7" hidden="1">
      <c r="B750" s="233"/>
      <c r="C750" s="234"/>
      <c r="D750" s="900" t="s">
        <v>298</v>
      </c>
      <c r="E750" s="164"/>
      <c r="F750" s="162"/>
      <c r="G750" s="163">
        <f>G747</f>
        <v>0.16333317</v>
      </c>
    </row>
    <row r="751" spans="2:7" hidden="1">
      <c r="B751" s="233"/>
      <c r="C751" s="234"/>
      <c r="D751" s="1266" t="s">
        <v>299</v>
      </c>
      <c r="E751" s="1246"/>
      <c r="F751" s="162"/>
      <c r="G751" s="163">
        <v>0</v>
      </c>
    </row>
    <row r="752" spans="2:7" ht="15.75" hidden="1" thickBot="1">
      <c r="B752" s="235"/>
      <c r="C752" s="236"/>
      <c r="D752" s="168" t="s">
        <v>300</v>
      </c>
      <c r="E752" s="169"/>
      <c r="F752" s="170"/>
      <c r="G752" s="171">
        <v>3.12</v>
      </c>
    </row>
    <row r="753" spans="2:7" ht="24" hidden="1" customHeight="1"/>
    <row r="754" spans="2:7" ht="42" hidden="1" customHeight="1">
      <c r="B754" s="153" t="s">
        <v>1073</v>
      </c>
      <c r="C754" s="230" t="s">
        <v>343</v>
      </c>
      <c r="D754" s="154" t="s">
        <v>7</v>
      </c>
      <c r="E754" s="155" t="s">
        <v>291</v>
      </c>
      <c r="F754" s="156" t="s">
        <v>292</v>
      </c>
      <c r="G754" s="157" t="s">
        <v>293</v>
      </c>
    </row>
    <row r="755" spans="2:7" ht="24.75" hidden="1" customHeight="1">
      <c r="B755" s="142" t="s">
        <v>346</v>
      </c>
      <c r="C755" s="231" t="s">
        <v>347</v>
      </c>
      <c r="D755" s="142" t="s">
        <v>21</v>
      </c>
      <c r="E755" s="142">
        <v>0.25</v>
      </c>
      <c r="F755" s="142">
        <v>0.48</v>
      </c>
      <c r="G755" s="232">
        <f>E755*F755</f>
        <v>0.12</v>
      </c>
    </row>
    <row r="756" spans="2:7" ht="15" hidden="1" customHeight="1">
      <c r="B756" s="138" t="s">
        <v>348</v>
      </c>
      <c r="C756" s="139" t="s">
        <v>349</v>
      </c>
      <c r="D756" s="142" t="s">
        <v>296</v>
      </c>
      <c r="E756" s="142">
        <v>0.14000000000000001</v>
      </c>
      <c r="F756" s="142">
        <v>22.64</v>
      </c>
      <c r="G756" s="232">
        <f>E756*F756</f>
        <v>3.1696000000000004</v>
      </c>
    </row>
    <row r="757" spans="2:7" ht="15" hidden="1" customHeight="1">
      <c r="B757" s="233"/>
      <c r="C757" s="234"/>
      <c r="D757" s="1267" t="s">
        <v>297</v>
      </c>
      <c r="E757" s="1256"/>
      <c r="F757" s="174"/>
      <c r="G757" s="175">
        <f>G756</f>
        <v>3.1696000000000004</v>
      </c>
    </row>
    <row r="758" spans="2:7" ht="15" hidden="1" customHeight="1">
      <c r="B758" s="233"/>
      <c r="C758" s="234"/>
      <c r="D758" s="902" t="s">
        <v>298</v>
      </c>
      <c r="E758" s="164"/>
      <c r="F758" s="162"/>
      <c r="G758" s="163">
        <f>G755</f>
        <v>0.12</v>
      </c>
    </row>
    <row r="759" spans="2:7" hidden="1">
      <c r="B759" s="233"/>
      <c r="C759" s="234"/>
      <c r="D759" s="1266" t="s">
        <v>299</v>
      </c>
      <c r="E759" s="1246"/>
      <c r="F759" s="162"/>
      <c r="G759" s="163">
        <v>0</v>
      </c>
    </row>
    <row r="760" spans="2:7" ht="15.75" hidden="1" thickBot="1">
      <c r="B760" s="235"/>
      <c r="C760" s="236"/>
      <c r="D760" s="168" t="s">
        <v>300</v>
      </c>
      <c r="E760" s="169"/>
      <c r="F760" s="170"/>
      <c r="G760" s="171">
        <f>SUM(G757:G759)</f>
        <v>3.2896000000000005</v>
      </c>
    </row>
    <row r="761" spans="2:7" ht="15.75" thickBot="1"/>
    <row r="762" spans="2:7" ht="15" hidden="1" customHeight="1">
      <c r="B762" s="153" t="s">
        <v>350</v>
      </c>
      <c r="C762" s="345" t="s">
        <v>326</v>
      </c>
      <c r="D762" s="154" t="s">
        <v>7</v>
      </c>
      <c r="E762" s="155" t="s">
        <v>291</v>
      </c>
      <c r="F762" s="156" t="s">
        <v>292</v>
      </c>
      <c r="G762" s="157" t="s">
        <v>293</v>
      </c>
    </row>
    <row r="763" spans="2:7" ht="15" hidden="1" customHeight="1">
      <c r="B763" s="142" t="s">
        <v>333</v>
      </c>
      <c r="C763" s="321" t="s">
        <v>334</v>
      </c>
      <c r="D763" s="142" t="s">
        <v>296</v>
      </c>
      <c r="E763" s="323">
        <v>0.9</v>
      </c>
      <c r="F763" s="323">
        <v>21.43</v>
      </c>
      <c r="G763" s="323">
        <f t="shared" ref="G763:G769" si="21">E763*F763</f>
        <v>19.286999999999999</v>
      </c>
    </row>
    <row r="764" spans="2:7" ht="15" hidden="1" customHeight="1">
      <c r="B764" s="138" t="s">
        <v>335</v>
      </c>
      <c r="C764" s="139" t="s">
        <v>309</v>
      </c>
      <c r="D764" s="142" t="s">
        <v>296</v>
      </c>
      <c r="E764" s="323">
        <v>0.18</v>
      </c>
      <c r="F764" s="323">
        <v>17.32</v>
      </c>
      <c r="G764" s="323">
        <f t="shared" si="21"/>
        <v>3.1175999999999999</v>
      </c>
    </row>
    <row r="765" spans="2:7" ht="15" hidden="1" customHeight="1">
      <c r="B765" s="142" t="s">
        <v>614</v>
      </c>
      <c r="C765" s="322" t="s">
        <v>327</v>
      </c>
      <c r="D765" s="152" t="s">
        <v>77</v>
      </c>
      <c r="E765" s="323">
        <v>0.9</v>
      </c>
      <c r="F765" s="323">
        <v>28.93</v>
      </c>
      <c r="G765" s="232">
        <f t="shared" si="21"/>
        <v>26.036999999999999</v>
      </c>
    </row>
    <row r="766" spans="2:7" ht="15.75" hidden="1" customHeight="1" thickBot="1">
      <c r="B766" s="142" t="s">
        <v>328</v>
      </c>
      <c r="C766" s="297" t="s">
        <v>329</v>
      </c>
      <c r="D766" s="152" t="s">
        <v>21</v>
      </c>
      <c r="E766" s="323">
        <v>0.54</v>
      </c>
      <c r="F766" s="323">
        <v>12.63</v>
      </c>
      <c r="G766" s="232">
        <f t="shared" si="21"/>
        <v>6.8202000000000007</v>
      </c>
    </row>
    <row r="767" spans="2:7" ht="24" hidden="1">
      <c r="B767" s="142" t="s">
        <v>614</v>
      </c>
      <c r="C767" s="322" t="s">
        <v>330</v>
      </c>
      <c r="D767" s="152" t="s">
        <v>77</v>
      </c>
      <c r="E767" s="323">
        <v>0.18</v>
      </c>
      <c r="F767" s="323">
        <v>6.33</v>
      </c>
      <c r="G767" s="232">
        <f t="shared" si="21"/>
        <v>1.1394</v>
      </c>
    </row>
    <row r="768" spans="2:7" hidden="1">
      <c r="B768" s="142" t="s">
        <v>614</v>
      </c>
      <c r="C768" s="322" t="s">
        <v>331</v>
      </c>
      <c r="D768" s="152" t="s">
        <v>21</v>
      </c>
      <c r="E768" s="323">
        <v>1.08</v>
      </c>
      <c r="F768" s="323">
        <v>3.48</v>
      </c>
      <c r="G768" s="232">
        <f t="shared" si="21"/>
        <v>3.7584000000000004</v>
      </c>
    </row>
    <row r="769" spans="2:7" ht="48" hidden="1">
      <c r="B769" s="142" t="s">
        <v>614</v>
      </c>
      <c r="C769" s="258" t="s">
        <v>332</v>
      </c>
      <c r="D769" s="152" t="s">
        <v>21</v>
      </c>
      <c r="E769" s="323">
        <v>0.18</v>
      </c>
      <c r="F769" s="323">
        <v>55.54</v>
      </c>
      <c r="G769" s="232">
        <f t="shared" si="21"/>
        <v>9.9971999999999994</v>
      </c>
    </row>
    <row r="770" spans="2:7" hidden="1">
      <c r="B770" s="233"/>
      <c r="C770" s="234"/>
      <c r="D770" s="1267" t="s">
        <v>297</v>
      </c>
      <c r="E770" s="1256"/>
      <c r="F770" s="174"/>
      <c r="G770" s="175">
        <f>G767+G768</f>
        <v>4.8978000000000002</v>
      </c>
    </row>
    <row r="771" spans="2:7" hidden="1">
      <c r="B771" s="233"/>
      <c r="C771" s="234"/>
      <c r="D771" s="900" t="s">
        <v>298</v>
      </c>
      <c r="E771" s="164"/>
      <c r="F771" s="162"/>
      <c r="G771" s="163">
        <f>SUM(G765,G766,G767,G768,G769)</f>
        <v>47.752200000000002</v>
      </c>
    </row>
    <row r="772" spans="2:7" hidden="1">
      <c r="B772" s="233"/>
      <c r="C772" s="234"/>
      <c r="D772" s="1266" t="s">
        <v>299</v>
      </c>
      <c r="E772" s="1246"/>
      <c r="F772" s="162"/>
      <c r="G772" s="163">
        <v>0</v>
      </c>
    </row>
    <row r="773" spans="2:7" ht="15.75" hidden="1" thickBot="1">
      <c r="B773" s="235"/>
      <c r="C773" s="236"/>
      <c r="D773" s="168" t="s">
        <v>300</v>
      </c>
      <c r="E773" s="169"/>
      <c r="F773" s="170"/>
      <c r="G773" s="171">
        <f>SUM(G770:G772)</f>
        <v>52.650000000000006</v>
      </c>
    </row>
    <row r="774" spans="2:7" ht="34.5" customHeight="1">
      <c r="B774" s="924" t="s">
        <v>1630</v>
      </c>
      <c r="C774" s="324" t="str">
        <f>'ESC. JULIO MARIA'!C41</f>
        <v>CONCRETO CICLÓPICO FCK = 15MPA, 30% PEDRA DE MÃO EM VOLUME REAL, INCLUSIVE LANÇAMENTO.</v>
      </c>
      <c r="D774" s="154" t="s">
        <v>21</v>
      </c>
      <c r="E774" s="155" t="s">
        <v>291</v>
      </c>
      <c r="F774" s="156" t="s">
        <v>292</v>
      </c>
      <c r="G774" s="157" t="s">
        <v>293</v>
      </c>
    </row>
    <row r="775" spans="2:7" ht="24">
      <c r="B775" s="909" t="s">
        <v>1631</v>
      </c>
      <c r="C775" s="312" t="s">
        <v>1632</v>
      </c>
      <c r="D775" s="312" t="s">
        <v>15</v>
      </c>
      <c r="E775" s="141">
        <v>0.45429999999999998</v>
      </c>
      <c r="F775" s="151">
        <v>61.1</v>
      </c>
      <c r="G775" s="149">
        <f t="shared" ref="G775:G790" si="22">E775*F775</f>
        <v>27.757729999999999</v>
      </c>
    </row>
    <row r="776" spans="2:7">
      <c r="B776" s="312" t="s">
        <v>1633</v>
      </c>
      <c r="C776" s="312" t="s">
        <v>454</v>
      </c>
      <c r="D776" s="312" t="s">
        <v>296</v>
      </c>
      <c r="E776" s="141">
        <v>1.6701999999999999</v>
      </c>
      <c r="F776" s="151">
        <v>21.65</v>
      </c>
      <c r="G776" s="149">
        <f t="shared" si="22"/>
        <v>36.159829999999992</v>
      </c>
    </row>
    <row r="777" spans="2:7">
      <c r="B777" s="312" t="s">
        <v>916</v>
      </c>
      <c r="C777" s="312" t="s">
        <v>309</v>
      </c>
      <c r="D777" s="312" t="s">
        <v>296</v>
      </c>
      <c r="E777" s="141">
        <v>6.4683999999999999</v>
      </c>
      <c r="F777" s="151">
        <v>17.32</v>
      </c>
      <c r="G777" s="149">
        <f t="shared" si="22"/>
        <v>112.03268800000001</v>
      </c>
    </row>
    <row r="778" spans="2:7" ht="36">
      <c r="B778" s="312" t="s">
        <v>1634</v>
      </c>
      <c r="C778" s="312" t="s">
        <v>1635</v>
      </c>
      <c r="D778" s="312" t="s">
        <v>1534</v>
      </c>
      <c r="E778" s="141">
        <v>0.2198</v>
      </c>
      <c r="F778" s="151">
        <v>1.99</v>
      </c>
      <c r="G778" s="149">
        <f t="shared" si="22"/>
        <v>0.43740200000000001</v>
      </c>
    </row>
    <row r="779" spans="2:7" ht="36">
      <c r="B779" s="312" t="s">
        <v>1636</v>
      </c>
      <c r="C779" s="312" t="s">
        <v>1637</v>
      </c>
      <c r="D779" s="312" t="s">
        <v>1539</v>
      </c>
      <c r="E779" s="141">
        <v>0.63770000000000004</v>
      </c>
      <c r="F779" s="151">
        <v>0.42</v>
      </c>
      <c r="G779" s="149">
        <f t="shared" si="22"/>
        <v>0.26783400000000002</v>
      </c>
    </row>
    <row r="780" spans="2:7" ht="15" hidden="1" customHeight="1">
      <c r="B780" s="312" t="s">
        <v>1638</v>
      </c>
      <c r="C780" s="312"/>
      <c r="D780" s="312" t="s">
        <v>15</v>
      </c>
      <c r="E780" s="141"/>
      <c r="F780" s="151"/>
      <c r="G780" s="149">
        <f t="shared" si="22"/>
        <v>0</v>
      </c>
    </row>
    <row r="781" spans="2:7" ht="15" hidden="1" customHeight="1">
      <c r="B781" s="312"/>
      <c r="C781" s="312"/>
      <c r="D781" s="312"/>
      <c r="E781" s="141"/>
      <c r="F781" s="151"/>
      <c r="G781" s="149">
        <f t="shared" si="22"/>
        <v>0</v>
      </c>
    </row>
    <row r="782" spans="2:7" ht="24" hidden="1" customHeight="1">
      <c r="B782" s="312"/>
      <c r="C782" s="312"/>
      <c r="D782" s="312"/>
      <c r="E782" s="141"/>
      <c r="F782" s="151"/>
      <c r="G782" s="149">
        <f t="shared" si="22"/>
        <v>0</v>
      </c>
    </row>
    <row r="783" spans="2:7" ht="15" hidden="1" customHeight="1">
      <c r="B783" s="312"/>
      <c r="C783" s="312"/>
      <c r="D783" s="312"/>
      <c r="E783" s="141"/>
      <c r="F783" s="151"/>
      <c r="G783" s="149">
        <f t="shared" si="22"/>
        <v>0</v>
      </c>
    </row>
    <row r="784" spans="2:7" ht="24" hidden="1" customHeight="1">
      <c r="B784" s="312"/>
      <c r="C784" s="312"/>
      <c r="D784" s="312"/>
      <c r="E784" s="141"/>
      <c r="F784" s="151"/>
      <c r="G784" s="149">
        <f t="shared" si="22"/>
        <v>0</v>
      </c>
    </row>
    <row r="785" spans="2:7" ht="15" hidden="1" customHeight="1">
      <c r="B785" s="312"/>
      <c r="C785" s="312"/>
      <c r="D785" s="312"/>
      <c r="E785" s="141"/>
      <c r="F785" s="151"/>
      <c r="G785" s="149">
        <f t="shared" si="22"/>
        <v>0</v>
      </c>
    </row>
    <row r="786" spans="2:7" ht="15" hidden="1" customHeight="1">
      <c r="B786" s="312"/>
      <c r="C786" s="312"/>
      <c r="D786" s="312"/>
      <c r="E786" s="141"/>
      <c r="F786" s="151"/>
      <c r="G786" s="149">
        <f t="shared" si="22"/>
        <v>0</v>
      </c>
    </row>
    <row r="787" spans="2:7" ht="15" hidden="1" customHeight="1">
      <c r="B787" s="312"/>
      <c r="C787" s="312"/>
      <c r="D787" s="312"/>
      <c r="E787" s="141"/>
      <c r="F787" s="151"/>
      <c r="G787" s="149">
        <f t="shared" si="22"/>
        <v>0</v>
      </c>
    </row>
    <row r="788" spans="2:7" ht="15" hidden="1" customHeight="1">
      <c r="B788" s="312"/>
      <c r="C788" s="312"/>
      <c r="D788" s="312"/>
      <c r="E788" s="141"/>
      <c r="F788" s="151"/>
      <c r="G788" s="149">
        <f t="shared" si="22"/>
        <v>0</v>
      </c>
    </row>
    <row r="789" spans="2:7" ht="15.75" hidden="1" customHeight="1" thickBot="1">
      <c r="B789" s="312"/>
      <c r="C789" s="312"/>
      <c r="D789" s="312"/>
      <c r="E789" s="141"/>
      <c r="F789" s="151"/>
      <c r="G789" s="149">
        <f t="shared" si="22"/>
        <v>0</v>
      </c>
    </row>
    <row r="790" spans="2:7" ht="36">
      <c r="B790" s="312" t="s">
        <v>1638</v>
      </c>
      <c r="C790" s="312" t="s">
        <v>1639</v>
      </c>
      <c r="D790" s="312" t="s">
        <v>15</v>
      </c>
      <c r="E790" s="141">
        <v>0.80500000000000005</v>
      </c>
      <c r="F790" s="151">
        <v>352.53</v>
      </c>
      <c r="G790" s="149">
        <f t="shared" si="22"/>
        <v>283.78665000000001</v>
      </c>
    </row>
    <row r="791" spans="2:7" ht="15" hidden="1" customHeight="1">
      <c r="B791" s="142" t="s">
        <v>1537</v>
      </c>
      <c r="C791" s="139" t="s">
        <v>1538</v>
      </c>
      <c r="D791" s="140" t="s">
        <v>1539</v>
      </c>
      <c r="E791" s="141" t="s">
        <v>1540</v>
      </c>
      <c r="F791" s="141" t="s">
        <v>1541</v>
      </c>
      <c r="G791" s="149">
        <f t="shared" ref="G791" si="23">E791*F791</f>
        <v>0.76600999999999997</v>
      </c>
    </row>
    <row r="792" spans="2:7" ht="15" hidden="1" customHeight="1">
      <c r="B792" s="1247"/>
      <c r="C792" s="1248"/>
      <c r="D792" s="640" t="s">
        <v>297</v>
      </c>
      <c r="E792" s="640"/>
      <c r="F792" s="1253"/>
      <c r="G792" s="645">
        <f t="shared" ref="G792" si="24">SUM(G789)</f>
        <v>0</v>
      </c>
    </row>
    <row r="793" spans="2:7" ht="24" hidden="1" customHeight="1">
      <c r="B793" s="1249"/>
      <c r="C793" s="1250"/>
      <c r="D793" s="641" t="s">
        <v>298</v>
      </c>
      <c r="E793" s="642"/>
      <c r="F793" s="1253"/>
      <c r="G793" s="645">
        <f t="shared" ref="G793" si="25">G788</f>
        <v>0</v>
      </c>
    </row>
    <row r="794" spans="2:7" ht="15" hidden="1" customHeight="1">
      <c r="B794" s="1249"/>
      <c r="C794" s="1250"/>
      <c r="D794" s="643" t="s">
        <v>299</v>
      </c>
      <c r="E794" s="643"/>
      <c r="F794" s="1253"/>
      <c r="G794" s="646">
        <f t="shared" ref="G794" si="26">SUM(G790:G791)</f>
        <v>284.55266</v>
      </c>
    </row>
    <row r="795" spans="2:7" ht="24" hidden="1" customHeight="1">
      <c r="B795" s="1251"/>
      <c r="C795" s="1252"/>
      <c r="D795" s="647" t="s">
        <v>300</v>
      </c>
      <c r="E795" s="648"/>
      <c r="F795" s="1254"/>
      <c r="G795" s="649">
        <f t="shared" ref="G795" si="27">SUM(G792:G794)</f>
        <v>284.55266</v>
      </c>
    </row>
    <row r="796" spans="2:7" ht="15" hidden="1" customHeight="1">
      <c r="B796" s="904" t="s">
        <v>1613</v>
      </c>
      <c r="C796" s="324" t="s">
        <v>1592</v>
      </c>
      <c r="D796" s="154" t="s">
        <v>21</v>
      </c>
      <c r="E796" s="155" t="s">
        <v>291</v>
      </c>
      <c r="F796" s="156" t="s">
        <v>292</v>
      </c>
      <c r="G796" s="157" t="s">
        <v>293</v>
      </c>
    </row>
    <row r="797" spans="2:7" ht="15" hidden="1" customHeight="1">
      <c r="B797" s="142" t="s">
        <v>614</v>
      </c>
      <c r="C797" s="312" t="s">
        <v>1528</v>
      </c>
      <c r="D797" s="140" t="s">
        <v>948</v>
      </c>
      <c r="E797" s="141" t="s">
        <v>1529</v>
      </c>
      <c r="F797" s="141" t="s">
        <v>1530</v>
      </c>
      <c r="G797" s="149">
        <f t="shared" ref="G797:G800" si="28">E797*F797</f>
        <v>9.3461999999999996</v>
      </c>
    </row>
    <row r="798" spans="2:7" ht="15" hidden="1" customHeight="1">
      <c r="B798" s="142" t="s">
        <v>916</v>
      </c>
      <c r="C798" s="312" t="s">
        <v>309</v>
      </c>
      <c r="D798" s="140" t="s">
        <v>296</v>
      </c>
      <c r="E798" s="141" t="s">
        <v>1531</v>
      </c>
      <c r="F798" s="141">
        <v>17.32</v>
      </c>
      <c r="G798" s="149">
        <f t="shared" si="28"/>
        <v>0.25979999999999998</v>
      </c>
    </row>
    <row r="799" spans="2:7" ht="15" hidden="1" customHeight="1">
      <c r="B799" s="142" t="s">
        <v>1532</v>
      </c>
      <c r="C799" s="312" t="s">
        <v>1533</v>
      </c>
      <c r="D799" s="140" t="s">
        <v>1534</v>
      </c>
      <c r="E799" s="141" t="s">
        <v>1535</v>
      </c>
      <c r="F799" s="141" t="s">
        <v>1536</v>
      </c>
      <c r="G799" s="149">
        <f t="shared" si="28"/>
        <v>0.12756600000000001</v>
      </c>
    </row>
    <row r="800" spans="2:7" ht="15.75" hidden="1" customHeight="1" thickBot="1">
      <c r="B800" s="142" t="s">
        <v>1537</v>
      </c>
      <c r="C800" s="139" t="s">
        <v>1538</v>
      </c>
      <c r="D800" s="140" t="s">
        <v>1539</v>
      </c>
      <c r="E800" s="141" t="s">
        <v>1540</v>
      </c>
      <c r="F800" s="141" t="s">
        <v>1541</v>
      </c>
      <c r="G800" s="149">
        <f t="shared" si="28"/>
        <v>0.76600999999999997</v>
      </c>
    </row>
    <row r="801" spans="2:7">
      <c r="B801" s="1247"/>
      <c r="C801" s="1248"/>
      <c r="D801" s="640" t="s">
        <v>297</v>
      </c>
      <c r="E801" s="640"/>
      <c r="F801" s="1253"/>
      <c r="G801" s="645">
        <f>SUM(G776:G777)</f>
        <v>148.19251800000001</v>
      </c>
    </row>
    <row r="802" spans="2:7">
      <c r="B802" s="1249"/>
      <c r="C802" s="1250"/>
      <c r="D802" s="641" t="s">
        <v>298</v>
      </c>
      <c r="E802" s="642"/>
      <c r="F802" s="1253"/>
      <c r="G802" s="645">
        <f>SUM(G790,G775)</f>
        <v>311.54437999999999</v>
      </c>
    </row>
    <row r="803" spans="2:7">
      <c r="B803" s="1249"/>
      <c r="C803" s="1250"/>
      <c r="D803" s="643" t="s">
        <v>299</v>
      </c>
      <c r="E803" s="643"/>
      <c r="F803" s="1253"/>
      <c r="G803" s="646">
        <f>SUM(G778:G779)</f>
        <v>0.70523599999999997</v>
      </c>
    </row>
    <row r="804" spans="2:7" ht="15.75" thickBot="1">
      <c r="B804" s="1251"/>
      <c r="C804" s="1252"/>
      <c r="D804" s="647" t="s">
        <v>300</v>
      </c>
      <c r="E804" s="648"/>
      <c r="F804" s="1254"/>
      <c r="G804" s="649">
        <f t="shared" ref="G804" si="29">SUM(G801:G803)</f>
        <v>460.44213400000001</v>
      </c>
    </row>
  </sheetData>
  <mergeCells count="139">
    <mergeCell ref="B792:C795"/>
    <mergeCell ref="F792:F795"/>
    <mergeCell ref="B801:C804"/>
    <mergeCell ref="F801:F804"/>
    <mergeCell ref="B690:C693"/>
    <mergeCell ref="F690:F693"/>
    <mergeCell ref="B699:C702"/>
    <mergeCell ref="F699:F702"/>
    <mergeCell ref="B706:C709"/>
    <mergeCell ref="F706:F709"/>
    <mergeCell ref="D757:E757"/>
    <mergeCell ref="D759:E759"/>
    <mergeCell ref="D770:E770"/>
    <mergeCell ref="B740:C743"/>
    <mergeCell ref="F740:F743"/>
    <mergeCell ref="B720:C723"/>
    <mergeCell ref="F720:F723"/>
    <mergeCell ref="B731:C734"/>
    <mergeCell ref="F731:F734"/>
    <mergeCell ref="D772:E772"/>
    <mergeCell ref="D749:E749"/>
    <mergeCell ref="D751:E751"/>
    <mergeCell ref="B643:C646"/>
    <mergeCell ref="F643:F646"/>
    <mergeCell ref="B656:C659"/>
    <mergeCell ref="F656:F659"/>
    <mergeCell ref="B666:C669"/>
    <mergeCell ref="F666:F669"/>
    <mergeCell ref="B674:C677"/>
    <mergeCell ref="F674:F677"/>
    <mergeCell ref="B682:C685"/>
    <mergeCell ref="F682:F685"/>
    <mergeCell ref="B627:C630"/>
    <mergeCell ref="F627:F630"/>
    <mergeCell ref="B594:C597"/>
    <mergeCell ref="F594:F597"/>
    <mergeCell ref="B598:G598"/>
    <mergeCell ref="D136:E136"/>
    <mergeCell ref="D138:E138"/>
    <mergeCell ref="D128:E128"/>
    <mergeCell ref="D130:E130"/>
    <mergeCell ref="B617:C620"/>
    <mergeCell ref="F617:F620"/>
    <mergeCell ref="B549:C552"/>
    <mergeCell ref="F549:F552"/>
    <mergeCell ref="B553:G553"/>
    <mergeCell ref="B561:C564"/>
    <mergeCell ref="F561:F564"/>
    <mergeCell ref="B588:G588"/>
    <mergeCell ref="B565:G565"/>
    <mergeCell ref="B573:C576"/>
    <mergeCell ref="F573:F576"/>
    <mergeCell ref="B577:G577"/>
    <mergeCell ref="B584:C587"/>
    <mergeCell ref="F584:F587"/>
    <mergeCell ref="B600:G600"/>
    <mergeCell ref="B609:C612"/>
    <mergeCell ref="F609:F612"/>
    <mergeCell ref="D77:E77"/>
    <mergeCell ref="D79:E79"/>
    <mergeCell ref="D118:E118"/>
    <mergeCell ref="D97:E97"/>
    <mergeCell ref="D99:E99"/>
    <mergeCell ref="D107:E107"/>
    <mergeCell ref="D109:E109"/>
    <mergeCell ref="D116:E116"/>
    <mergeCell ref="D183:E183"/>
    <mergeCell ref="D185:E185"/>
    <mergeCell ref="D192:E192"/>
    <mergeCell ref="D194:E194"/>
    <mergeCell ref="D165:E165"/>
    <mergeCell ref="D174:E174"/>
    <mergeCell ref="D176:E176"/>
    <mergeCell ref="D148:E148"/>
    <mergeCell ref="D150:E150"/>
    <mergeCell ref="D155:E155"/>
    <mergeCell ref="D157:E157"/>
    <mergeCell ref="D163:E163"/>
    <mergeCell ref="D243:E243"/>
    <mergeCell ref="D251:E251"/>
    <mergeCell ref="D205:E205"/>
    <mergeCell ref="D207:E207"/>
    <mergeCell ref="D11:E11"/>
    <mergeCell ref="D13:E13"/>
    <mergeCell ref="D19:E19"/>
    <mergeCell ref="D21:E21"/>
    <mergeCell ref="D27:E27"/>
    <mergeCell ref="D29:E29"/>
    <mergeCell ref="D38:E38"/>
    <mergeCell ref="D67:E67"/>
    <mergeCell ref="D69:E69"/>
    <mergeCell ref="D52:E52"/>
    <mergeCell ref="D54:E54"/>
    <mergeCell ref="D40:E40"/>
    <mergeCell ref="D90:E90"/>
    <mergeCell ref="D92:E92"/>
    <mergeCell ref="D387:E387"/>
    <mergeCell ref="D390:E390"/>
    <mergeCell ref="D339:E339"/>
    <mergeCell ref="D352:E352"/>
    <mergeCell ref="D355:E355"/>
    <mergeCell ref="D363:E363"/>
    <mergeCell ref="D254:E254"/>
    <mergeCell ref="D216:E216"/>
    <mergeCell ref="D218:E218"/>
    <mergeCell ref="D228:E228"/>
    <mergeCell ref="D324:E324"/>
    <mergeCell ref="D336:E336"/>
    <mergeCell ref="D282:E282"/>
    <mergeCell ref="D285:E285"/>
    <mergeCell ref="D297:E297"/>
    <mergeCell ref="D300:E300"/>
    <mergeCell ref="B635:C638"/>
    <mergeCell ref="F635:F638"/>
    <mergeCell ref="B1:G4"/>
    <mergeCell ref="D474:E474"/>
    <mergeCell ref="D477:E477"/>
    <mergeCell ref="D432:E432"/>
    <mergeCell ref="D440:E440"/>
    <mergeCell ref="D443:E443"/>
    <mergeCell ref="D452:E452"/>
    <mergeCell ref="D455:E455"/>
    <mergeCell ref="D407:E407"/>
    <mergeCell ref="D410:E410"/>
    <mergeCell ref="D417:E417"/>
    <mergeCell ref="D420:E420"/>
    <mergeCell ref="D429:E429"/>
    <mergeCell ref="D366:E366"/>
    <mergeCell ref="D376:E376"/>
    <mergeCell ref="D379:E379"/>
    <mergeCell ref="D261:E261"/>
    <mergeCell ref="D264:E264"/>
    <mergeCell ref="D271:E271"/>
    <mergeCell ref="D274:E274"/>
    <mergeCell ref="D231:E231"/>
    <mergeCell ref="D240:E240"/>
    <mergeCell ref="D307:E307"/>
    <mergeCell ref="D310:E310"/>
    <mergeCell ref="D321:E321"/>
  </mergeCells>
  <printOptions horizontalCentered="1"/>
  <pageMargins left="0.78740157480314965" right="0.78740157480314965" top="0.78740157480314965" bottom="0.78740157480314965" header="0.31496062992125984" footer="0.31496062992125984"/>
  <pageSetup paperSize="9" scale="38" orientation="portrait" r:id="rId1"/>
  <headerFooter>
    <oddFooter>Página &amp;P de &amp;N</oddFooter>
  </headerFooter>
  <rowBreaks count="5" manualBreakCount="5">
    <brk id="70" min="1" max="6" man="1"/>
    <brk id="151" min="1" max="6" man="1"/>
    <brk id="541" min="1" max="6" man="1"/>
    <brk id="612" min="1" max="6" man="1"/>
    <brk id="694" min="1" max="6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"/>
  <sheetViews>
    <sheetView topLeftCell="A4" workbookViewId="0">
      <selection activeCell="E10" sqref="E10:F10"/>
    </sheetView>
  </sheetViews>
  <sheetFormatPr defaultRowHeight="15"/>
  <cols>
    <col min="4" max="4" width="28.42578125" customWidth="1"/>
    <col min="6" max="6" width="22" customWidth="1"/>
    <col min="10" max="10" width="14.28515625" bestFit="1" customWidth="1"/>
  </cols>
  <sheetData>
    <row r="1" spans="1:8" ht="15.75">
      <c r="A1" s="779" t="s">
        <v>705</v>
      </c>
      <c r="B1" s="1276" t="s">
        <v>1102</v>
      </c>
      <c r="C1" s="1276"/>
      <c r="D1" s="1276"/>
      <c r="E1" s="1276" t="s">
        <v>608</v>
      </c>
      <c r="F1" s="1276"/>
      <c r="G1" s="394"/>
      <c r="H1" s="394"/>
    </row>
    <row r="2" spans="1:8">
      <c r="A2" s="778">
        <v>1</v>
      </c>
      <c r="B2" s="1277" t="s">
        <v>1049</v>
      </c>
      <c r="C2" s="1277"/>
      <c r="D2" s="1277"/>
      <c r="E2" s="1275">
        <f>'ESC. MUN. ANDRE VIDAL'!H59</f>
        <v>124845.97964429139</v>
      </c>
      <c r="F2" s="1275"/>
    </row>
    <row r="3" spans="1:8" ht="54.75" customHeight="1">
      <c r="A3" s="778">
        <v>2</v>
      </c>
      <c r="B3" s="1274" t="s">
        <v>1100</v>
      </c>
      <c r="C3" s="1274"/>
      <c r="D3" s="1274"/>
      <c r="E3" s="1275">
        <f>'CRECHE VOVO PESSOINHA'!H73</f>
        <v>89483.340141289053</v>
      </c>
      <c r="F3" s="1275"/>
    </row>
    <row r="4" spans="1:8" ht="42" customHeight="1">
      <c r="A4" s="778">
        <v>3</v>
      </c>
      <c r="B4" s="1274" t="s">
        <v>1051</v>
      </c>
      <c r="C4" s="1274"/>
      <c r="D4" s="1274"/>
      <c r="E4" s="1275">
        <f>'ESC. LAFAYETE NUNES MACHADO'!H71</f>
        <v>171839.02374503337</v>
      </c>
      <c r="F4" s="1275"/>
    </row>
    <row r="5" spans="1:8" ht="36" customHeight="1">
      <c r="A5" s="778">
        <v>4</v>
      </c>
      <c r="B5" s="1274" t="s">
        <v>1050</v>
      </c>
      <c r="C5" s="1274"/>
      <c r="D5" s="1274"/>
      <c r="E5" s="1275">
        <f>'ESCOLA PASCOAL'!H69</f>
        <v>84507.20522152356</v>
      </c>
      <c r="F5" s="1275"/>
    </row>
    <row r="6" spans="1:8" ht="51" customHeight="1">
      <c r="A6" s="778">
        <v>5</v>
      </c>
      <c r="B6" s="1274" t="s">
        <v>1513</v>
      </c>
      <c r="C6" s="1274"/>
      <c r="D6" s="1274"/>
      <c r="E6" s="1275">
        <f>'ESCOLA MUNICIPAL DE QUEBEC E Q'!D198</f>
        <v>952090.42156993656</v>
      </c>
      <c r="F6" s="1275"/>
    </row>
    <row r="7" spans="1:8" ht="48" customHeight="1">
      <c r="A7" s="778">
        <v>6</v>
      </c>
      <c r="B7" s="1274" t="s">
        <v>1052</v>
      </c>
      <c r="C7" s="1274"/>
      <c r="D7" s="1274"/>
      <c r="E7" s="1275">
        <f>'ESC. MOCINHA BARBALHO'!H50</f>
        <v>44396.944242007085</v>
      </c>
      <c r="F7" s="1275"/>
    </row>
    <row r="8" spans="1:8" ht="48" customHeight="1">
      <c r="A8" s="778">
        <v>7</v>
      </c>
      <c r="B8" s="1274" t="s">
        <v>1274</v>
      </c>
      <c r="C8" s="1274"/>
      <c r="D8" s="1274"/>
      <c r="E8" s="1275">
        <f>'ESC. NIVALDO XAVIER '!H72</f>
        <v>241992.28819811763</v>
      </c>
      <c r="F8" s="1275"/>
    </row>
    <row r="9" spans="1:8" ht="48" customHeight="1">
      <c r="A9" s="778">
        <v>8</v>
      </c>
      <c r="B9" s="1274" t="s">
        <v>1275</v>
      </c>
      <c r="C9" s="1274"/>
      <c r="D9" s="1274"/>
      <c r="E9" s="1275">
        <f>'ESC. JULIO MARIA'!H80</f>
        <v>289540.79952041357</v>
      </c>
      <c r="F9" s="1275"/>
    </row>
    <row r="10" spans="1:8" ht="15.75">
      <c r="A10" s="1280" t="s">
        <v>25</v>
      </c>
      <c r="B10" s="1281"/>
      <c r="C10" s="1281"/>
      <c r="D10" s="1282"/>
      <c r="E10" s="1278">
        <f>SUM(E2:F9)</f>
        <v>1998696.0022826123</v>
      </c>
      <c r="F10" s="1279"/>
    </row>
  </sheetData>
  <mergeCells count="20">
    <mergeCell ref="B7:D7"/>
    <mergeCell ref="E7:F7"/>
    <mergeCell ref="E10:F10"/>
    <mergeCell ref="B8:D8"/>
    <mergeCell ref="E8:F8"/>
    <mergeCell ref="B9:D9"/>
    <mergeCell ref="E9:F9"/>
    <mergeCell ref="A10:D10"/>
    <mergeCell ref="B1:D1"/>
    <mergeCell ref="E1:F1"/>
    <mergeCell ref="B2:D2"/>
    <mergeCell ref="B3:D3"/>
    <mergeCell ref="B4:D4"/>
    <mergeCell ref="B5:D5"/>
    <mergeCell ref="B6:D6"/>
    <mergeCell ref="E2:F2"/>
    <mergeCell ref="E3:F3"/>
    <mergeCell ref="E4:F4"/>
    <mergeCell ref="E5:F5"/>
    <mergeCell ref="E6:F6"/>
  </mergeCells>
  <printOptions horizontalCentered="1"/>
  <pageMargins left="0.51181102362204722" right="0.51181102362204722" top="0.78740157480314965" bottom="0.78740157480314965" header="0.31496062992125984" footer="0.31496062992125984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L829"/>
  <sheetViews>
    <sheetView showGridLines="0" view="pageBreakPreview" zoomScale="85" zoomScaleNormal="100" zoomScaleSheetLayoutView="85" workbookViewId="0">
      <selection activeCell="N809" sqref="N809"/>
    </sheetView>
  </sheetViews>
  <sheetFormatPr defaultRowHeight="15"/>
  <cols>
    <col min="2" max="8" width="10.7109375" customWidth="1"/>
    <col min="9" max="9" width="12" customWidth="1"/>
    <col min="10" max="10" width="12.85546875" customWidth="1"/>
    <col min="11" max="11" width="10.7109375" style="913" customWidth="1"/>
    <col min="12" max="12" width="10.7109375" customWidth="1"/>
  </cols>
  <sheetData>
    <row r="1" spans="2:12" ht="15.75" thickBot="1"/>
    <row r="2" spans="2:12">
      <c r="B2" s="1033" t="s">
        <v>103</v>
      </c>
      <c r="C2" s="1034"/>
      <c r="D2" s="1039" t="str">
        <f>'[6]PLANILHA ORÇAMENTÁRIA'!E2</f>
        <v>PREFEITURA MUNICIPAL DE ITAMBÉ</v>
      </c>
      <c r="E2" s="1040"/>
      <c r="F2" s="1040"/>
      <c r="G2" s="1040"/>
      <c r="H2" s="1040"/>
      <c r="I2" s="1041"/>
      <c r="J2" s="1042"/>
      <c r="K2" s="1043"/>
      <c r="L2" s="1044"/>
    </row>
    <row r="3" spans="2:12">
      <c r="B3" s="1035"/>
      <c r="C3" s="1036"/>
      <c r="D3" s="1051" t="s">
        <v>1041</v>
      </c>
      <c r="E3" s="1052"/>
      <c r="F3" s="1052"/>
      <c r="G3" s="1052"/>
      <c r="H3" s="1052"/>
      <c r="I3" s="1053"/>
      <c r="J3" s="1045"/>
      <c r="K3" s="1046"/>
      <c r="L3" s="1047"/>
    </row>
    <row r="4" spans="2:12" ht="66.75" customHeight="1">
      <c r="B4" s="1035"/>
      <c r="C4" s="1036"/>
      <c r="D4" s="1054" t="s">
        <v>1044</v>
      </c>
      <c r="E4" s="1055"/>
      <c r="F4" s="1055"/>
      <c r="G4" s="1055"/>
      <c r="H4" s="1055"/>
      <c r="I4" s="1056"/>
      <c r="J4" s="1045"/>
      <c r="K4" s="1046"/>
      <c r="L4" s="1047"/>
    </row>
    <row r="5" spans="2:12" ht="9.75" customHeight="1" thickBot="1">
      <c r="B5" s="1037"/>
      <c r="C5" s="1038"/>
      <c r="D5" s="1057"/>
      <c r="E5" s="1058"/>
      <c r="F5" s="1058"/>
      <c r="G5" s="1058"/>
      <c r="H5" s="1058"/>
      <c r="I5" s="1059"/>
      <c r="J5" s="1048"/>
      <c r="K5" s="1049"/>
      <c r="L5" s="1050"/>
    </row>
    <row r="6" spans="2:12" hidden="1">
      <c r="B6" s="40"/>
      <c r="C6" s="40"/>
      <c r="D6" s="40"/>
      <c r="E6" s="40"/>
      <c r="F6" s="40"/>
      <c r="G6" s="40"/>
      <c r="H6" s="40"/>
      <c r="I6" s="40"/>
      <c r="J6" s="41"/>
      <c r="K6" s="40"/>
      <c r="L6" s="40"/>
    </row>
    <row r="7" spans="2:12" hidden="1">
      <c r="B7" s="1060" t="s">
        <v>104</v>
      </c>
      <c r="C7" s="1060"/>
      <c r="D7" s="42" t="e">
        <f>'[6]PLANILHA ORÇAMENTÁRIA'!J6</f>
        <v>#REF!</v>
      </c>
      <c r="E7" s="43"/>
      <c r="F7" s="44" t="s">
        <v>105</v>
      </c>
      <c r="G7" s="42" t="e">
        <f>'[6]PLANILHA ORÇAMENTÁRIA'!J7</f>
        <v>#REF!</v>
      </c>
      <c r="H7" s="45" t="s">
        <v>1</v>
      </c>
      <c r="I7" s="46"/>
      <c r="J7" s="46" t="str">
        <f>'[6]PLANILHA ORÇAMENTÁRIA'!B8</f>
        <v>SINAPI - FEV/2019 DESONERADO</v>
      </c>
      <c r="K7" s="43"/>
      <c r="L7" s="43"/>
    </row>
    <row r="8" spans="2:12" hidden="1">
      <c r="B8" s="44" t="s">
        <v>106</v>
      </c>
      <c r="C8" s="1061" t="e">
        <f>'[6]PLANILHA ORÇAMENTÁRIA'!J8</f>
        <v>#REF!</v>
      </c>
      <c r="D8" s="1061"/>
      <c r="E8" s="43"/>
      <c r="F8" s="44" t="s">
        <v>0</v>
      </c>
      <c r="G8" s="47">
        <f>'[6]PLANILHA ORÇAMENTÁRIA'!J5</f>
        <v>43641</v>
      </c>
      <c r="H8" s="46"/>
      <c r="I8" s="48"/>
      <c r="J8" s="46"/>
      <c r="K8" s="43"/>
      <c r="L8" s="43"/>
    </row>
    <row r="9" spans="2:12" hidden="1">
      <c r="B9" s="49"/>
      <c r="C9" s="50"/>
      <c r="D9" s="46"/>
      <c r="E9" s="46"/>
      <c r="F9" s="46"/>
      <c r="G9" s="46"/>
      <c r="H9" s="46"/>
      <c r="I9" s="46"/>
      <c r="J9" s="46"/>
      <c r="K9" s="43"/>
      <c r="L9" s="51"/>
    </row>
    <row r="10" spans="2:12" hidden="1">
      <c r="B10" s="52" t="s">
        <v>107</v>
      </c>
      <c r="C10" s="53" t="s">
        <v>108</v>
      </c>
      <c r="D10" s="54"/>
      <c r="E10" s="55"/>
      <c r="F10" s="56"/>
      <c r="G10" s="54"/>
      <c r="H10" s="57" t="s">
        <v>109</v>
      </c>
      <c r="I10" s="53" t="s">
        <v>110</v>
      </c>
      <c r="J10" s="46"/>
      <c r="K10" s="43"/>
      <c r="L10" s="51"/>
    </row>
    <row r="11" spans="2:12" hidden="1">
      <c r="B11" s="49"/>
      <c r="C11" s="50"/>
      <c r="D11" s="46"/>
      <c r="E11" s="46"/>
      <c r="F11" s="46"/>
      <c r="G11" s="46"/>
      <c r="H11" s="46"/>
      <c r="I11" s="46"/>
      <c r="J11" s="46"/>
      <c r="K11" s="43"/>
      <c r="L11" s="51"/>
    </row>
    <row r="12" spans="2:12" hidden="1">
      <c r="B12" s="58" t="str">
        <f>'[6]PLANILHA ORÇAMENTÁRIA'!D11</f>
        <v>1.0</v>
      </c>
      <c r="C12" s="1000" t="str">
        <f>'[6]PLANILHA ORÇAMENTÁRIA'!E11</f>
        <v>SERVIÇOS PRELIMINARES</v>
      </c>
      <c r="D12" s="1000"/>
      <c r="E12" s="1000"/>
      <c r="F12" s="1000"/>
      <c r="G12" s="1000"/>
      <c r="H12" s="1000"/>
      <c r="I12" s="1000"/>
      <c r="J12" s="1000"/>
      <c r="K12" s="59"/>
      <c r="L12" s="59"/>
    </row>
    <row r="13" spans="2:12" hidden="1">
      <c r="B13" s="60" t="str">
        <f>'[6]PLANILHA ORÇAMENTÁRIA'!D12</f>
        <v>1.1</v>
      </c>
      <c r="C13" s="1003" t="str">
        <f>'[6]PLANILHA ORÇAMENTÁRIA'!E12</f>
        <v>PLACA DE OBRA EM CHAPA DE ACO GALVANIZADO</v>
      </c>
      <c r="D13" s="1003"/>
      <c r="E13" s="1003"/>
      <c r="F13" s="1003"/>
      <c r="G13" s="1003"/>
      <c r="H13" s="1003"/>
      <c r="I13" s="1003"/>
      <c r="J13" s="1003"/>
      <c r="K13" s="61" t="str">
        <f>'[6]PLANILHA ORÇAMENTÁRIA'!F12</f>
        <v>M2</v>
      </c>
      <c r="L13" s="62">
        <f>K16</f>
        <v>6</v>
      </c>
    </row>
    <row r="14" spans="2:12" hidden="1">
      <c r="B14" s="63"/>
      <c r="C14" s="1004" t="s">
        <v>20</v>
      </c>
      <c r="D14" s="1004"/>
      <c r="E14" s="1004"/>
      <c r="F14" s="64" t="s">
        <v>3</v>
      </c>
      <c r="G14" s="65" t="s">
        <v>111</v>
      </c>
      <c r="H14" s="64" t="s">
        <v>112</v>
      </c>
      <c r="I14" s="65" t="s">
        <v>113</v>
      </c>
      <c r="J14" s="65" t="s">
        <v>114</v>
      </c>
      <c r="K14" s="66" t="s">
        <v>25</v>
      </c>
      <c r="L14" s="67"/>
    </row>
    <row r="15" spans="2:12" hidden="1">
      <c r="B15" s="63"/>
      <c r="C15" s="1001" t="s">
        <v>115</v>
      </c>
      <c r="D15" s="1001"/>
      <c r="E15" s="1001"/>
      <c r="F15" s="68"/>
      <c r="G15" s="68">
        <v>2</v>
      </c>
      <c r="H15" s="68"/>
      <c r="I15" s="68">
        <v>3</v>
      </c>
      <c r="J15" s="68"/>
      <c r="K15" s="69">
        <f>TRUNC(G15*I15,2)</f>
        <v>6</v>
      </c>
      <c r="L15" s="67"/>
    </row>
    <row r="16" spans="2:12" hidden="1">
      <c r="B16" s="63"/>
      <c r="C16" s="1002" t="s">
        <v>116</v>
      </c>
      <c r="D16" s="1002"/>
      <c r="E16" s="1002"/>
      <c r="F16" s="1002"/>
      <c r="G16" s="1002"/>
      <c r="H16" s="1002"/>
      <c r="I16" s="1002"/>
      <c r="J16" s="1002"/>
      <c r="K16" s="70">
        <f>SUM(K15:K15)</f>
        <v>6</v>
      </c>
      <c r="L16" s="67"/>
    </row>
    <row r="17" spans="2:12" hidden="1"/>
    <row r="18" spans="2:12" ht="25.5" hidden="1" customHeight="1">
      <c r="B18" s="60" t="str">
        <f>'[6]PLANILHA ORÇAMENTÁRIA'!D13</f>
        <v>1.2</v>
      </c>
      <c r="C18" s="1003" t="str">
        <f>'[6]PLANILHA ORÇAMENTÁRIA'!E13</f>
        <v>LIMPEZA MECANIZADA DE TERRENO COM REMOCAO DE CAMADA VEGETAL, UTILIZANDO MOTONIVELADORA</v>
      </c>
      <c r="D18" s="1003"/>
      <c r="E18" s="1003"/>
      <c r="F18" s="1003"/>
      <c r="G18" s="1003"/>
      <c r="H18" s="1003"/>
      <c r="I18" s="1003"/>
      <c r="J18" s="1003"/>
      <c r="K18" s="61" t="str">
        <f>'[6]PLANILHA ORÇAMENTÁRIA'!F13</f>
        <v>M2</v>
      </c>
      <c r="L18" s="62">
        <f>K21</f>
        <v>780.75</v>
      </c>
    </row>
    <row r="19" spans="2:12" hidden="1">
      <c r="B19" s="63"/>
      <c r="C19" s="1004" t="s">
        <v>20</v>
      </c>
      <c r="D19" s="1004"/>
      <c r="E19" s="1004"/>
      <c r="F19" s="64" t="s">
        <v>117</v>
      </c>
      <c r="G19" s="65" t="s">
        <v>111</v>
      </c>
      <c r="H19" s="64" t="s">
        <v>112</v>
      </c>
      <c r="I19" s="65" t="s">
        <v>113</v>
      </c>
      <c r="J19" s="65" t="s">
        <v>114</v>
      </c>
      <c r="K19" s="66" t="s">
        <v>25</v>
      </c>
      <c r="L19" s="67"/>
    </row>
    <row r="20" spans="2:12" ht="27.75" hidden="1" customHeight="1">
      <c r="B20" s="63"/>
      <c r="C20" s="1001" t="s">
        <v>118</v>
      </c>
      <c r="D20" s="1001"/>
      <c r="E20" s="1001"/>
      <c r="F20" s="68">
        <v>780.75</v>
      </c>
      <c r="G20" s="68"/>
      <c r="H20" s="68"/>
      <c r="I20" s="68"/>
      <c r="J20" s="68"/>
      <c r="K20" s="69">
        <f>F20</f>
        <v>780.75</v>
      </c>
      <c r="L20" s="67"/>
    </row>
    <row r="21" spans="2:12" hidden="1">
      <c r="B21" s="63"/>
      <c r="C21" s="1002" t="s">
        <v>116</v>
      </c>
      <c r="D21" s="1002"/>
      <c r="E21" s="1002"/>
      <c r="F21" s="1002"/>
      <c r="G21" s="1002"/>
      <c r="H21" s="1002"/>
      <c r="I21" s="1002"/>
      <c r="J21" s="1002"/>
      <c r="K21" s="70">
        <f>SUM(K20:K20)</f>
        <v>780.75</v>
      </c>
      <c r="L21" s="67"/>
    </row>
    <row r="22" spans="2:12" hidden="1">
      <c r="B22" s="63"/>
      <c r="C22" s="71"/>
      <c r="D22" s="71"/>
      <c r="E22" s="71"/>
      <c r="F22" s="71"/>
      <c r="G22" s="71"/>
      <c r="H22" s="71"/>
      <c r="I22" s="71"/>
      <c r="J22" s="71"/>
      <c r="K22" s="72"/>
      <c r="L22" s="67"/>
    </row>
    <row r="23" spans="2:12" ht="15" hidden="1" customHeight="1">
      <c r="B23" s="60" t="str">
        <f>'[6]PLANILHA ORÇAMENTÁRIA'!D14</f>
        <v>1.3</v>
      </c>
      <c r="C23" s="1003" t="str">
        <f>'[6]PLANILHA ORÇAMENTÁRIA'!E14</f>
        <v>LOCAÇÃO DA OBRA - EXECUÇÃO DE GABARITO</v>
      </c>
      <c r="D23" s="1003"/>
      <c r="E23" s="1003"/>
      <c r="F23" s="1003"/>
      <c r="G23" s="1003"/>
      <c r="H23" s="1003"/>
      <c r="I23" s="1003"/>
      <c r="J23" s="1003"/>
      <c r="K23" s="61" t="str">
        <f>'[6]PLANILHA ORÇAMENTÁRIA'!F14</f>
        <v>M2</v>
      </c>
      <c r="L23" s="62">
        <f>K27</f>
        <v>157.78</v>
      </c>
    </row>
    <row r="24" spans="2:12" hidden="1">
      <c r="B24" s="63"/>
      <c r="C24" s="1004" t="s">
        <v>20</v>
      </c>
      <c r="D24" s="1004"/>
      <c r="E24" s="1004"/>
      <c r="F24" s="64" t="s">
        <v>22</v>
      </c>
      <c r="G24" s="65" t="s">
        <v>111</v>
      </c>
      <c r="H24" s="64" t="s">
        <v>112</v>
      </c>
      <c r="I24" s="65" t="s">
        <v>113</v>
      </c>
      <c r="J24" s="65" t="s">
        <v>114</v>
      </c>
      <c r="K24" s="66" t="s">
        <v>25</v>
      </c>
      <c r="L24" s="67"/>
    </row>
    <row r="25" spans="2:12" hidden="1">
      <c r="B25" s="63"/>
      <c r="C25" s="1001" t="s">
        <v>119</v>
      </c>
      <c r="D25" s="1001"/>
      <c r="E25" s="1001"/>
      <c r="F25" s="68">
        <v>1</v>
      </c>
      <c r="G25" s="68"/>
      <c r="H25" s="68">
        <v>6.7</v>
      </c>
      <c r="I25" s="68">
        <v>12</v>
      </c>
      <c r="J25" s="68"/>
      <c r="K25" s="69">
        <f>PRODUCT(F25:I25)</f>
        <v>80.400000000000006</v>
      </c>
      <c r="L25" s="67"/>
    </row>
    <row r="26" spans="2:12" hidden="1">
      <c r="B26" s="63"/>
      <c r="C26" s="1001" t="s">
        <v>120</v>
      </c>
      <c r="D26" s="1001"/>
      <c r="E26" s="1001"/>
      <c r="F26" s="68">
        <v>4</v>
      </c>
      <c r="G26" s="68"/>
      <c r="H26" s="68">
        <v>3.65</v>
      </c>
      <c r="I26" s="68">
        <v>5.3</v>
      </c>
      <c r="J26" s="68"/>
      <c r="K26" s="69">
        <f>PRODUCT(F26:I26)</f>
        <v>77.38</v>
      </c>
      <c r="L26" s="67"/>
    </row>
    <row r="27" spans="2:12" hidden="1">
      <c r="B27" s="63"/>
      <c r="C27" s="1002" t="s">
        <v>116</v>
      </c>
      <c r="D27" s="1002"/>
      <c r="E27" s="1002"/>
      <c r="F27" s="1002"/>
      <c r="G27" s="1002"/>
      <c r="H27" s="1002"/>
      <c r="I27" s="1002"/>
      <c r="J27" s="1002"/>
      <c r="K27" s="70">
        <f>SUM(K25:K26)</f>
        <v>157.78</v>
      </c>
      <c r="L27" s="67"/>
    </row>
    <row r="28" spans="2:12" hidden="1">
      <c r="B28" s="63"/>
      <c r="C28" s="71"/>
      <c r="D28" s="71"/>
      <c r="E28" s="71"/>
      <c r="F28" s="71"/>
      <c r="G28" s="71"/>
      <c r="H28" s="71"/>
      <c r="I28" s="71"/>
      <c r="J28" s="71"/>
      <c r="K28" s="72"/>
      <c r="L28" s="67"/>
    </row>
    <row r="29" spans="2:12" hidden="1">
      <c r="B29" s="58" t="str">
        <f>'[6]PLANILHA ORÇAMENTÁRIA'!D15</f>
        <v>2.0</v>
      </c>
      <c r="C29" s="1000" t="str">
        <f>'[6]PLANILHA ORÇAMENTÁRIA'!E15</f>
        <v>DEMOLIÇÕES</v>
      </c>
      <c r="D29" s="1000"/>
      <c r="E29" s="1000"/>
      <c r="F29" s="1000"/>
      <c r="G29" s="1000"/>
      <c r="H29" s="1000"/>
      <c r="I29" s="1000"/>
      <c r="J29" s="1000"/>
      <c r="K29" s="59"/>
      <c r="L29" s="59"/>
    </row>
    <row r="30" spans="2:12" ht="23.25" hidden="1" customHeight="1">
      <c r="B30" s="60" t="str">
        <f>'[6]PLANILHA ORÇAMENTÁRIA'!D16</f>
        <v>2.1</v>
      </c>
      <c r="C30" s="1003" t="str">
        <f>'[6]PLANILHA ORÇAMENTÁRIA'!E16</f>
        <v>DEMOLIÇÃO DE ALVENARIA DE BLOCO FURADO, SEM REAPROVEITAMENTO, INCLUSIVE REVESTIMENTO.</v>
      </c>
      <c r="D30" s="1003"/>
      <c r="E30" s="1003"/>
      <c r="F30" s="1003"/>
      <c r="G30" s="1003"/>
      <c r="H30" s="1003"/>
      <c r="I30" s="1003"/>
      <c r="J30" s="1003"/>
      <c r="K30" s="61" t="str">
        <f>'[6]PLANILHA ORÇAMENTÁRIA'!F16</f>
        <v>M3</v>
      </c>
      <c r="L30" s="62">
        <f>K33</f>
        <v>17.39</v>
      </c>
    </row>
    <row r="31" spans="2:12" hidden="1">
      <c r="B31" s="63"/>
      <c r="C31" s="1004" t="s">
        <v>20</v>
      </c>
      <c r="D31" s="1004"/>
      <c r="E31" s="1004"/>
      <c r="F31" s="64" t="s">
        <v>117</v>
      </c>
      <c r="G31" s="65" t="s">
        <v>111</v>
      </c>
      <c r="H31" s="64" t="s">
        <v>112</v>
      </c>
      <c r="I31" s="65" t="s">
        <v>113</v>
      </c>
      <c r="J31" s="65" t="s">
        <v>114</v>
      </c>
      <c r="K31" s="66" t="s">
        <v>25</v>
      </c>
      <c r="L31" s="67"/>
    </row>
    <row r="32" spans="2:12" hidden="1">
      <c r="B32" s="63"/>
      <c r="C32" s="1001" t="s">
        <v>121</v>
      </c>
      <c r="D32" s="1001"/>
      <c r="E32" s="1001"/>
      <c r="F32" s="68"/>
      <c r="G32" s="68">
        <v>2.2000000000000002</v>
      </c>
      <c r="H32" s="68">
        <v>0.15</v>
      </c>
      <c r="I32" s="68">
        <v>52.71</v>
      </c>
      <c r="J32" s="68"/>
      <c r="K32" s="69">
        <f>TRUNC(I32*G32*H32,2)</f>
        <v>17.39</v>
      </c>
      <c r="L32" s="67"/>
    </row>
    <row r="33" spans="2:12" hidden="1">
      <c r="B33" s="63"/>
      <c r="C33" s="1002" t="s">
        <v>116</v>
      </c>
      <c r="D33" s="1002"/>
      <c r="E33" s="1002"/>
      <c r="F33" s="1002"/>
      <c r="G33" s="1002"/>
      <c r="H33" s="1002"/>
      <c r="I33" s="1002"/>
      <c r="J33" s="1002"/>
      <c r="K33" s="70">
        <f>SUM(K32:K32)</f>
        <v>17.39</v>
      </c>
      <c r="L33" s="67"/>
    </row>
    <row r="34" spans="2:12" hidden="1">
      <c r="B34" s="63"/>
      <c r="C34" s="71"/>
      <c r="D34" s="71"/>
      <c r="E34" s="71"/>
      <c r="F34" s="71"/>
      <c r="G34" s="71"/>
      <c r="H34" s="71"/>
      <c r="I34" s="71"/>
      <c r="J34" s="71"/>
      <c r="K34" s="72"/>
      <c r="L34" s="67"/>
    </row>
    <row r="35" spans="2:12" hidden="1">
      <c r="B35" s="58" t="str">
        <f>'[6]PLANILHA ORÇAMENTÁRIA'!D17</f>
        <v>3.0</v>
      </c>
      <c r="C35" s="1000" t="str">
        <f>'[6]PLANILHA ORÇAMENTÁRIA'!E17</f>
        <v>TRABALHOS EM TERRA</v>
      </c>
      <c r="D35" s="1000"/>
      <c r="E35" s="1000"/>
      <c r="F35" s="1000"/>
      <c r="G35" s="1000"/>
      <c r="H35" s="1000"/>
      <c r="I35" s="1000"/>
      <c r="J35" s="1000"/>
      <c r="K35" s="59"/>
      <c r="L35" s="59"/>
    </row>
    <row r="36" spans="2:12" ht="15" hidden="1" customHeight="1">
      <c r="B36" s="60" t="str">
        <f>'[6]PLANILHA ORÇAMENTÁRIA'!D18</f>
        <v>3.1</v>
      </c>
      <c r="C36" s="1003" t="str">
        <f>'[6]PLANILHA ORÇAMENTÁRIA'!E18</f>
        <v>CORTE E ATERRO COMPENSADO</v>
      </c>
      <c r="D36" s="1003"/>
      <c r="E36" s="1003"/>
      <c r="F36" s="1003"/>
      <c r="G36" s="1003"/>
      <c r="H36" s="1003"/>
      <c r="I36" s="1003"/>
      <c r="J36" s="1003"/>
      <c r="K36" s="61" t="str">
        <f>'[6]PLANILHA ORÇAMENTÁRIA'!F18</f>
        <v>M3</v>
      </c>
      <c r="L36" s="62">
        <f>K39</f>
        <v>156.15</v>
      </c>
    </row>
    <row r="37" spans="2:12" hidden="1">
      <c r="B37" s="63"/>
      <c r="C37" s="1004" t="s">
        <v>20</v>
      </c>
      <c r="D37" s="1004"/>
      <c r="E37" s="1004"/>
      <c r="F37" s="64" t="s">
        <v>117</v>
      </c>
      <c r="G37" s="65" t="s">
        <v>111</v>
      </c>
      <c r="H37" s="64" t="s">
        <v>112</v>
      </c>
      <c r="I37" s="65" t="s">
        <v>113</v>
      </c>
      <c r="J37" s="65" t="s">
        <v>114</v>
      </c>
      <c r="K37" s="66" t="s">
        <v>25</v>
      </c>
      <c r="L37" s="67"/>
    </row>
    <row r="38" spans="2:12" hidden="1">
      <c r="B38" s="63"/>
      <c r="C38" s="1001" t="s">
        <v>122</v>
      </c>
      <c r="D38" s="1001"/>
      <c r="E38" s="1001"/>
      <c r="F38" s="68">
        <f>F20</f>
        <v>780.75</v>
      </c>
      <c r="G38" s="68">
        <v>0.2</v>
      </c>
      <c r="H38" s="68"/>
      <c r="I38" s="68"/>
      <c r="J38" s="68"/>
      <c r="K38" s="69">
        <f>TRUNC(F38*G38,2)</f>
        <v>156.15</v>
      </c>
      <c r="L38" s="67"/>
    </row>
    <row r="39" spans="2:12" hidden="1">
      <c r="B39" s="63"/>
      <c r="C39" s="1002" t="s">
        <v>116</v>
      </c>
      <c r="D39" s="1002"/>
      <c r="E39" s="1002"/>
      <c r="F39" s="1002"/>
      <c r="G39" s="1002"/>
      <c r="H39" s="1002"/>
      <c r="I39" s="1002"/>
      <c r="J39" s="1002"/>
      <c r="K39" s="70">
        <f>SUM(K38:K38)</f>
        <v>156.15</v>
      </c>
      <c r="L39" s="67"/>
    </row>
    <row r="40" spans="2:12" hidden="1"/>
    <row r="41" spans="2:12" ht="15" hidden="1" customHeight="1">
      <c r="B41" s="60" t="str">
        <f>'[6]PLANILHA ORÇAMENTÁRIA'!D19</f>
        <v>3.2</v>
      </c>
      <c r="C41" s="1003" t="str">
        <f>'[6]PLANILHA ORÇAMENTÁRIA'!E19</f>
        <v>ESCAVAÇÃO MANUAL DE VALA COM PROFUNDIDADE MENOR OU IGUAL A 1,30 M. AF_ 03/2016</v>
      </c>
      <c r="D41" s="1003"/>
      <c r="E41" s="1003"/>
      <c r="F41" s="1003"/>
      <c r="G41" s="1003"/>
      <c r="H41" s="1003"/>
      <c r="I41" s="1003"/>
      <c r="J41" s="1003"/>
      <c r="K41" s="61" t="str">
        <f>'[6]PLANILHA ORÇAMENTÁRIA'!F19</f>
        <v>M3</v>
      </c>
      <c r="L41" s="62">
        <f>K49</f>
        <v>12.827999999999999</v>
      </c>
    </row>
    <row r="42" spans="2:12" hidden="1">
      <c r="B42" s="63"/>
      <c r="C42" s="1004" t="s">
        <v>20</v>
      </c>
      <c r="D42" s="1004"/>
      <c r="E42" s="1004"/>
      <c r="F42" s="64" t="s">
        <v>22</v>
      </c>
      <c r="G42" s="65" t="s">
        <v>111</v>
      </c>
      <c r="H42" s="64" t="s">
        <v>112</v>
      </c>
      <c r="I42" s="65" t="s">
        <v>113</v>
      </c>
      <c r="J42" s="65" t="s">
        <v>114</v>
      </c>
      <c r="K42" s="66" t="s">
        <v>25</v>
      </c>
      <c r="L42" s="67"/>
    </row>
    <row r="43" spans="2:12" hidden="1">
      <c r="B43" s="63"/>
      <c r="C43" s="1001" t="s">
        <v>123</v>
      </c>
      <c r="D43" s="1001"/>
      <c r="E43" s="1001"/>
      <c r="F43" s="68">
        <v>2</v>
      </c>
      <c r="G43" s="68">
        <v>0.6</v>
      </c>
      <c r="H43" s="68">
        <v>0.4</v>
      </c>
      <c r="I43" s="68">
        <v>5.4</v>
      </c>
      <c r="J43" s="68"/>
      <c r="K43" s="69">
        <f t="shared" ref="K43:K48" si="0">PRODUCT(F43:I43)</f>
        <v>2.5920000000000001</v>
      </c>
      <c r="L43" s="67"/>
    </row>
    <row r="44" spans="2:12" hidden="1">
      <c r="B44" s="63"/>
      <c r="C44" s="1001" t="s">
        <v>124</v>
      </c>
      <c r="D44" s="1001"/>
      <c r="E44" s="1001"/>
      <c r="F44" s="68">
        <v>2</v>
      </c>
      <c r="G44" s="68">
        <v>0.6</v>
      </c>
      <c r="H44" s="68">
        <v>0.4</v>
      </c>
      <c r="I44" s="68">
        <v>3.6</v>
      </c>
      <c r="J44" s="68"/>
      <c r="K44" s="69">
        <f t="shared" si="0"/>
        <v>1.728</v>
      </c>
      <c r="L44" s="67"/>
    </row>
    <row r="45" spans="2:12" hidden="1">
      <c r="B45" s="63"/>
      <c r="C45" s="1001" t="s">
        <v>125</v>
      </c>
      <c r="D45" s="1001"/>
      <c r="E45" s="1001"/>
      <c r="F45" s="68">
        <v>1</v>
      </c>
      <c r="G45" s="68">
        <v>0.6</v>
      </c>
      <c r="H45" s="68">
        <v>0.4</v>
      </c>
      <c r="I45" s="68">
        <v>4.2</v>
      </c>
      <c r="J45" s="68"/>
      <c r="K45" s="69">
        <f t="shared" si="0"/>
        <v>1.008</v>
      </c>
      <c r="L45" s="67"/>
    </row>
    <row r="46" spans="2:12" hidden="1">
      <c r="B46" s="63"/>
      <c r="C46" s="1001" t="s">
        <v>126</v>
      </c>
      <c r="D46" s="1001"/>
      <c r="E46" s="1001"/>
      <c r="F46" s="68">
        <v>1</v>
      </c>
      <c r="G46" s="68">
        <v>0.6</v>
      </c>
      <c r="H46" s="68">
        <v>0.4</v>
      </c>
      <c r="I46" s="68">
        <v>3.15</v>
      </c>
      <c r="J46" s="68"/>
      <c r="K46" s="69">
        <f t="shared" si="0"/>
        <v>0.75600000000000001</v>
      </c>
      <c r="L46" s="67"/>
    </row>
    <row r="47" spans="2:12" hidden="1">
      <c r="B47" s="63"/>
      <c r="C47" s="1001" t="s">
        <v>127</v>
      </c>
      <c r="D47" s="1001"/>
      <c r="E47" s="1001"/>
      <c r="F47" s="68">
        <v>1</v>
      </c>
      <c r="G47" s="68">
        <v>0.6</v>
      </c>
      <c r="H47" s="68">
        <v>0.4</v>
      </c>
      <c r="I47" s="68">
        <f>5.7+5.7+4.7</f>
        <v>16.100000000000001</v>
      </c>
      <c r="J47" s="68"/>
      <c r="K47" s="69">
        <f t="shared" si="0"/>
        <v>3.8640000000000003</v>
      </c>
      <c r="L47" s="67"/>
    </row>
    <row r="48" spans="2:12" hidden="1">
      <c r="B48" s="63"/>
      <c r="C48" s="1001" t="s">
        <v>128</v>
      </c>
      <c r="D48" s="1001"/>
      <c r="E48" s="1001"/>
      <c r="F48" s="68">
        <v>8</v>
      </c>
      <c r="G48" s="68">
        <v>1</v>
      </c>
      <c r="H48" s="68">
        <v>0.6</v>
      </c>
      <c r="I48" s="68">
        <v>0.6</v>
      </c>
      <c r="J48" s="68"/>
      <c r="K48" s="69">
        <f t="shared" si="0"/>
        <v>2.88</v>
      </c>
      <c r="L48" s="67"/>
    </row>
    <row r="49" spans="2:12" hidden="1">
      <c r="B49" s="63"/>
      <c r="C49" s="1002" t="s">
        <v>116</v>
      </c>
      <c r="D49" s="1002"/>
      <c r="E49" s="1002"/>
      <c r="F49" s="1002"/>
      <c r="G49" s="1002"/>
      <c r="H49" s="1002"/>
      <c r="I49" s="1002"/>
      <c r="J49" s="1002"/>
      <c r="K49" s="70">
        <f>SUM(K43:K48)</f>
        <v>12.827999999999999</v>
      </c>
      <c r="L49" s="67"/>
    </row>
    <row r="50" spans="2:12" hidden="1"/>
    <row r="51" spans="2:12" ht="15" hidden="1" customHeight="1">
      <c r="B51" s="60" t="str">
        <f>'[6]PLANILHA ORÇAMENTÁRIA'!D20</f>
        <v>3.3</v>
      </c>
      <c r="C51" s="1003" t="str">
        <f>'[6]PLANILHA ORÇAMENTÁRIA'!E20</f>
        <v>REATERRO MANUAL APILOADO COM SOQUETE</v>
      </c>
      <c r="D51" s="1003"/>
      <c r="E51" s="1003"/>
      <c r="F51" s="1003"/>
      <c r="G51" s="1003"/>
      <c r="H51" s="1003"/>
      <c r="I51" s="1003"/>
      <c r="J51" s="1003"/>
      <c r="K51" s="61" t="str">
        <f>'[6]PLANILHA ORÇAMENTÁRIA'!F20</f>
        <v>M3</v>
      </c>
      <c r="L51" s="62">
        <f>K54</f>
        <v>4.0992499999999996</v>
      </c>
    </row>
    <row r="52" spans="2:12" hidden="1">
      <c r="B52" s="63"/>
      <c r="C52" s="1004" t="s">
        <v>20</v>
      </c>
      <c r="D52" s="1004"/>
      <c r="E52" s="1004"/>
      <c r="F52" s="64" t="s">
        <v>129</v>
      </c>
      <c r="G52" s="65" t="s">
        <v>130</v>
      </c>
      <c r="H52" s="64" t="s">
        <v>131</v>
      </c>
      <c r="I52" s="65" t="s">
        <v>132</v>
      </c>
      <c r="J52" s="65"/>
      <c r="K52" s="66" t="s">
        <v>25</v>
      </c>
      <c r="L52" s="67"/>
    </row>
    <row r="53" spans="2:12" hidden="1">
      <c r="B53" s="63"/>
      <c r="C53" s="1001"/>
      <c r="D53" s="1001"/>
      <c r="E53" s="1001"/>
      <c r="F53" s="68">
        <f>L41</f>
        <v>12.827999999999999</v>
      </c>
      <c r="G53" s="68">
        <f>L67</f>
        <v>3.4812500000000002</v>
      </c>
      <c r="H53" s="68">
        <f>L76</f>
        <v>4.1775000000000002</v>
      </c>
      <c r="I53" s="68">
        <v>1.07</v>
      </c>
      <c r="J53" s="68"/>
      <c r="K53" s="69">
        <f>F53-G53-H53-I53</f>
        <v>4.0992499999999996</v>
      </c>
      <c r="L53" s="67"/>
    </row>
    <row r="54" spans="2:12" hidden="1">
      <c r="B54" s="63"/>
      <c r="C54" s="1002" t="s">
        <v>116</v>
      </c>
      <c r="D54" s="1002"/>
      <c r="E54" s="1002"/>
      <c r="F54" s="1002"/>
      <c r="G54" s="1002"/>
      <c r="H54" s="1002"/>
      <c r="I54" s="1002"/>
      <c r="J54" s="1002"/>
      <c r="K54" s="70">
        <f>SUM(K53:K53)</f>
        <v>4.0992499999999996</v>
      </c>
      <c r="L54" s="67"/>
    </row>
    <row r="55" spans="2:12" hidden="1"/>
    <row r="56" spans="2:12" hidden="1">
      <c r="B56" s="58" t="str">
        <f>'[6]PLANILHA ORÇAMENTÁRIA'!D21</f>
        <v>4.0</v>
      </c>
      <c r="C56" s="1000" t="str">
        <f>'[6]PLANILHA ORÇAMENTÁRIA'!E21</f>
        <v>FUNDAÇÃO</v>
      </c>
      <c r="D56" s="1000"/>
      <c r="E56" s="1000"/>
      <c r="F56" s="1000"/>
      <c r="G56" s="1000"/>
      <c r="H56" s="1000"/>
      <c r="I56" s="1000"/>
      <c r="J56" s="1000"/>
      <c r="K56" s="59"/>
      <c r="L56" s="59"/>
    </row>
    <row r="57" spans="2:12" ht="24.75" hidden="1" customHeight="1">
      <c r="B57" s="60" t="str">
        <f>'[6]PLANILHA ORÇAMENTÁRIA'!D22</f>
        <v>4.1</v>
      </c>
      <c r="C57" s="1003" t="str">
        <f>'[6]PLANILHA ORÇAMENTÁRIA'!E22</f>
        <v>LASTRO DE CONCRETO MAGRO, APLICADO EM BLOCOS DE COROAMENTO OU SAPATAS, ESPESSURA DE 5 CM. AF_08/2017</v>
      </c>
      <c r="D57" s="1003"/>
      <c r="E57" s="1003"/>
      <c r="F57" s="1003"/>
      <c r="G57" s="1003"/>
      <c r="H57" s="1003"/>
      <c r="I57" s="1003"/>
      <c r="J57" s="1003"/>
      <c r="K57" s="61" t="str">
        <f>'[6]PLANILHA ORÇAMENTÁRIA'!F22</f>
        <v>M2</v>
      </c>
      <c r="L57" s="62">
        <f>K65</f>
        <v>21.532500000000002</v>
      </c>
    </row>
    <row r="58" spans="2:12" hidden="1">
      <c r="B58" s="63"/>
      <c r="C58" s="1004" t="s">
        <v>20</v>
      </c>
      <c r="D58" s="1004"/>
      <c r="E58" s="1004"/>
      <c r="F58" s="64" t="s">
        <v>22</v>
      </c>
      <c r="G58" s="65" t="s">
        <v>111</v>
      </c>
      <c r="H58" s="64" t="s">
        <v>112</v>
      </c>
      <c r="I58" s="65" t="s">
        <v>113</v>
      </c>
      <c r="J58" s="65" t="s">
        <v>114</v>
      </c>
      <c r="K58" s="66" t="s">
        <v>25</v>
      </c>
      <c r="L58" s="67"/>
    </row>
    <row r="59" spans="2:12" hidden="1">
      <c r="B59" s="63"/>
      <c r="C59" s="1001" t="s">
        <v>123</v>
      </c>
      <c r="D59" s="1001"/>
      <c r="E59" s="1001"/>
      <c r="F59" s="68">
        <v>2</v>
      </c>
      <c r="G59" s="68"/>
      <c r="H59" s="68">
        <v>0.45</v>
      </c>
      <c r="I59" s="68">
        <v>5.4</v>
      </c>
      <c r="J59" s="68"/>
      <c r="K59" s="69">
        <f t="shared" ref="K59:K64" si="1">PRODUCT(F59:I59)</f>
        <v>4.8600000000000003</v>
      </c>
      <c r="L59" s="67"/>
    </row>
    <row r="60" spans="2:12" hidden="1">
      <c r="B60" s="63"/>
      <c r="C60" s="1001" t="s">
        <v>124</v>
      </c>
      <c r="D60" s="1001"/>
      <c r="E60" s="1001"/>
      <c r="F60" s="68">
        <v>2</v>
      </c>
      <c r="G60" s="68"/>
      <c r="H60" s="68">
        <v>0.45</v>
      </c>
      <c r="I60" s="68">
        <v>3.6</v>
      </c>
      <c r="J60" s="68"/>
      <c r="K60" s="69">
        <f t="shared" si="1"/>
        <v>3.24</v>
      </c>
      <c r="L60" s="67"/>
    </row>
    <row r="61" spans="2:12" hidden="1">
      <c r="B61" s="63"/>
      <c r="C61" s="1001" t="s">
        <v>125</v>
      </c>
      <c r="D61" s="1001"/>
      <c r="E61" s="1001"/>
      <c r="F61" s="68">
        <v>1</v>
      </c>
      <c r="G61" s="68"/>
      <c r="H61" s="68">
        <v>0.45</v>
      </c>
      <c r="I61" s="68">
        <v>4.2</v>
      </c>
      <c r="J61" s="68"/>
      <c r="K61" s="69">
        <f t="shared" si="1"/>
        <v>1.8900000000000001</v>
      </c>
      <c r="L61" s="67"/>
    </row>
    <row r="62" spans="2:12" hidden="1">
      <c r="B62" s="63"/>
      <c r="C62" s="1001" t="s">
        <v>126</v>
      </c>
      <c r="D62" s="1001"/>
      <c r="E62" s="1001"/>
      <c r="F62" s="68">
        <v>1</v>
      </c>
      <c r="G62" s="68"/>
      <c r="H62" s="68">
        <v>0.45</v>
      </c>
      <c r="I62" s="68">
        <v>3.15</v>
      </c>
      <c r="J62" s="68"/>
      <c r="K62" s="69">
        <f t="shared" si="1"/>
        <v>1.4175</v>
      </c>
      <c r="L62" s="67"/>
    </row>
    <row r="63" spans="2:12" hidden="1">
      <c r="B63" s="63"/>
      <c r="C63" s="1001" t="s">
        <v>127</v>
      </c>
      <c r="D63" s="1001"/>
      <c r="E63" s="1001"/>
      <c r="F63" s="68">
        <v>1</v>
      </c>
      <c r="G63" s="68"/>
      <c r="H63" s="68">
        <v>0.45</v>
      </c>
      <c r="I63" s="68">
        <f>5.7+5.7+4.7</f>
        <v>16.100000000000001</v>
      </c>
      <c r="J63" s="68"/>
      <c r="K63" s="69">
        <f t="shared" si="1"/>
        <v>7.245000000000001</v>
      </c>
      <c r="L63" s="67"/>
    </row>
    <row r="64" spans="2:12" hidden="1">
      <c r="B64" s="63"/>
      <c r="C64" s="1001" t="s">
        <v>128</v>
      </c>
      <c r="D64" s="1001"/>
      <c r="E64" s="1001"/>
      <c r="F64" s="68">
        <v>8</v>
      </c>
      <c r="G64" s="68"/>
      <c r="H64" s="68">
        <v>0.6</v>
      </c>
      <c r="I64" s="68">
        <v>0.6</v>
      </c>
      <c r="J64" s="68"/>
      <c r="K64" s="69">
        <f t="shared" si="1"/>
        <v>2.88</v>
      </c>
      <c r="L64" s="67"/>
    </row>
    <row r="65" spans="2:12" hidden="1">
      <c r="B65" s="63"/>
      <c r="C65" s="1002" t="s">
        <v>116</v>
      </c>
      <c r="D65" s="1002"/>
      <c r="E65" s="1002"/>
      <c r="F65" s="1002"/>
      <c r="G65" s="1002"/>
      <c r="H65" s="1002"/>
      <c r="I65" s="1002"/>
      <c r="J65" s="1002"/>
      <c r="K65" s="70">
        <f>SUM(K59:K64)</f>
        <v>21.532500000000002</v>
      </c>
      <c r="L65" s="67"/>
    </row>
    <row r="66" spans="2:12" hidden="1">
      <c r="B66" s="63"/>
      <c r="C66" s="71"/>
      <c r="D66" s="71"/>
      <c r="E66" s="71"/>
      <c r="F66" s="71"/>
      <c r="G66" s="71"/>
      <c r="H66" s="71"/>
      <c r="I66" s="71"/>
      <c r="J66" s="71"/>
      <c r="K66" s="72"/>
      <c r="L66" s="67"/>
    </row>
    <row r="67" spans="2:12" ht="15" hidden="1" customHeight="1">
      <c r="B67" s="60" t="str">
        <f>'[6]PLANILHA ORÇAMENTÁRIA'!D23</f>
        <v>4.2</v>
      </c>
      <c r="C67" s="1003" t="str">
        <f>'[6]PLANILHA ORÇAMENTÁRIA'!E23</f>
        <v>EMBASAMENTO C/PEDRA ARGAMASSADA UTILIZANDO ARG.CIM/AREIA 1:4</v>
      </c>
      <c r="D67" s="1003"/>
      <c r="E67" s="1003"/>
      <c r="F67" s="1003"/>
      <c r="G67" s="1003"/>
      <c r="H67" s="1003"/>
      <c r="I67" s="1003"/>
      <c r="J67" s="1003"/>
      <c r="K67" s="61" t="str">
        <f>'[6]PLANILHA ORÇAMENTÁRIA'!F23</f>
        <v>M3</v>
      </c>
      <c r="L67" s="62">
        <f>K74</f>
        <v>3.4812500000000002</v>
      </c>
    </row>
    <row r="68" spans="2:12" hidden="1">
      <c r="B68" s="63"/>
      <c r="C68" s="1004" t="s">
        <v>20</v>
      </c>
      <c r="D68" s="1004"/>
      <c r="E68" s="1004"/>
      <c r="F68" s="64" t="s">
        <v>22</v>
      </c>
      <c r="G68" s="65" t="s">
        <v>111</v>
      </c>
      <c r="H68" s="64" t="s">
        <v>112</v>
      </c>
      <c r="I68" s="65" t="s">
        <v>113</v>
      </c>
      <c r="J68" s="65" t="s">
        <v>114</v>
      </c>
      <c r="K68" s="66" t="s">
        <v>25</v>
      </c>
      <c r="L68" s="67"/>
    </row>
    <row r="69" spans="2:12" hidden="1">
      <c r="B69" s="63"/>
      <c r="C69" s="1001" t="s">
        <v>123</v>
      </c>
      <c r="D69" s="1001"/>
      <c r="E69" s="1001"/>
      <c r="F69" s="68">
        <v>2</v>
      </c>
      <c r="G69" s="68">
        <v>0.25</v>
      </c>
      <c r="H69" s="68">
        <v>0.4</v>
      </c>
      <c r="I69" s="68">
        <v>5.4</v>
      </c>
      <c r="J69" s="68"/>
      <c r="K69" s="69">
        <f>PRODUCT(F69:J69)</f>
        <v>1.08</v>
      </c>
      <c r="L69" s="67"/>
    </row>
    <row r="70" spans="2:12" hidden="1">
      <c r="B70" s="63"/>
      <c r="C70" s="1001" t="s">
        <v>124</v>
      </c>
      <c r="D70" s="1001"/>
      <c r="E70" s="1001"/>
      <c r="F70" s="68">
        <v>2</v>
      </c>
      <c r="G70" s="68">
        <v>0.25</v>
      </c>
      <c r="H70" s="68">
        <v>0.4</v>
      </c>
      <c r="I70" s="68">
        <v>3.6</v>
      </c>
      <c r="J70" s="68"/>
      <c r="K70" s="69">
        <f>PRODUCT(F70:J70)</f>
        <v>0.72000000000000008</v>
      </c>
      <c r="L70" s="67"/>
    </row>
    <row r="71" spans="2:12" hidden="1">
      <c r="B71" s="63"/>
      <c r="C71" s="1001" t="s">
        <v>125</v>
      </c>
      <c r="D71" s="1001"/>
      <c r="E71" s="1001"/>
      <c r="F71" s="68">
        <v>1</v>
      </c>
      <c r="G71" s="68">
        <v>0.25</v>
      </c>
      <c r="H71" s="68">
        <v>0.4</v>
      </c>
      <c r="I71" s="68">
        <v>3.6</v>
      </c>
      <c r="J71" s="68"/>
      <c r="K71" s="69">
        <f>PRODUCT(F71:J71)</f>
        <v>0.36000000000000004</v>
      </c>
      <c r="L71" s="67"/>
    </row>
    <row r="72" spans="2:12" hidden="1">
      <c r="B72" s="63"/>
      <c r="C72" s="1001" t="s">
        <v>127</v>
      </c>
      <c r="D72" s="1001"/>
      <c r="E72" s="1001"/>
      <c r="F72" s="68">
        <v>1</v>
      </c>
      <c r="G72" s="68">
        <v>0.25</v>
      </c>
      <c r="H72" s="68">
        <v>0.25</v>
      </c>
      <c r="I72" s="68">
        <f>5.7+5.7+4.7</f>
        <v>16.100000000000001</v>
      </c>
      <c r="J72" s="68"/>
      <c r="K72" s="69">
        <f>PRODUCT(F72:I72)</f>
        <v>1.0062500000000001</v>
      </c>
      <c r="L72" s="67"/>
    </row>
    <row r="73" spans="2:12" hidden="1">
      <c r="B73" s="63"/>
      <c r="C73" s="1001" t="s">
        <v>126</v>
      </c>
      <c r="D73" s="1001"/>
      <c r="E73" s="1001"/>
      <c r="F73" s="68">
        <v>1</v>
      </c>
      <c r="G73" s="68">
        <v>0.25</v>
      </c>
      <c r="H73" s="68">
        <v>0.4</v>
      </c>
      <c r="I73" s="68">
        <v>3.15</v>
      </c>
      <c r="J73" s="68"/>
      <c r="K73" s="69">
        <f>PRODUCT(F73:J73)</f>
        <v>0.315</v>
      </c>
      <c r="L73" s="67"/>
    </row>
    <row r="74" spans="2:12" hidden="1">
      <c r="B74" s="63"/>
      <c r="C74" s="1002" t="s">
        <v>116</v>
      </c>
      <c r="D74" s="1002"/>
      <c r="E74" s="1002"/>
      <c r="F74" s="1002"/>
      <c r="G74" s="1002"/>
      <c r="H74" s="1002"/>
      <c r="I74" s="1002"/>
      <c r="J74" s="1002"/>
      <c r="K74" s="70">
        <f>SUM(K69:K73)</f>
        <v>3.4812500000000002</v>
      </c>
      <c r="L74" s="67"/>
    </row>
    <row r="75" spans="2:12" hidden="1">
      <c r="B75" s="63"/>
      <c r="C75" s="71"/>
      <c r="D75" s="71"/>
      <c r="E75" s="71"/>
      <c r="F75" s="71"/>
      <c r="G75" s="71"/>
      <c r="H75" s="71"/>
      <c r="I75" s="71"/>
      <c r="J75" s="71"/>
      <c r="K75" s="72"/>
      <c r="L75" s="67"/>
    </row>
    <row r="76" spans="2:12" ht="27" hidden="1" customHeight="1">
      <c r="B76" s="60" t="str">
        <f>'[6]PLANILHA ORÇAMENTÁRIA'!D24</f>
        <v>4.3</v>
      </c>
      <c r="C76" s="1003" t="str">
        <f>'[6]PLANILHA ORÇAMENTÁRIA'!E24</f>
        <v>ALVENARIA DE EMBASAMENTO EM BLOCO CERAMICO, 8 FUROS, DE 9 X 19 X 19 CM, ASSENTADO COM ARGAMASSA TRACO 1:2:8 (CIMENTO, CAL E AREIA)</v>
      </c>
      <c r="D76" s="1003"/>
      <c r="E76" s="1003"/>
      <c r="F76" s="1003"/>
      <c r="G76" s="1003"/>
      <c r="H76" s="1003"/>
      <c r="I76" s="1003"/>
      <c r="J76" s="1003"/>
      <c r="K76" s="61" t="str">
        <f>'[6]PLANILHA ORÇAMENTÁRIA'!F24</f>
        <v>M3</v>
      </c>
      <c r="L76" s="62">
        <f>K83</f>
        <v>4.1775000000000002</v>
      </c>
    </row>
    <row r="77" spans="2:12" hidden="1">
      <c r="B77" s="63"/>
      <c r="C77" s="1004" t="s">
        <v>20</v>
      </c>
      <c r="D77" s="1004"/>
      <c r="E77" s="1004"/>
      <c r="F77" s="64" t="s">
        <v>22</v>
      </c>
      <c r="G77" s="65" t="s">
        <v>111</v>
      </c>
      <c r="H77" s="64" t="s">
        <v>112</v>
      </c>
      <c r="I77" s="65" t="s">
        <v>113</v>
      </c>
      <c r="J77" s="65" t="s">
        <v>114</v>
      </c>
      <c r="K77" s="66" t="s">
        <v>25</v>
      </c>
      <c r="L77" s="67"/>
    </row>
    <row r="78" spans="2:12" hidden="1">
      <c r="B78" s="63"/>
      <c r="C78" s="1001" t="s">
        <v>123</v>
      </c>
      <c r="D78" s="1001"/>
      <c r="E78" s="1001"/>
      <c r="F78" s="68">
        <v>2</v>
      </c>
      <c r="G78" s="68">
        <v>0.3</v>
      </c>
      <c r="H78" s="68">
        <v>0.4</v>
      </c>
      <c r="I78" s="68">
        <v>5.4</v>
      </c>
      <c r="J78" s="68"/>
      <c r="K78" s="69">
        <f>PRODUCT(F78:J78)</f>
        <v>1.296</v>
      </c>
      <c r="L78" s="67"/>
    </row>
    <row r="79" spans="2:12" hidden="1">
      <c r="B79" s="63"/>
      <c r="C79" s="1001" t="s">
        <v>124</v>
      </c>
      <c r="D79" s="1001"/>
      <c r="E79" s="1001"/>
      <c r="F79" s="68">
        <v>2</v>
      </c>
      <c r="G79" s="68">
        <v>0.3</v>
      </c>
      <c r="H79" s="68">
        <v>0.4</v>
      </c>
      <c r="I79" s="68">
        <v>3.6</v>
      </c>
      <c r="J79" s="68"/>
      <c r="K79" s="69">
        <f>PRODUCT(F79:J79)</f>
        <v>0.86399999999999999</v>
      </c>
      <c r="L79" s="67"/>
    </row>
    <row r="80" spans="2:12" hidden="1">
      <c r="B80" s="63"/>
      <c r="C80" s="1001" t="s">
        <v>125</v>
      </c>
      <c r="D80" s="1001"/>
      <c r="E80" s="1001"/>
      <c r="F80" s="68">
        <v>1</v>
      </c>
      <c r="G80" s="68">
        <v>0.3</v>
      </c>
      <c r="H80" s="68">
        <v>0.4</v>
      </c>
      <c r="I80" s="68">
        <v>3.6</v>
      </c>
      <c r="J80" s="68"/>
      <c r="K80" s="69">
        <f>PRODUCT(F80:J80)</f>
        <v>0.432</v>
      </c>
      <c r="L80" s="67"/>
    </row>
    <row r="81" spans="2:12" hidden="1">
      <c r="B81" s="63"/>
      <c r="C81" s="1001" t="s">
        <v>127</v>
      </c>
      <c r="D81" s="1001"/>
      <c r="E81" s="1001"/>
      <c r="F81" s="68">
        <v>1</v>
      </c>
      <c r="G81" s="68">
        <v>0.3</v>
      </c>
      <c r="H81" s="68">
        <v>0.25</v>
      </c>
      <c r="I81" s="68">
        <f>5.7+5.7+4.7</f>
        <v>16.100000000000001</v>
      </c>
      <c r="J81" s="68"/>
      <c r="K81" s="69">
        <f>PRODUCT(F81:I81)</f>
        <v>1.2075</v>
      </c>
      <c r="L81" s="67"/>
    </row>
    <row r="82" spans="2:12" hidden="1">
      <c r="B82" s="63"/>
      <c r="C82" s="1001" t="s">
        <v>126</v>
      </c>
      <c r="D82" s="1001"/>
      <c r="E82" s="1001"/>
      <c r="F82" s="68">
        <v>1</v>
      </c>
      <c r="G82" s="68">
        <v>0.3</v>
      </c>
      <c r="H82" s="68">
        <v>0.4</v>
      </c>
      <c r="I82" s="68">
        <v>3.15</v>
      </c>
      <c r="J82" s="68"/>
      <c r="K82" s="69">
        <f>PRODUCT(F82:J82)</f>
        <v>0.378</v>
      </c>
      <c r="L82" s="67"/>
    </row>
    <row r="83" spans="2:12" hidden="1">
      <c r="B83" s="63"/>
      <c r="C83" s="1002" t="s">
        <v>116</v>
      </c>
      <c r="D83" s="1002"/>
      <c r="E83" s="1002"/>
      <c r="F83" s="1002"/>
      <c r="G83" s="1002"/>
      <c r="H83" s="1002"/>
      <c r="I83" s="1002"/>
      <c r="J83" s="1002"/>
      <c r="K83" s="70">
        <f>SUM(K78:K82)</f>
        <v>4.1775000000000002</v>
      </c>
      <c r="L83" s="67"/>
    </row>
    <row r="84" spans="2:12" hidden="1">
      <c r="B84" s="63"/>
      <c r="C84" s="71"/>
      <c r="D84" s="71"/>
      <c r="E84" s="71"/>
      <c r="F84" s="71"/>
      <c r="G84" s="71"/>
      <c r="H84" s="71"/>
      <c r="I84" s="71"/>
      <c r="J84" s="71"/>
      <c r="K84" s="72"/>
      <c r="L84" s="67"/>
    </row>
    <row r="85" spans="2:12" ht="29.25" hidden="1" customHeight="1">
      <c r="B85" s="60" t="str">
        <f>'[6]PLANILHA ORÇAMENTÁRIA'!D25</f>
        <v>4.4</v>
      </c>
      <c r="C85" s="1003" t="str">
        <f>'[6]PLANILHA ORÇAMENTÁRIA'!E25</f>
        <v>ARMAÇÃO DE BLOCO, VIGA BALDRAME OU SAPATA UTILIZANDO AÇO CA-50 DE 10 MM - MONTAGEM. AF_06/2017</v>
      </c>
      <c r="D85" s="1003"/>
      <c r="E85" s="1003"/>
      <c r="F85" s="1003"/>
      <c r="G85" s="1003"/>
      <c r="H85" s="1003"/>
      <c r="I85" s="1003"/>
      <c r="J85" s="1003"/>
      <c r="K85" s="61" t="str">
        <f>'[6]PLANILHA ORÇAMENTÁRIA'!F25</f>
        <v>KG</v>
      </c>
      <c r="L85" s="62">
        <f>K88</f>
        <v>41.32</v>
      </c>
    </row>
    <row r="86" spans="2:12" hidden="1">
      <c r="B86" s="63"/>
      <c r="C86" s="1004" t="s">
        <v>20</v>
      </c>
      <c r="D86" s="1004"/>
      <c r="E86" s="1004"/>
      <c r="F86" s="64" t="s">
        <v>22</v>
      </c>
      <c r="G86" s="65" t="s">
        <v>113</v>
      </c>
      <c r="H86" s="64" t="s">
        <v>133</v>
      </c>
      <c r="I86" s="65" t="s">
        <v>112</v>
      </c>
      <c r="J86" s="65" t="s">
        <v>114</v>
      </c>
      <c r="K86" s="66" t="s">
        <v>25</v>
      </c>
      <c r="L86" s="67"/>
    </row>
    <row r="87" spans="2:12" ht="22.5" hidden="1" customHeight="1">
      <c r="B87" s="63"/>
      <c r="C87" s="1001" t="s">
        <v>134</v>
      </c>
      <c r="D87" s="1001"/>
      <c r="E87" s="1001"/>
      <c r="F87" s="68">
        <v>8</v>
      </c>
      <c r="G87" s="68">
        <v>8.1999999999999993</v>
      </c>
      <c r="H87" s="68">
        <v>0.63</v>
      </c>
      <c r="I87" s="68"/>
      <c r="J87" s="68"/>
      <c r="K87" s="906">
        <f>TRUNC((G87*H87)*F87,2)</f>
        <v>41.32</v>
      </c>
      <c r="L87" s="67"/>
    </row>
    <row r="88" spans="2:12" hidden="1">
      <c r="B88" s="63"/>
      <c r="C88" s="1002" t="s">
        <v>116</v>
      </c>
      <c r="D88" s="1002"/>
      <c r="E88" s="1002"/>
      <c r="F88" s="1002"/>
      <c r="G88" s="1002"/>
      <c r="H88" s="1002"/>
      <c r="I88" s="1002"/>
      <c r="J88" s="1002"/>
      <c r="K88" s="66">
        <f>SUM(K87:K87)</f>
        <v>41.32</v>
      </c>
      <c r="L88" s="67"/>
    </row>
    <row r="89" spans="2:12" hidden="1"/>
    <row r="90" spans="2:12" ht="27.75" hidden="1" customHeight="1">
      <c r="B90" s="60" t="str">
        <f>'[6]PLANILHA ORÇAMENTÁRIA'!D26</f>
        <v>4.5</v>
      </c>
      <c r="C90" s="1003" t="str">
        <f>'[6]PLANILHA ORÇAMENTÁRIA'!E26</f>
        <v>CONCRETAGEM DE BLOCOS DE COROAMENTO E VIGAS BALDRAMES, FCK 30 MPA, COM USO DE BOMBA LANÇAMENTO, ADENSAMENTO E ACABAMENTO. AF_06/2017</v>
      </c>
      <c r="D90" s="1003"/>
      <c r="E90" s="1003"/>
      <c r="F90" s="1003"/>
      <c r="G90" s="1003"/>
      <c r="H90" s="1003"/>
      <c r="I90" s="1003"/>
      <c r="J90" s="1003"/>
      <c r="K90" s="61" t="str">
        <f>'[6]PLANILHA ORÇAMENTÁRIA'!F26</f>
        <v>M3</v>
      </c>
      <c r="L90" s="62">
        <f>K93</f>
        <v>1.72</v>
      </c>
    </row>
    <row r="91" spans="2:12" hidden="1">
      <c r="B91" s="63"/>
      <c r="C91" s="1004" t="s">
        <v>20</v>
      </c>
      <c r="D91" s="1004"/>
      <c r="E91" s="1004"/>
      <c r="F91" s="64" t="s">
        <v>22</v>
      </c>
      <c r="G91" s="65" t="s">
        <v>111</v>
      </c>
      <c r="H91" s="64" t="s">
        <v>112</v>
      </c>
      <c r="I91" s="65" t="s">
        <v>113</v>
      </c>
      <c r="J91" s="65" t="s">
        <v>114</v>
      </c>
      <c r="K91" s="66" t="s">
        <v>25</v>
      </c>
      <c r="L91" s="67"/>
    </row>
    <row r="92" spans="2:12" hidden="1">
      <c r="B92" s="63"/>
      <c r="C92" s="1001" t="s">
        <v>135</v>
      </c>
      <c r="D92" s="1001"/>
      <c r="E92" s="1001"/>
      <c r="F92" s="68">
        <v>8</v>
      </c>
      <c r="G92" s="68">
        <v>0.6</v>
      </c>
      <c r="H92" s="68">
        <v>0.6</v>
      </c>
      <c r="I92" s="68">
        <v>0.6</v>
      </c>
      <c r="J92" s="68"/>
      <c r="K92" s="906">
        <f>TRUNC(G92*H92*F92*I92,2)</f>
        <v>1.72</v>
      </c>
      <c r="L92" s="67"/>
    </row>
    <row r="93" spans="2:12" hidden="1">
      <c r="B93" s="63"/>
      <c r="C93" s="1002" t="s">
        <v>116</v>
      </c>
      <c r="D93" s="1002"/>
      <c r="E93" s="1002"/>
      <c r="F93" s="1002"/>
      <c r="G93" s="1002"/>
      <c r="H93" s="1002"/>
      <c r="I93" s="1002"/>
      <c r="J93" s="1002"/>
      <c r="K93" s="66">
        <f>SUM(K92:K92)</f>
        <v>1.72</v>
      </c>
      <c r="L93" s="67"/>
    </row>
    <row r="94" spans="2:12" hidden="1"/>
    <row r="95" spans="2:12" ht="15" hidden="1" customHeight="1">
      <c r="B95" s="60" t="str">
        <f>'[6]PLANILHA ORÇAMENTÁRIA'!D27</f>
        <v>4.6</v>
      </c>
      <c r="C95" s="1003" t="str">
        <f>'[6]PLANILHA ORÇAMENTÁRIA'!E27</f>
        <v>IMPERMEABILIZAÇÃO DE ESTRUTURAS ENTERRADAS, COM TINTA ASFALTICA, DUAS DEMAOS.</v>
      </c>
      <c r="D95" s="1003"/>
      <c r="E95" s="1003"/>
      <c r="F95" s="1003"/>
      <c r="G95" s="1003"/>
      <c r="H95" s="1003"/>
      <c r="I95" s="1003"/>
      <c r="J95" s="1003"/>
      <c r="K95" s="61" t="str">
        <f>'[6]PLANILHA ORÇAMENTÁRIA'!F27</f>
        <v>M2</v>
      </c>
      <c r="L95" s="62">
        <f>K98</f>
        <v>23.88</v>
      </c>
    </row>
    <row r="96" spans="2:12" hidden="1">
      <c r="B96" s="63"/>
      <c r="C96" s="1004" t="s">
        <v>20</v>
      </c>
      <c r="D96" s="1004"/>
      <c r="E96" s="1004"/>
      <c r="F96" s="64" t="s">
        <v>22</v>
      </c>
      <c r="G96" s="65" t="s">
        <v>111</v>
      </c>
      <c r="H96" s="64" t="s">
        <v>112</v>
      </c>
      <c r="I96" s="65" t="s">
        <v>113</v>
      </c>
      <c r="J96" s="65" t="s">
        <v>136</v>
      </c>
      <c r="K96" s="66" t="s">
        <v>25</v>
      </c>
      <c r="L96" s="67"/>
    </row>
    <row r="97" spans="2:12" hidden="1">
      <c r="B97" s="63"/>
      <c r="C97" s="1001"/>
      <c r="D97" s="1001"/>
      <c r="E97" s="1001"/>
      <c r="F97" s="68"/>
      <c r="G97" s="68">
        <v>0.3</v>
      </c>
      <c r="H97" s="68">
        <v>0.15</v>
      </c>
      <c r="I97" s="68">
        <v>31.85</v>
      </c>
      <c r="J97" s="68">
        <v>2</v>
      </c>
      <c r="K97" s="906">
        <f>TRUNC((G97*I97*J97)+(H97*I97),2)</f>
        <v>23.88</v>
      </c>
      <c r="L97" s="67"/>
    </row>
    <row r="98" spans="2:12" hidden="1">
      <c r="B98" s="63"/>
      <c r="C98" s="1002" t="s">
        <v>116</v>
      </c>
      <c r="D98" s="1002"/>
      <c r="E98" s="1002"/>
      <c r="F98" s="1002"/>
      <c r="G98" s="1002"/>
      <c r="H98" s="1002"/>
      <c r="I98" s="1002"/>
      <c r="J98" s="1002"/>
      <c r="K98" s="66">
        <f>SUM(K97:K97)</f>
        <v>23.88</v>
      </c>
      <c r="L98" s="67"/>
    </row>
    <row r="99" spans="2:12" hidden="1"/>
    <row r="100" spans="2:12" hidden="1">
      <c r="B100" s="58" t="str">
        <f>'[6]PLANILHA ORÇAMENTÁRIA'!D28</f>
        <v>5.0</v>
      </c>
      <c r="C100" s="1000" t="str">
        <f>'[6]PLANILHA ORÇAMENTÁRIA'!E28</f>
        <v>ESTRUTURA EM CONCRETO ARMADO</v>
      </c>
      <c r="D100" s="1000"/>
      <c r="E100" s="1000"/>
      <c r="F100" s="1000"/>
      <c r="G100" s="1000"/>
      <c r="H100" s="1000"/>
      <c r="I100" s="1000"/>
      <c r="J100" s="1000"/>
      <c r="K100" s="59"/>
      <c r="L100" s="59"/>
    </row>
    <row r="101" spans="2:12" ht="15" hidden="1" customHeight="1">
      <c r="B101" s="60" t="e">
        <f>'[6]PLANILHA ORÇAMENTÁRIA'!#REF!</f>
        <v>#REF!</v>
      </c>
      <c r="C101" s="1003" t="e">
        <f>'[6]PLANILHA ORÇAMENTÁRIA'!#REF!</f>
        <v>#REF!</v>
      </c>
      <c r="D101" s="1003"/>
      <c r="E101" s="1003"/>
      <c r="F101" s="1003"/>
      <c r="G101" s="1003"/>
      <c r="H101" s="1003"/>
      <c r="I101" s="1003"/>
      <c r="J101" s="1003"/>
      <c r="K101" s="61" t="e">
        <f>'[6]PLANILHA ORÇAMENTÁRIA'!#REF!</f>
        <v>#REF!</v>
      </c>
      <c r="L101" s="62">
        <f>K104</f>
        <v>31.85</v>
      </c>
    </row>
    <row r="102" spans="2:12" hidden="1">
      <c r="B102" s="63"/>
      <c r="C102" s="1004" t="s">
        <v>20</v>
      </c>
      <c r="D102" s="1004"/>
      <c r="E102" s="1004"/>
      <c r="F102" s="64" t="s">
        <v>22</v>
      </c>
      <c r="G102" s="65" t="s">
        <v>111</v>
      </c>
      <c r="H102" s="64" t="s">
        <v>112</v>
      </c>
      <c r="I102" s="65" t="s">
        <v>113</v>
      </c>
      <c r="J102" s="65" t="s">
        <v>114</v>
      </c>
      <c r="K102" s="66" t="s">
        <v>25</v>
      </c>
      <c r="L102" s="67"/>
    </row>
    <row r="103" spans="2:12" hidden="1">
      <c r="B103" s="63"/>
      <c r="C103" s="1001" t="s">
        <v>137</v>
      </c>
      <c r="D103" s="1001"/>
      <c r="E103" s="1001"/>
      <c r="F103" s="68">
        <v>1</v>
      </c>
      <c r="G103" s="68"/>
      <c r="H103" s="68"/>
      <c r="I103" s="68">
        <v>31.85</v>
      </c>
      <c r="J103" s="68"/>
      <c r="K103" s="906">
        <f>I103*F103</f>
        <v>31.85</v>
      </c>
      <c r="L103" s="67"/>
    </row>
    <row r="104" spans="2:12" hidden="1">
      <c r="B104" s="63"/>
      <c r="C104" s="1002" t="s">
        <v>116</v>
      </c>
      <c r="D104" s="1002"/>
      <c r="E104" s="1002"/>
      <c r="F104" s="1002"/>
      <c r="G104" s="1002"/>
      <c r="H104" s="1002"/>
      <c r="I104" s="1002"/>
      <c r="J104" s="1002"/>
      <c r="K104" s="66">
        <f>SUM(K103:K103)</f>
        <v>31.85</v>
      </c>
      <c r="L104" s="67"/>
    </row>
    <row r="105" spans="2:12" hidden="1"/>
    <row r="106" spans="2:12" ht="15" hidden="1" customHeight="1">
      <c r="B106" s="60" t="str">
        <f>'[6]PLANILHA ORÇAMENTÁRIA'!D29</f>
        <v>5.1</v>
      </c>
      <c r="C106" s="1003" t="str">
        <f>'[6]PLANILHA ORÇAMENTÁRIA'!E29</f>
        <v>FORMA PLANA PARA PILARES, EM COMPENSADO RESINADO DE 14MM, 12 USOS, INCLUSIVE ESCORAMENTO</v>
      </c>
      <c r="D106" s="1003"/>
      <c r="E106" s="1003"/>
      <c r="F106" s="1003"/>
      <c r="G106" s="1003"/>
      <c r="H106" s="1003"/>
      <c r="I106" s="1003"/>
      <c r="J106" s="1003"/>
      <c r="K106" s="61" t="str">
        <f>'[6]PLANILHA ORÇAMENTÁRIA'!F29</f>
        <v>M2</v>
      </c>
      <c r="L106" s="62">
        <f>K111</f>
        <v>26.689999999999998</v>
      </c>
    </row>
    <row r="107" spans="2:12" hidden="1">
      <c r="B107" s="63"/>
      <c r="C107" s="1004" t="s">
        <v>20</v>
      </c>
      <c r="D107" s="1004"/>
      <c r="E107" s="1004"/>
      <c r="F107" s="64" t="s">
        <v>22</v>
      </c>
      <c r="G107" s="65" t="s">
        <v>111</v>
      </c>
      <c r="H107" s="64" t="s">
        <v>112</v>
      </c>
      <c r="I107" s="65" t="s">
        <v>113</v>
      </c>
      <c r="J107" s="65" t="s">
        <v>136</v>
      </c>
      <c r="K107" s="66" t="s">
        <v>25</v>
      </c>
      <c r="L107" s="67"/>
    </row>
    <row r="108" spans="2:12" hidden="1">
      <c r="B108" s="63"/>
      <c r="C108" s="1001" t="s">
        <v>138</v>
      </c>
      <c r="D108" s="1001"/>
      <c r="E108" s="1001"/>
      <c r="F108" s="68">
        <v>4</v>
      </c>
      <c r="G108" s="68">
        <v>5.05</v>
      </c>
      <c r="H108" s="68">
        <v>0.19</v>
      </c>
      <c r="I108" s="68">
        <v>0.19</v>
      </c>
      <c r="J108" s="68">
        <v>2</v>
      </c>
      <c r="K108" s="906">
        <f>TRUNC((H108*G108*J108*F108)+(I108*G108*J108*F108),2)</f>
        <v>15.35</v>
      </c>
      <c r="L108" s="67"/>
    </row>
    <row r="109" spans="2:12" hidden="1">
      <c r="B109" s="63"/>
      <c r="C109" s="1001" t="s">
        <v>138</v>
      </c>
      <c r="D109" s="1001"/>
      <c r="E109" s="1001"/>
      <c r="F109" s="68">
        <v>2</v>
      </c>
      <c r="G109" s="68">
        <v>3.7</v>
      </c>
      <c r="H109" s="68">
        <v>0.19</v>
      </c>
      <c r="I109" s="68">
        <v>0.19</v>
      </c>
      <c r="J109" s="68">
        <v>2</v>
      </c>
      <c r="K109" s="906">
        <f>TRUNC((H109*G109*J109*F109)+(I109*G109*J109*F109),2)</f>
        <v>5.62</v>
      </c>
      <c r="L109" s="67"/>
    </row>
    <row r="110" spans="2:12" hidden="1">
      <c r="B110" s="63"/>
      <c r="C110" s="1001" t="s">
        <v>139</v>
      </c>
      <c r="D110" s="1001"/>
      <c r="E110" s="1001"/>
      <c r="F110" s="68">
        <v>2</v>
      </c>
      <c r="G110" s="68">
        <v>2.6</v>
      </c>
      <c r="H110" s="68">
        <v>0.15</v>
      </c>
      <c r="I110" s="68">
        <v>0.4</v>
      </c>
      <c r="J110" s="68">
        <v>2</v>
      </c>
      <c r="K110" s="906">
        <f>TRUNC((H110*G110*J110*F110)+(I110*G110*J110*F110),2)</f>
        <v>5.72</v>
      </c>
      <c r="L110" s="67"/>
    </row>
    <row r="111" spans="2:12" hidden="1">
      <c r="B111" s="63"/>
      <c r="C111" s="1002" t="s">
        <v>116</v>
      </c>
      <c r="D111" s="1002"/>
      <c r="E111" s="1002"/>
      <c r="F111" s="1002"/>
      <c r="G111" s="1002"/>
      <c r="H111" s="1002"/>
      <c r="I111" s="1002"/>
      <c r="J111" s="1002"/>
      <c r="K111" s="66">
        <f>SUM(K108:K110)</f>
        <v>26.689999999999998</v>
      </c>
      <c r="L111" s="67"/>
    </row>
    <row r="112" spans="2:12" hidden="1"/>
    <row r="113" spans="2:12" ht="23.25" hidden="1" customHeight="1">
      <c r="B113" s="60" t="str">
        <f>'[6]PLANILHA ORÇAMENTÁRIA'!D30</f>
        <v>5.2</v>
      </c>
      <c r="C113" s="1003" t="str">
        <f>'[6]PLANILHA ORÇAMENTÁRIA'!E30</f>
        <v>ARMAÇÃO DE PILAR OU VIGA DE UMA ESTRUTURA CONVENCIONAL DE CONCRETO ARMADO EM UMA EDIFICAÇÃO TÉRREA OU SOBRADO UTILIZANDO AÇO CA-50 DE 10,0 MM - MONTAGEM. AF_12/2015</v>
      </c>
      <c r="D113" s="1003"/>
      <c r="E113" s="1003"/>
      <c r="F113" s="1003"/>
      <c r="G113" s="1003"/>
      <c r="H113" s="1003"/>
      <c r="I113" s="1003"/>
      <c r="J113" s="1003"/>
      <c r="K113" s="61" t="str">
        <f>'[6]PLANILHA ORÇAMENTÁRIA'!F30</f>
        <v>KG</v>
      </c>
      <c r="L113" s="62">
        <f>K120</f>
        <v>262.81</v>
      </c>
    </row>
    <row r="114" spans="2:12" hidden="1">
      <c r="B114" s="63"/>
      <c r="C114" s="1004" t="s">
        <v>20</v>
      </c>
      <c r="D114" s="1004"/>
      <c r="E114" s="1004"/>
      <c r="F114" s="64" t="s">
        <v>22</v>
      </c>
      <c r="G114" s="65" t="s">
        <v>113</v>
      </c>
      <c r="H114" s="64" t="s">
        <v>133</v>
      </c>
      <c r="I114" s="65" t="s">
        <v>112</v>
      </c>
      <c r="J114" s="65" t="s">
        <v>114</v>
      </c>
      <c r="K114" s="66" t="s">
        <v>25</v>
      </c>
      <c r="L114" s="67"/>
    </row>
    <row r="115" spans="2:12" hidden="1">
      <c r="B115" s="63"/>
      <c r="C115" s="1001" t="s">
        <v>140</v>
      </c>
      <c r="D115" s="1001"/>
      <c r="E115" s="1001"/>
      <c r="F115" s="68">
        <v>4</v>
      </c>
      <c r="G115" s="68">
        <f>5.05*4</f>
        <v>20.2</v>
      </c>
      <c r="H115" s="68">
        <v>0.63</v>
      </c>
      <c r="I115" s="68"/>
      <c r="J115" s="68"/>
      <c r="K115" s="906">
        <f>TRUNC((G115*F115)*H115,2)</f>
        <v>50.9</v>
      </c>
      <c r="L115" s="67"/>
    </row>
    <row r="116" spans="2:12" hidden="1">
      <c r="B116" s="63"/>
      <c r="C116" s="1001" t="s">
        <v>140</v>
      </c>
      <c r="D116" s="1001"/>
      <c r="E116" s="1001"/>
      <c r="F116" s="68">
        <v>2</v>
      </c>
      <c r="G116" s="68">
        <f>3.7*4</f>
        <v>14.8</v>
      </c>
      <c r="H116" s="68">
        <v>0.63</v>
      </c>
      <c r="I116" s="68"/>
      <c r="J116" s="68"/>
      <c r="K116" s="906">
        <f>TRUNC((G116*F116)*H116,2)</f>
        <v>18.64</v>
      </c>
      <c r="L116" s="67"/>
    </row>
    <row r="117" spans="2:12" hidden="1">
      <c r="B117" s="63"/>
      <c r="C117" s="1001" t="s">
        <v>141</v>
      </c>
      <c r="D117" s="1001"/>
      <c r="E117" s="1001"/>
      <c r="F117" s="68">
        <v>2</v>
      </c>
      <c r="G117" s="68">
        <f>2.6*6</f>
        <v>15.600000000000001</v>
      </c>
      <c r="H117" s="68">
        <v>0.63</v>
      </c>
      <c r="I117" s="68"/>
      <c r="J117" s="68"/>
      <c r="K117" s="906">
        <f>TRUNC((G117*F117)*H117,2)</f>
        <v>19.649999999999999</v>
      </c>
      <c r="L117" s="67"/>
    </row>
    <row r="118" spans="2:12" hidden="1">
      <c r="B118" s="63"/>
      <c r="C118" s="1001" t="s">
        <v>142</v>
      </c>
      <c r="D118" s="1001"/>
      <c r="E118" s="1001"/>
      <c r="F118" s="68">
        <v>2</v>
      </c>
      <c r="G118" s="68">
        <f>25.8*4</f>
        <v>103.2</v>
      </c>
      <c r="H118" s="68">
        <v>0.63</v>
      </c>
      <c r="I118" s="68"/>
      <c r="J118" s="68"/>
      <c r="K118" s="906">
        <f>TRUNC((G118*F118)*H118,2)</f>
        <v>130.03</v>
      </c>
      <c r="L118" s="67"/>
    </row>
    <row r="119" spans="2:12" hidden="1">
      <c r="B119" s="63"/>
      <c r="C119" s="1001" t="s">
        <v>142</v>
      </c>
      <c r="D119" s="1001"/>
      <c r="E119" s="1001"/>
      <c r="F119" s="68">
        <v>1</v>
      </c>
      <c r="G119" s="68">
        <f>17.3*4</f>
        <v>69.2</v>
      </c>
      <c r="H119" s="68">
        <v>0.63</v>
      </c>
      <c r="I119" s="68"/>
      <c r="J119" s="68"/>
      <c r="K119" s="906">
        <f>TRUNC((G119*F119)*H119,2)</f>
        <v>43.59</v>
      </c>
      <c r="L119" s="67"/>
    </row>
    <row r="120" spans="2:12" hidden="1">
      <c r="B120" s="63"/>
      <c r="C120" s="1002" t="s">
        <v>116</v>
      </c>
      <c r="D120" s="1002"/>
      <c r="E120" s="1002"/>
      <c r="F120" s="1002"/>
      <c r="G120" s="1002"/>
      <c r="H120" s="1002"/>
      <c r="I120" s="1002"/>
      <c r="J120" s="1002"/>
      <c r="K120" s="66">
        <f>SUM(K115:K119)</f>
        <v>262.81</v>
      </c>
      <c r="L120" s="67"/>
    </row>
    <row r="121" spans="2:12" hidden="1"/>
    <row r="122" spans="2:12" ht="27" hidden="1" customHeight="1">
      <c r="B122" s="60" t="str">
        <f>'[6]PLANILHA ORÇAMENTÁRIA'!D31</f>
        <v>5.3</v>
      </c>
      <c r="C122" s="1003" t="str">
        <f>'[6]PLANILHA ORÇAMENTÁRIA'!E31</f>
        <v>ARMAÇÃO DE PILAR OU VIGA DE UMA ESTRUTURA CONVENCIONAL DE CONCRETO ARMADO EM UMA EDIFICAÇÃO TÉRREA OU SOBRADO UTILIZANDO AÇO CA-60 DE 5,0 MM - MONTAGEM. AF_12/2015</v>
      </c>
      <c r="D122" s="1003"/>
      <c r="E122" s="1003"/>
      <c r="F122" s="1003"/>
      <c r="G122" s="1003"/>
      <c r="H122" s="1003"/>
      <c r="I122" s="1003"/>
      <c r="J122" s="1003"/>
      <c r="K122" s="61" t="str">
        <f>'[6]PLANILHA ORÇAMENTÁRIA'!F31</f>
        <v>KG</v>
      </c>
      <c r="L122" s="62">
        <f>K129</f>
        <v>67.75</v>
      </c>
    </row>
    <row r="123" spans="2:12" hidden="1">
      <c r="B123" s="63"/>
      <c r="C123" s="1004" t="s">
        <v>20</v>
      </c>
      <c r="D123" s="1004"/>
      <c r="E123" s="1004"/>
      <c r="F123" s="64" t="s">
        <v>22</v>
      </c>
      <c r="G123" s="65" t="s">
        <v>113</v>
      </c>
      <c r="H123" s="64" t="s">
        <v>143</v>
      </c>
      <c r="I123" s="64" t="s">
        <v>144</v>
      </c>
      <c r="J123" s="64" t="s">
        <v>133</v>
      </c>
      <c r="K123" s="66" t="s">
        <v>25</v>
      </c>
      <c r="L123" s="67"/>
    </row>
    <row r="124" spans="2:12" hidden="1">
      <c r="B124" s="63"/>
      <c r="C124" s="1001" t="s">
        <v>145</v>
      </c>
      <c r="D124" s="1001"/>
      <c r="E124" s="1001"/>
      <c r="F124" s="68">
        <v>4</v>
      </c>
      <c r="G124" s="68">
        <f>0.13+0.13+0.13+0.13+0.16</f>
        <v>0.68</v>
      </c>
      <c r="H124" s="68">
        <f>TRUNC(G108/0.2,2)</f>
        <v>25.25</v>
      </c>
      <c r="I124" s="68">
        <f>TRUNC(G124*H124,2)</f>
        <v>17.170000000000002</v>
      </c>
      <c r="J124" s="68">
        <v>0.16</v>
      </c>
      <c r="K124" s="906">
        <f>TRUNC((I124*G124*J124)*F124,2)</f>
        <v>7.47</v>
      </c>
      <c r="L124" s="67"/>
    </row>
    <row r="125" spans="2:12" hidden="1">
      <c r="B125" s="63"/>
      <c r="C125" s="1001" t="s">
        <v>145</v>
      </c>
      <c r="D125" s="1001"/>
      <c r="E125" s="1001"/>
      <c r="F125" s="68">
        <v>2</v>
      </c>
      <c r="G125" s="68">
        <f>0.13+0.13+0.13+0.13+0.16</f>
        <v>0.68</v>
      </c>
      <c r="H125" s="68">
        <f>TRUNC(G109/0.2,2)</f>
        <v>18.5</v>
      </c>
      <c r="I125" s="68">
        <f>TRUNC(G125*H125,2)</f>
        <v>12.58</v>
      </c>
      <c r="J125" s="68">
        <v>0.16</v>
      </c>
      <c r="K125" s="906">
        <f>TRUNC((I125*G125*J125)*F125,2)</f>
        <v>2.73</v>
      </c>
      <c r="L125" s="67"/>
    </row>
    <row r="126" spans="2:12" hidden="1">
      <c r="B126" s="63"/>
      <c r="C126" s="1001" t="s">
        <v>146</v>
      </c>
      <c r="D126" s="1001"/>
      <c r="E126" s="1001"/>
      <c r="F126" s="68">
        <v>2</v>
      </c>
      <c r="G126" s="68">
        <f>0.9+0.9+0.34+0.34+0.16</f>
        <v>2.64</v>
      </c>
      <c r="H126" s="68">
        <f>TRUNC(G110/0.2,2)</f>
        <v>13</v>
      </c>
      <c r="I126" s="68">
        <f>TRUNC(G126*H126,2)</f>
        <v>34.32</v>
      </c>
      <c r="J126" s="68">
        <v>0.16</v>
      </c>
      <c r="K126" s="906">
        <f>TRUNC((I126*G126*J126)*F126,2)</f>
        <v>28.99</v>
      </c>
      <c r="L126" s="67"/>
    </row>
    <row r="127" spans="2:12" hidden="1">
      <c r="B127" s="63"/>
      <c r="C127" s="1001" t="s">
        <v>147</v>
      </c>
      <c r="D127" s="1001"/>
      <c r="E127" s="1001"/>
      <c r="F127" s="68">
        <v>2</v>
      </c>
      <c r="G127" s="68">
        <f>0.09+0.09+0.19+0.19+0.16</f>
        <v>0.72000000000000008</v>
      </c>
      <c r="H127" s="68">
        <f>TRUNC(I140/0.2,2)</f>
        <v>129</v>
      </c>
      <c r="I127" s="68">
        <f>TRUNC(G127*H127,2)</f>
        <v>92.88</v>
      </c>
      <c r="J127" s="68">
        <v>0.16</v>
      </c>
      <c r="K127" s="906">
        <f>TRUNC((I127*G127*J127)*F127,2)</f>
        <v>21.39</v>
      </c>
      <c r="L127" s="67"/>
    </row>
    <row r="128" spans="2:12" hidden="1">
      <c r="B128" s="63"/>
      <c r="C128" s="1001" t="s">
        <v>147</v>
      </c>
      <c r="D128" s="1001"/>
      <c r="E128" s="1001"/>
      <c r="F128" s="68">
        <v>1</v>
      </c>
      <c r="G128" s="68">
        <f>0.09+0.09+0.19+0.19+0.16</f>
        <v>0.72000000000000008</v>
      </c>
      <c r="H128" s="68">
        <f>TRUNC(I141/0.2,2)</f>
        <v>86.5</v>
      </c>
      <c r="I128" s="68">
        <f>TRUNC(G128*H128,2)</f>
        <v>62.28</v>
      </c>
      <c r="J128" s="68">
        <v>0.16</v>
      </c>
      <c r="K128" s="906">
        <f>TRUNC((I128*G128*J128)*F128,2)</f>
        <v>7.17</v>
      </c>
      <c r="L128" s="67"/>
    </row>
    <row r="129" spans="2:12" hidden="1">
      <c r="B129" s="63"/>
      <c r="C129" s="1002" t="s">
        <v>116</v>
      </c>
      <c r="D129" s="1002"/>
      <c r="E129" s="1002"/>
      <c r="F129" s="1002"/>
      <c r="G129" s="1002"/>
      <c r="H129" s="1002"/>
      <c r="I129" s="1002"/>
      <c r="J129" s="1002"/>
      <c r="K129" s="66">
        <f>SUM(K124:K128)</f>
        <v>67.75</v>
      </c>
      <c r="L129" s="67"/>
    </row>
    <row r="130" spans="2:12" hidden="1">
      <c r="B130" s="63"/>
      <c r="C130" s="71"/>
      <c r="D130" s="71"/>
      <c r="E130" s="71"/>
      <c r="F130" s="71"/>
      <c r="G130" s="71"/>
      <c r="H130" s="71"/>
      <c r="I130" s="71"/>
      <c r="J130" s="71"/>
      <c r="K130" s="73"/>
      <c r="L130" s="67"/>
    </row>
    <row r="131" spans="2:12" ht="24.75" hidden="1" customHeight="1">
      <c r="B131" s="60" t="str">
        <f>'[6]PLANILHA ORÇAMENTÁRIA'!D32</f>
        <v>5.4</v>
      </c>
      <c r="C131" s="1003" t="str">
        <f>'[6]PLANILHA ORÇAMENTÁRIA'!E32</f>
        <v>CONCRETAGEM DE PILARES, FCK = 25 MPA, COM USO DE GRUA EM EDIFICAÇÃO COM SEÇÃO MÉDIA DE PILARES MAIOR QUE 0,25 M² - LANÇAMENTO, ADENSAMENTO E ACABAMENTO. AF_12/2015</v>
      </c>
      <c r="D131" s="1003"/>
      <c r="E131" s="1003"/>
      <c r="F131" s="1003"/>
      <c r="G131" s="1003"/>
      <c r="H131" s="1003"/>
      <c r="I131" s="1003"/>
      <c r="J131" s="1003"/>
      <c r="K131" s="61" t="str">
        <f>'[6]PLANILHA ORÇAMENTÁRIA'!F32</f>
        <v>M3</v>
      </c>
      <c r="L131" s="62">
        <f>K136</f>
        <v>1.29</v>
      </c>
    </row>
    <row r="132" spans="2:12" hidden="1">
      <c r="B132" s="63"/>
      <c r="C132" s="1004" t="s">
        <v>20</v>
      </c>
      <c r="D132" s="1004"/>
      <c r="E132" s="1004"/>
      <c r="F132" s="64" t="s">
        <v>22</v>
      </c>
      <c r="G132" s="65" t="s">
        <v>111</v>
      </c>
      <c r="H132" s="64" t="s">
        <v>112</v>
      </c>
      <c r="I132" s="65" t="s">
        <v>113</v>
      </c>
      <c r="J132" s="65" t="s">
        <v>114</v>
      </c>
      <c r="K132" s="66" t="s">
        <v>25</v>
      </c>
      <c r="L132" s="67"/>
    </row>
    <row r="133" spans="2:12" hidden="1">
      <c r="B133" s="63"/>
      <c r="C133" s="1001" t="s">
        <v>138</v>
      </c>
      <c r="D133" s="1001"/>
      <c r="E133" s="1001"/>
      <c r="F133" s="68">
        <v>4</v>
      </c>
      <c r="G133" s="68">
        <v>5.05</v>
      </c>
      <c r="H133" s="68">
        <v>0.19</v>
      </c>
      <c r="I133" s="68">
        <v>0.19</v>
      </c>
      <c r="J133" s="68"/>
      <c r="K133" s="906">
        <f>TRUNC(H133*I133*G133*F133,2)</f>
        <v>0.72</v>
      </c>
      <c r="L133" s="67"/>
    </row>
    <row r="134" spans="2:12" hidden="1">
      <c r="B134" s="63"/>
      <c r="C134" s="1001" t="s">
        <v>138</v>
      </c>
      <c r="D134" s="1001"/>
      <c r="E134" s="1001"/>
      <c r="F134" s="68">
        <v>2</v>
      </c>
      <c r="G134" s="68">
        <v>3.7</v>
      </c>
      <c r="H134" s="68">
        <v>0.19</v>
      </c>
      <c r="I134" s="68">
        <v>0.19</v>
      </c>
      <c r="J134" s="68"/>
      <c r="K134" s="906">
        <f>TRUNC(H134*I134*G134*F134,2)</f>
        <v>0.26</v>
      </c>
      <c r="L134" s="67"/>
    </row>
    <row r="135" spans="2:12" hidden="1">
      <c r="B135" s="63"/>
      <c r="C135" s="1001" t="s">
        <v>139</v>
      </c>
      <c r="D135" s="1001"/>
      <c r="E135" s="1001"/>
      <c r="F135" s="68">
        <v>2</v>
      </c>
      <c r="G135" s="68">
        <v>2.6</v>
      </c>
      <c r="H135" s="68">
        <v>0.15</v>
      </c>
      <c r="I135" s="68">
        <v>0.4</v>
      </c>
      <c r="J135" s="68"/>
      <c r="K135" s="906">
        <f>TRUNC(H135*I135*G135*F135,2)</f>
        <v>0.31</v>
      </c>
      <c r="L135" s="67"/>
    </row>
    <row r="136" spans="2:12" hidden="1">
      <c r="B136" s="63"/>
      <c r="C136" s="1002" t="s">
        <v>116</v>
      </c>
      <c r="D136" s="1002"/>
      <c r="E136" s="1002"/>
      <c r="F136" s="1002"/>
      <c r="G136" s="1002"/>
      <c r="H136" s="1002"/>
      <c r="I136" s="1002"/>
      <c r="J136" s="1002"/>
      <c r="K136" s="66">
        <f>SUM(K133:K135)</f>
        <v>1.29</v>
      </c>
      <c r="L136" s="67"/>
    </row>
    <row r="137" spans="2:12" hidden="1"/>
    <row r="138" spans="2:12" ht="15" hidden="1" customHeight="1">
      <c r="B138" s="60" t="str">
        <f>'[6]PLANILHA ORÇAMENTÁRIA'!D33</f>
        <v>5.5</v>
      </c>
      <c r="C138" s="1003" t="str">
        <f>'[6]PLANILHA ORÇAMENTÁRIA'!E33</f>
        <v>FORMA PLANA PARA VIGAS, EM COMPENSADO RESINADO DE 14MM, 12 USOS, INCLUSIVE ESCORAMENTO</v>
      </c>
      <c r="D138" s="1003"/>
      <c r="E138" s="1003"/>
      <c r="F138" s="1003"/>
      <c r="G138" s="1003"/>
      <c r="H138" s="1003"/>
      <c r="I138" s="1003"/>
      <c r="J138" s="1003"/>
      <c r="K138" s="61" t="str">
        <f>'[6]PLANILHA ORÇAMENTÁRIA'!F33</f>
        <v>M2</v>
      </c>
      <c r="L138" s="62">
        <f>K142</f>
        <v>16.77</v>
      </c>
    </row>
    <row r="139" spans="2:12" hidden="1">
      <c r="B139" s="63"/>
      <c r="C139" s="1004" t="s">
        <v>20</v>
      </c>
      <c r="D139" s="1004"/>
      <c r="E139" s="1004"/>
      <c r="F139" s="64" t="s">
        <v>22</v>
      </c>
      <c r="G139" s="65" t="s">
        <v>111</v>
      </c>
      <c r="H139" s="64" t="s">
        <v>112</v>
      </c>
      <c r="I139" s="65" t="s">
        <v>113</v>
      </c>
      <c r="J139" s="65" t="s">
        <v>148</v>
      </c>
      <c r="K139" s="66" t="s">
        <v>25</v>
      </c>
      <c r="L139" s="67"/>
    </row>
    <row r="140" spans="2:12" hidden="1">
      <c r="B140" s="63"/>
      <c r="C140" s="1001" t="s">
        <v>149</v>
      </c>
      <c r="D140" s="1001"/>
      <c r="E140" s="1001"/>
      <c r="F140" s="68">
        <v>2</v>
      </c>
      <c r="G140" s="68">
        <v>0.25</v>
      </c>
      <c r="H140" s="68">
        <v>0.15</v>
      </c>
      <c r="I140" s="68">
        <v>25.8</v>
      </c>
      <c r="J140" s="68">
        <v>2</v>
      </c>
      <c r="K140" s="906">
        <f>TRUNC((G140*I140*J140)+(H140*I140),2)</f>
        <v>16.77</v>
      </c>
      <c r="L140" s="67"/>
    </row>
    <row r="141" spans="2:12" hidden="1">
      <c r="B141" s="63"/>
      <c r="C141" s="1001" t="s">
        <v>149</v>
      </c>
      <c r="D141" s="1001"/>
      <c r="E141" s="1001"/>
      <c r="F141" s="68">
        <v>1</v>
      </c>
      <c r="G141" s="68">
        <v>0.25</v>
      </c>
      <c r="H141" s="68">
        <v>0.15</v>
      </c>
      <c r="I141" s="68">
        <v>17.3</v>
      </c>
      <c r="J141" s="68">
        <v>2</v>
      </c>
      <c r="K141" s="906">
        <f>TRUNC((G141*I141*J141)+(H141*I141),2)</f>
        <v>11.24</v>
      </c>
      <c r="L141" s="67"/>
    </row>
    <row r="142" spans="2:12" hidden="1">
      <c r="B142" s="63"/>
      <c r="C142" s="1002" t="s">
        <v>116</v>
      </c>
      <c r="D142" s="1002"/>
      <c r="E142" s="1002"/>
      <c r="F142" s="1002"/>
      <c r="G142" s="1002"/>
      <c r="H142" s="1002"/>
      <c r="I142" s="1002"/>
      <c r="J142" s="1002"/>
      <c r="K142" s="66">
        <f>SUM(K140:K140)</f>
        <v>16.77</v>
      </c>
      <c r="L142" s="67"/>
    </row>
    <row r="143" spans="2:12" hidden="1"/>
    <row r="144" spans="2:12" ht="25.5" hidden="1" customHeight="1">
      <c r="B144" s="60" t="str">
        <f>'[6]PLANILHA ORÇAMENTÁRIA'!D34</f>
        <v>5.6</v>
      </c>
      <c r="C144" s="1003" t="str">
        <f>'[6]PLANILHA ORÇAMENTÁRIA'!E34</f>
        <v>CONCRETAGEM DE VIGAS E LAJES, FCK=20 MPA, PARA LAJES MACIÇAS OU NERVURADAS COM GRUA DE CAÇAMBA DE 500 L EM EDIFICAÇÃO DE MULTIPAVIMENTOS ATÉ 16 ANDARES, COM ÁREA MÉDIA DE LAJES MAIOR QUE 20 M² - LANÇAMENTO, ADENSAMENTO E ACABAMENTO. AF_12/2015</v>
      </c>
      <c r="D144" s="1003"/>
      <c r="E144" s="1003"/>
      <c r="F144" s="1003"/>
      <c r="G144" s="1003"/>
      <c r="H144" s="1003"/>
      <c r="I144" s="1003"/>
      <c r="J144" s="1003"/>
      <c r="K144" s="61" t="str">
        <f>'[6]PLANILHA ORÇAMENTÁRIA'!F34</f>
        <v>M3</v>
      </c>
      <c r="L144" s="62">
        <f>K148</f>
        <v>2.57</v>
      </c>
    </row>
    <row r="145" spans="2:12" hidden="1">
      <c r="B145" s="63"/>
      <c r="C145" s="1004" t="s">
        <v>20</v>
      </c>
      <c r="D145" s="1004"/>
      <c r="E145" s="1004"/>
      <c r="F145" s="64" t="s">
        <v>22</v>
      </c>
      <c r="G145" s="65" t="s">
        <v>111</v>
      </c>
      <c r="H145" s="64" t="s">
        <v>112</v>
      </c>
      <c r="I145" s="65" t="s">
        <v>113</v>
      </c>
      <c r="J145" s="65" t="s">
        <v>114</v>
      </c>
      <c r="K145" s="66" t="s">
        <v>25</v>
      </c>
      <c r="L145" s="67"/>
    </row>
    <row r="146" spans="2:12" hidden="1">
      <c r="B146" s="63"/>
      <c r="C146" s="1001" t="s">
        <v>149</v>
      </c>
      <c r="D146" s="1001"/>
      <c r="E146" s="1001"/>
      <c r="F146" s="68">
        <v>2</v>
      </c>
      <c r="G146" s="68">
        <v>0.25</v>
      </c>
      <c r="H146" s="68">
        <v>0.15</v>
      </c>
      <c r="I146" s="68">
        <v>25.8</v>
      </c>
      <c r="J146" s="68"/>
      <c r="K146" s="906">
        <f>TRUNC(G146*H146*I146*F146,2)</f>
        <v>1.93</v>
      </c>
      <c r="L146" s="67"/>
    </row>
    <row r="147" spans="2:12" hidden="1">
      <c r="B147" s="63"/>
      <c r="C147" s="1001" t="s">
        <v>149</v>
      </c>
      <c r="D147" s="1001"/>
      <c r="E147" s="1001"/>
      <c r="F147" s="68">
        <v>1</v>
      </c>
      <c r="G147" s="68">
        <v>0.25</v>
      </c>
      <c r="H147" s="68">
        <v>0.15</v>
      </c>
      <c r="I147" s="68">
        <v>17.3</v>
      </c>
      <c r="J147" s="68"/>
      <c r="K147" s="906">
        <f>TRUNC(G147*H147*I147*F147,2)</f>
        <v>0.64</v>
      </c>
      <c r="L147" s="67"/>
    </row>
    <row r="148" spans="2:12" hidden="1">
      <c r="B148" s="63"/>
      <c r="C148" s="1002" t="s">
        <v>116</v>
      </c>
      <c r="D148" s="1002"/>
      <c r="E148" s="1002"/>
      <c r="F148" s="1002"/>
      <c r="G148" s="1002"/>
      <c r="H148" s="1002"/>
      <c r="I148" s="1002"/>
      <c r="J148" s="1002"/>
      <c r="K148" s="66">
        <f>SUM(K146:K147)</f>
        <v>2.57</v>
      </c>
      <c r="L148" s="67"/>
    </row>
    <row r="149" spans="2:12" hidden="1"/>
    <row r="150" spans="2:12" ht="29.25" hidden="1" customHeight="1">
      <c r="B150" s="60" t="str">
        <f>'[6]PLANILHA ORÇAMENTÁRIA'!D35</f>
        <v>5.7</v>
      </c>
      <c r="C150" s="1003" t="str">
        <f>'[6]PLANILHA ORÇAMENTÁRIA'!E35</f>
        <v>LAJE PRE-MOLDADA P/FORRO, SOBRECARGA 100KG/M2, VAOS ATE 3,50M/E=8CM, C/LAJOTAS E CAP.C/CONC FCK=20MPA, 3CM, INTER-EIXO 38CM, C/ESCORAMENTO (REAPR.3X) E FERRAGEM NEGATIVA</v>
      </c>
      <c r="D150" s="1003"/>
      <c r="E150" s="1003"/>
      <c r="F150" s="1003"/>
      <c r="G150" s="1003"/>
      <c r="H150" s="1003"/>
      <c r="I150" s="1003"/>
      <c r="J150" s="1003"/>
      <c r="K150" s="61" t="str">
        <f>'[6]PLANILHA ORÇAMENTÁRIA'!F35</f>
        <v>M2</v>
      </c>
      <c r="L150" s="62">
        <f>K154</f>
        <v>74.02</v>
      </c>
    </row>
    <row r="151" spans="2:12" hidden="1">
      <c r="B151" s="63"/>
      <c r="C151" s="1004" t="s">
        <v>20</v>
      </c>
      <c r="D151" s="1004"/>
      <c r="E151" s="1004"/>
      <c r="F151" s="64" t="s">
        <v>22</v>
      </c>
      <c r="G151" s="65" t="s">
        <v>111</v>
      </c>
      <c r="H151" s="64" t="s">
        <v>112</v>
      </c>
      <c r="I151" s="65" t="s">
        <v>113</v>
      </c>
      <c r="J151" s="65" t="s">
        <v>114</v>
      </c>
      <c r="K151" s="66" t="s">
        <v>25</v>
      </c>
      <c r="L151" s="67"/>
    </row>
    <row r="152" spans="2:12" hidden="1">
      <c r="B152" s="63"/>
      <c r="C152" s="1001" t="s">
        <v>150</v>
      </c>
      <c r="D152" s="1001"/>
      <c r="E152" s="1001"/>
      <c r="F152" s="68">
        <v>2</v>
      </c>
      <c r="G152" s="68"/>
      <c r="H152" s="68">
        <v>4.5</v>
      </c>
      <c r="I152" s="68">
        <v>6</v>
      </c>
      <c r="J152" s="68"/>
      <c r="K152" s="906">
        <f>TRUNC(H152*I152*F152,2)</f>
        <v>54</v>
      </c>
      <c r="L152" s="67"/>
    </row>
    <row r="153" spans="2:12" hidden="1">
      <c r="B153" s="63"/>
      <c r="C153" s="1001" t="s">
        <v>151</v>
      </c>
      <c r="D153" s="1001"/>
      <c r="E153" s="1001"/>
      <c r="F153" s="68">
        <v>1</v>
      </c>
      <c r="G153" s="68"/>
      <c r="H153" s="68">
        <v>4.45</v>
      </c>
      <c r="I153" s="68">
        <v>4.5</v>
      </c>
      <c r="J153" s="68"/>
      <c r="K153" s="906">
        <f>TRUNC(H153*I153*F153,2)</f>
        <v>20.02</v>
      </c>
      <c r="L153" s="67"/>
    </row>
    <row r="154" spans="2:12" hidden="1">
      <c r="B154" s="63"/>
      <c r="C154" s="1002" t="s">
        <v>116</v>
      </c>
      <c r="D154" s="1002"/>
      <c r="E154" s="1002"/>
      <c r="F154" s="1002"/>
      <c r="G154" s="1002"/>
      <c r="H154" s="1002"/>
      <c r="I154" s="1002"/>
      <c r="J154" s="1002"/>
      <c r="K154" s="66">
        <f>SUM(K152:K153)</f>
        <v>74.02</v>
      </c>
      <c r="L154" s="67"/>
    </row>
    <row r="155" spans="2:12" hidden="1"/>
    <row r="156" spans="2:12" ht="22.5" hidden="1" customHeight="1">
      <c r="B156" s="60" t="str">
        <f>'[6]PLANILHA ORÇAMENTÁRIA'!D36</f>
        <v>5.8</v>
      </c>
      <c r="C156" s="1003" t="str">
        <f>'[6]PLANILHA ORÇAMENTÁRIA'!E36</f>
        <v>IMPERMEABILIZAÇÃO DE PISO COM ARGAMASSA DE CIMENTO E AREIA, COM ADITIVO IMPERMEABILIZANTE, E = 2CM. AF_06/2018</v>
      </c>
      <c r="D156" s="1003"/>
      <c r="E156" s="1003"/>
      <c r="F156" s="1003"/>
      <c r="G156" s="1003"/>
      <c r="H156" s="1003"/>
      <c r="I156" s="1003"/>
      <c r="J156" s="1003"/>
      <c r="K156" s="61" t="str">
        <f>'[6]PLANILHA ORÇAMENTÁRIA'!F36</f>
        <v>M2</v>
      </c>
      <c r="L156" s="62">
        <f>K159</f>
        <v>27</v>
      </c>
    </row>
    <row r="157" spans="2:12" hidden="1">
      <c r="B157" s="63"/>
      <c r="C157" s="1004" t="s">
        <v>20</v>
      </c>
      <c r="D157" s="1004"/>
      <c r="E157" s="1004"/>
      <c r="F157" s="64" t="s">
        <v>22</v>
      </c>
      <c r="G157" s="65" t="s">
        <v>111</v>
      </c>
      <c r="H157" s="64" t="s">
        <v>112</v>
      </c>
      <c r="I157" s="65" t="s">
        <v>113</v>
      </c>
      <c r="J157" s="65" t="s">
        <v>114</v>
      </c>
      <c r="K157" s="66" t="s">
        <v>25</v>
      </c>
      <c r="L157" s="67"/>
    </row>
    <row r="158" spans="2:12" hidden="1">
      <c r="B158" s="63"/>
      <c r="C158" s="1001" t="s">
        <v>152</v>
      </c>
      <c r="D158" s="1001"/>
      <c r="E158" s="1001"/>
      <c r="F158" s="68">
        <v>1</v>
      </c>
      <c r="G158" s="68"/>
      <c r="H158" s="68">
        <v>4.5</v>
      </c>
      <c r="I158" s="68">
        <v>6</v>
      </c>
      <c r="J158" s="68"/>
      <c r="K158" s="906">
        <f>TRUNC(H158*I158*F158,2)</f>
        <v>27</v>
      </c>
      <c r="L158" s="67"/>
    </row>
    <row r="159" spans="2:12" hidden="1">
      <c r="B159" s="63"/>
      <c r="C159" s="1002" t="s">
        <v>116</v>
      </c>
      <c r="D159" s="1002"/>
      <c r="E159" s="1002"/>
      <c r="F159" s="1002"/>
      <c r="G159" s="1002"/>
      <c r="H159" s="1002"/>
      <c r="I159" s="1002"/>
      <c r="J159" s="1002"/>
      <c r="K159" s="66">
        <f>SUM(K158:K158)</f>
        <v>27</v>
      </c>
      <c r="L159" s="67"/>
    </row>
    <row r="160" spans="2:12" hidden="1"/>
    <row r="161" spans="2:12" ht="20.25" hidden="1" customHeight="1">
      <c r="B161" s="60" t="str">
        <f>'[6]PLANILHA ORÇAMENTÁRIA'!D37</f>
        <v>5.9</v>
      </c>
      <c r="C161" s="1003" t="str">
        <f>'[6]PLANILHA ORÇAMENTÁRIA'!E37</f>
        <v>TAMPA DE CONCRETO ARMADO 60X60X5CM PARA CAIXA</v>
      </c>
      <c r="D161" s="1003"/>
      <c r="E161" s="1003"/>
      <c r="F161" s="1003"/>
      <c r="G161" s="1003"/>
      <c r="H161" s="1003"/>
      <c r="I161" s="1003"/>
      <c r="J161" s="1003"/>
      <c r="K161" s="61" t="str">
        <f>'[6]PLANILHA ORÇAMENTÁRIA'!F37</f>
        <v>UND</v>
      </c>
      <c r="L161" s="62">
        <f>K164</f>
        <v>1</v>
      </c>
    </row>
    <row r="162" spans="2:12" hidden="1">
      <c r="B162" s="63"/>
      <c r="C162" s="1004" t="s">
        <v>20</v>
      </c>
      <c r="D162" s="1004"/>
      <c r="E162" s="1004"/>
      <c r="F162" s="64" t="s">
        <v>22</v>
      </c>
      <c r="G162" s="65" t="s">
        <v>111</v>
      </c>
      <c r="H162" s="64" t="s">
        <v>112</v>
      </c>
      <c r="I162" s="65" t="s">
        <v>113</v>
      </c>
      <c r="J162" s="65" t="s">
        <v>114</v>
      </c>
      <c r="K162" s="66" t="s">
        <v>25</v>
      </c>
      <c r="L162" s="67"/>
    </row>
    <row r="163" spans="2:12" hidden="1">
      <c r="B163" s="63"/>
      <c r="C163" s="1001" t="s">
        <v>153</v>
      </c>
      <c r="D163" s="1001"/>
      <c r="E163" s="1001"/>
      <c r="F163" s="68">
        <v>1</v>
      </c>
      <c r="G163" s="68"/>
      <c r="H163" s="68"/>
      <c r="I163" s="68"/>
      <c r="J163" s="68"/>
      <c r="K163" s="906">
        <f>F163</f>
        <v>1</v>
      </c>
      <c r="L163" s="67"/>
    </row>
    <row r="164" spans="2:12" hidden="1">
      <c r="B164" s="63"/>
      <c r="C164" s="1002" t="s">
        <v>116</v>
      </c>
      <c r="D164" s="1002"/>
      <c r="E164" s="1002"/>
      <c r="F164" s="1002"/>
      <c r="G164" s="1002"/>
      <c r="H164" s="1002"/>
      <c r="I164" s="1002"/>
      <c r="J164" s="1002"/>
      <c r="K164" s="66">
        <f>SUM(K163:K163)</f>
        <v>1</v>
      </c>
      <c r="L164" s="67"/>
    </row>
    <row r="165" spans="2:12" hidden="1">
      <c r="B165" s="63"/>
      <c r="C165" s="71"/>
      <c r="D165" s="71"/>
      <c r="E165" s="71"/>
      <c r="F165" s="71"/>
      <c r="G165" s="71"/>
      <c r="H165" s="71"/>
      <c r="I165" s="71"/>
      <c r="J165" s="71"/>
      <c r="K165" s="73"/>
      <c r="L165" s="67"/>
    </row>
    <row r="166" spans="2:12" hidden="1">
      <c r="B166" s="60" t="str">
        <f>'[6]PLANILHA ORÇAMENTÁRIA'!D38</f>
        <v>5.10</v>
      </c>
      <c r="C166" s="1003" t="str">
        <f>'[6]PLANILHA ORÇAMENTÁRIA'!E38</f>
        <v>VERGA PRÉ-MOLDADA PARA JANELAS COM ATÉ 1,5 M DE VÃO. AF_03/2016</v>
      </c>
      <c r="D166" s="1003"/>
      <c r="E166" s="1003"/>
      <c r="F166" s="1003"/>
      <c r="G166" s="1003"/>
      <c r="H166" s="1003"/>
      <c r="I166" s="1003"/>
      <c r="J166" s="1003"/>
      <c r="K166" s="61" t="str">
        <f>'[6]PLANILHA ORÇAMENTÁRIA'!F38</f>
        <v>M</v>
      </c>
      <c r="L166" s="62">
        <f>K169</f>
        <v>3.3000000000000003</v>
      </c>
    </row>
    <row r="167" spans="2:12" hidden="1">
      <c r="B167" s="63"/>
      <c r="C167" s="1004" t="s">
        <v>20</v>
      </c>
      <c r="D167" s="1004"/>
      <c r="E167" s="1004"/>
      <c r="F167" s="64" t="s">
        <v>22</v>
      </c>
      <c r="G167" s="65" t="s">
        <v>111</v>
      </c>
      <c r="H167" s="64" t="s">
        <v>112</v>
      </c>
      <c r="I167" s="65" t="s">
        <v>113</v>
      </c>
      <c r="J167" s="65" t="s">
        <v>114</v>
      </c>
      <c r="K167" s="66" t="s">
        <v>25</v>
      </c>
      <c r="L167" s="67"/>
    </row>
    <row r="168" spans="2:12" hidden="1">
      <c r="B168" s="63"/>
      <c r="C168" s="1001"/>
      <c r="D168" s="1001"/>
      <c r="E168" s="1001"/>
      <c r="F168" s="68">
        <v>3</v>
      </c>
      <c r="G168" s="68"/>
      <c r="H168" s="68"/>
      <c r="I168" s="68">
        <v>1.1000000000000001</v>
      </c>
      <c r="J168" s="68"/>
      <c r="K168" s="906">
        <f>F168*I168</f>
        <v>3.3000000000000003</v>
      </c>
      <c r="L168" s="67"/>
    </row>
    <row r="169" spans="2:12" hidden="1">
      <c r="B169" s="63"/>
      <c r="C169" s="1002" t="s">
        <v>116</v>
      </c>
      <c r="D169" s="1002"/>
      <c r="E169" s="1002"/>
      <c r="F169" s="1002"/>
      <c r="G169" s="1002"/>
      <c r="H169" s="1002"/>
      <c r="I169" s="1002"/>
      <c r="J169" s="1002"/>
      <c r="K169" s="66">
        <f>SUM(K168:K168)</f>
        <v>3.3000000000000003</v>
      </c>
      <c r="L169" s="67"/>
    </row>
    <row r="170" spans="2:12" hidden="1">
      <c r="B170" s="63"/>
      <c r="C170" s="71"/>
      <c r="D170" s="71"/>
      <c r="E170" s="71"/>
      <c r="F170" s="71"/>
      <c r="G170" s="71"/>
      <c r="H170" s="71"/>
      <c r="I170" s="71"/>
      <c r="J170" s="71"/>
      <c r="K170" s="73"/>
      <c r="L170" s="67"/>
    </row>
    <row r="171" spans="2:12" hidden="1">
      <c r="B171" s="60" t="str">
        <f>'[6]PLANILHA ORÇAMENTÁRIA'!D39</f>
        <v>5.11</v>
      </c>
      <c r="C171" s="1003" t="str">
        <f>'[6]PLANILHA ORÇAMENTÁRIA'!E39</f>
        <v>VERGA PRÉ-MOLDADA PARA PORTAS COM ATÉ 1,5 M DE VÃO. AF_03/2016</v>
      </c>
      <c r="D171" s="1003"/>
      <c r="E171" s="1003"/>
      <c r="F171" s="1003"/>
      <c r="G171" s="1003"/>
      <c r="H171" s="1003"/>
      <c r="I171" s="1003"/>
      <c r="J171" s="1003"/>
      <c r="K171" s="61" t="str">
        <f>'[6]PLANILHA ORÇAMENTÁRIA'!F39</f>
        <v>M</v>
      </c>
      <c r="L171" s="62">
        <f>K174</f>
        <v>3.3000000000000003</v>
      </c>
    </row>
    <row r="172" spans="2:12" hidden="1">
      <c r="B172" s="63"/>
      <c r="C172" s="1004" t="s">
        <v>20</v>
      </c>
      <c r="D172" s="1004"/>
      <c r="E172" s="1004"/>
      <c r="F172" s="64" t="s">
        <v>22</v>
      </c>
      <c r="G172" s="65" t="s">
        <v>111</v>
      </c>
      <c r="H172" s="64" t="s">
        <v>112</v>
      </c>
      <c r="I172" s="65" t="s">
        <v>113</v>
      </c>
      <c r="J172" s="65" t="s">
        <v>114</v>
      </c>
      <c r="K172" s="66" t="s">
        <v>25</v>
      </c>
      <c r="L172" s="67"/>
    </row>
    <row r="173" spans="2:12" ht="15" hidden="1" customHeight="1">
      <c r="B173" s="63"/>
      <c r="C173" s="1001"/>
      <c r="D173" s="1001"/>
      <c r="E173" s="1001"/>
      <c r="F173" s="68">
        <v>3</v>
      </c>
      <c r="G173" s="68"/>
      <c r="H173" s="68"/>
      <c r="I173" s="68">
        <v>1.1000000000000001</v>
      </c>
      <c r="J173" s="68"/>
      <c r="K173" s="906">
        <f>F173*I173</f>
        <v>3.3000000000000003</v>
      </c>
      <c r="L173" s="67"/>
    </row>
    <row r="174" spans="2:12" hidden="1">
      <c r="B174" s="63"/>
      <c r="C174" s="1002" t="s">
        <v>116</v>
      </c>
      <c r="D174" s="1002"/>
      <c r="E174" s="1002"/>
      <c r="F174" s="1002"/>
      <c r="G174" s="1002"/>
      <c r="H174" s="1002"/>
      <c r="I174" s="1002"/>
      <c r="J174" s="1002"/>
      <c r="K174" s="66">
        <f>SUM(K173:K173)</f>
        <v>3.3000000000000003</v>
      </c>
      <c r="L174" s="67"/>
    </row>
    <row r="175" spans="2:12" hidden="1">
      <c r="B175" s="63"/>
      <c r="C175" s="71"/>
      <c r="D175" s="71"/>
      <c r="E175" s="71"/>
      <c r="F175" s="71"/>
      <c r="G175" s="71"/>
      <c r="H175" s="71"/>
      <c r="I175" s="71"/>
      <c r="J175" s="71"/>
      <c r="K175" s="73"/>
      <c r="L175" s="67"/>
    </row>
    <row r="176" spans="2:12" hidden="1">
      <c r="B176" s="60" t="str">
        <f>'[6]PLANILHA ORÇAMENTÁRIA'!D40</f>
        <v>5.12</v>
      </c>
      <c r="C176" s="1003" t="str">
        <f>'[6]PLANILHA ORÇAMENTÁRIA'!E40</f>
        <v>CONTRAVERGA PRÉ-MOLDADA PARA VÃOS DE ATÉ 1,5 M DE COMPRIMENTO. AF_03/2016</v>
      </c>
      <c r="D176" s="1003"/>
      <c r="E176" s="1003"/>
      <c r="F176" s="1003"/>
      <c r="G176" s="1003"/>
      <c r="H176" s="1003"/>
      <c r="I176" s="1003"/>
      <c r="J176" s="1003"/>
      <c r="K176" s="61" t="str">
        <f>'[6]PLANILHA ORÇAMENTÁRIA'!F40</f>
        <v>M</v>
      </c>
      <c r="L176" s="62">
        <f>K179</f>
        <v>3.3000000000000003</v>
      </c>
    </row>
    <row r="177" spans="2:12" hidden="1">
      <c r="B177" s="63"/>
      <c r="C177" s="1004" t="s">
        <v>20</v>
      </c>
      <c r="D177" s="1004"/>
      <c r="E177" s="1004"/>
      <c r="F177" s="64" t="s">
        <v>22</v>
      </c>
      <c r="G177" s="65" t="s">
        <v>111</v>
      </c>
      <c r="H177" s="64" t="s">
        <v>112</v>
      </c>
      <c r="I177" s="65" t="s">
        <v>113</v>
      </c>
      <c r="J177" s="65" t="s">
        <v>114</v>
      </c>
      <c r="K177" s="66" t="s">
        <v>25</v>
      </c>
      <c r="L177" s="67"/>
    </row>
    <row r="178" spans="2:12" ht="15" hidden="1" customHeight="1">
      <c r="B178" s="63"/>
      <c r="C178" s="1001"/>
      <c r="D178" s="1001"/>
      <c r="E178" s="1001"/>
      <c r="F178" s="68">
        <v>3</v>
      </c>
      <c r="G178" s="68"/>
      <c r="H178" s="68"/>
      <c r="I178" s="68">
        <v>1.1000000000000001</v>
      </c>
      <c r="J178" s="68"/>
      <c r="K178" s="906">
        <f>F178*I178</f>
        <v>3.3000000000000003</v>
      </c>
      <c r="L178" s="67"/>
    </row>
    <row r="179" spans="2:12" hidden="1">
      <c r="B179" s="63"/>
      <c r="C179" s="1002" t="s">
        <v>116</v>
      </c>
      <c r="D179" s="1002"/>
      <c r="E179" s="1002"/>
      <c r="F179" s="1002"/>
      <c r="G179" s="1002"/>
      <c r="H179" s="1002"/>
      <c r="I179" s="1002"/>
      <c r="J179" s="1002"/>
      <c r="K179" s="66">
        <f>SUM(K178:K178)</f>
        <v>3.3000000000000003</v>
      </c>
      <c r="L179" s="67"/>
    </row>
    <row r="180" spans="2:12" hidden="1">
      <c r="B180" s="63"/>
      <c r="C180" s="71"/>
      <c r="D180" s="71"/>
      <c r="E180" s="71"/>
      <c r="F180" s="71"/>
      <c r="G180" s="71"/>
      <c r="H180" s="71"/>
      <c r="I180" s="71"/>
      <c r="J180" s="71"/>
      <c r="K180" s="73"/>
      <c r="L180" s="67"/>
    </row>
    <row r="181" spans="2:12" hidden="1">
      <c r="B181" s="58" t="str">
        <f>'[6]PLANILHA ORÇAMENTÁRIA'!D41</f>
        <v>6.0</v>
      </c>
      <c r="C181" s="1000" t="str">
        <f>'[6]PLANILHA ORÇAMENTÁRIA'!E41</f>
        <v>ALVENARIA DE VEDAÇÃO</v>
      </c>
      <c r="D181" s="1000"/>
      <c r="E181" s="1000"/>
      <c r="F181" s="1000"/>
      <c r="G181" s="1000"/>
      <c r="H181" s="1000"/>
      <c r="I181" s="1000"/>
      <c r="J181" s="1000"/>
      <c r="K181" s="59"/>
      <c r="L181" s="59"/>
    </row>
    <row r="182" spans="2:12" ht="23.25" hidden="1" customHeight="1">
      <c r="B182" s="60" t="str">
        <f>'[6]PLANILHA ORÇAMENTÁRIA'!D42</f>
        <v>6.1</v>
      </c>
      <c r="C182" s="1003" t="str">
        <f>'[6]PLANILHA ORÇAMENTÁRIA'!E42</f>
        <v>ALVENARIA DE BLOCO CERÂMICO FURADO (9x19x19)cm C/ARGAMASSA MISTA DE CAL HIDRATADA, ESP=9 cm</v>
      </c>
      <c r="D182" s="1003"/>
      <c r="E182" s="1003"/>
      <c r="F182" s="1003"/>
      <c r="G182" s="1003"/>
      <c r="H182" s="1003"/>
      <c r="I182" s="1003"/>
      <c r="J182" s="1003"/>
      <c r="K182" s="61" t="str">
        <f>'[6]PLANILHA ORÇAMENTÁRIA'!F42</f>
        <v>M2</v>
      </c>
      <c r="L182" s="62">
        <f>K187</f>
        <v>133.51999999999998</v>
      </c>
    </row>
    <row r="183" spans="2:12" hidden="1">
      <c r="B183" s="63"/>
      <c r="C183" s="1004" t="s">
        <v>20</v>
      </c>
      <c r="D183" s="1004"/>
      <c r="E183" s="1004"/>
      <c r="F183" s="64" t="s">
        <v>22</v>
      </c>
      <c r="G183" s="65" t="s">
        <v>111</v>
      </c>
      <c r="H183" s="64" t="s">
        <v>112</v>
      </c>
      <c r="I183" s="65" t="s">
        <v>154</v>
      </c>
      <c r="J183" s="65" t="s">
        <v>114</v>
      </c>
      <c r="K183" s="66" t="s">
        <v>25</v>
      </c>
      <c r="L183" s="67"/>
    </row>
    <row r="184" spans="2:12" hidden="1">
      <c r="B184" s="63"/>
      <c r="C184" s="1001" t="s">
        <v>155</v>
      </c>
      <c r="D184" s="1001"/>
      <c r="E184" s="1001"/>
      <c r="F184" s="68"/>
      <c r="G184" s="68">
        <v>2.6</v>
      </c>
      <c r="H184" s="68"/>
      <c r="I184" s="68">
        <f>(6.6*2)+(4.2*3)+3.15+2.16+(1.05*2)</f>
        <v>33.21</v>
      </c>
      <c r="J184" s="68">
        <v>3.88</v>
      </c>
      <c r="K184" s="906">
        <f>TRUNC((G184*I184)-J184,2)</f>
        <v>82.46</v>
      </c>
      <c r="L184" s="67"/>
    </row>
    <row r="185" spans="2:12" hidden="1">
      <c r="B185" s="63"/>
      <c r="C185" s="1001" t="s">
        <v>156</v>
      </c>
      <c r="D185" s="1001"/>
      <c r="E185" s="1001"/>
      <c r="F185" s="68"/>
      <c r="G185" s="68">
        <v>2.15</v>
      </c>
      <c r="H185" s="68"/>
      <c r="I185" s="68">
        <f>(6.6*2)+(4.2*2)</f>
        <v>21.6</v>
      </c>
      <c r="J185" s="68"/>
      <c r="K185" s="906">
        <f>TRUNC((G185*I185),2)</f>
        <v>46.44</v>
      </c>
      <c r="L185" s="67"/>
    </row>
    <row r="186" spans="2:12" hidden="1">
      <c r="B186" s="63"/>
      <c r="C186" s="1001" t="s">
        <v>157</v>
      </c>
      <c r="D186" s="1001"/>
      <c r="E186" s="1001"/>
      <c r="F186" s="68"/>
      <c r="G186" s="68">
        <v>2.1</v>
      </c>
      <c r="H186" s="68"/>
      <c r="I186" s="68">
        <v>2.2000000000000002</v>
      </c>
      <c r="J186" s="68"/>
      <c r="K186" s="906">
        <f>TRUNC((G186*I186),2)</f>
        <v>4.62</v>
      </c>
      <c r="L186" s="67"/>
    </row>
    <row r="187" spans="2:12" hidden="1">
      <c r="B187" s="63"/>
      <c r="C187" s="1002" t="s">
        <v>116</v>
      </c>
      <c r="D187" s="1002"/>
      <c r="E187" s="1002"/>
      <c r="F187" s="1002"/>
      <c r="G187" s="1002"/>
      <c r="H187" s="1002"/>
      <c r="I187" s="1002"/>
      <c r="J187" s="1002"/>
      <c r="K187" s="66">
        <f>SUM(K184:K186)</f>
        <v>133.51999999999998</v>
      </c>
      <c r="L187" s="67"/>
    </row>
    <row r="188" spans="2:12">
      <c r="B188" s="63"/>
      <c r="C188" s="71"/>
      <c r="D188" s="71"/>
      <c r="E188" s="71"/>
      <c r="F188" s="71"/>
      <c r="G188" s="71"/>
      <c r="H188" s="71"/>
      <c r="I188" s="71"/>
      <c r="J188" s="71"/>
      <c r="K188" s="73"/>
      <c r="L188" s="67"/>
    </row>
    <row r="189" spans="2:12">
      <c r="B189" s="76" t="s">
        <v>4</v>
      </c>
      <c r="C189" s="993" t="s">
        <v>5</v>
      </c>
      <c r="D189" s="993"/>
      <c r="E189" s="993"/>
      <c r="F189" s="993"/>
      <c r="G189" s="993"/>
      <c r="H189" s="993"/>
      <c r="I189" s="993"/>
      <c r="J189" s="993"/>
      <c r="K189" s="77"/>
      <c r="L189" s="77"/>
    </row>
    <row r="190" spans="2:12" ht="29.25" customHeight="1">
      <c r="B190" s="85" t="s">
        <v>6</v>
      </c>
      <c r="C190" s="1032" t="str">
        <f>'ESC. MUN. ANDRE VIDAL'!C16</f>
        <v>ATERRO COM AREIA FINA, COMPACTADO MECANICAMENTE, INCLUSIVE AQUISIÇÃO EM DEPOSITO DE MATERIAL, EXCLUSIVE TRANSPORTE - REV.03</v>
      </c>
      <c r="D190" s="1032"/>
      <c r="E190" s="1032"/>
      <c r="F190" s="1032"/>
      <c r="G190" s="1032"/>
      <c r="H190" s="1032"/>
      <c r="I190" s="1032"/>
      <c r="J190" s="1032"/>
      <c r="K190" s="96" t="s">
        <v>15</v>
      </c>
      <c r="L190" s="95">
        <f>K194</f>
        <v>67.231999999999999</v>
      </c>
    </row>
    <row r="191" spans="2:12">
      <c r="B191" s="86"/>
      <c r="C191" s="983" t="s">
        <v>20</v>
      </c>
      <c r="D191" s="983"/>
      <c r="E191" s="983"/>
      <c r="F191" s="87" t="s">
        <v>22</v>
      </c>
      <c r="G191" s="88" t="s">
        <v>111</v>
      </c>
      <c r="H191" s="87" t="s">
        <v>112</v>
      </c>
      <c r="I191" s="88" t="s">
        <v>113</v>
      </c>
      <c r="J191" s="88" t="s">
        <v>114</v>
      </c>
      <c r="K191" s="89" t="s">
        <v>25</v>
      </c>
      <c r="L191" s="90"/>
    </row>
    <row r="192" spans="2:12">
      <c r="B192" s="86"/>
      <c r="C192" s="1028" t="s">
        <v>204</v>
      </c>
      <c r="D192" s="1028"/>
      <c r="E192" s="1028"/>
      <c r="F192" s="91">
        <v>2</v>
      </c>
      <c r="G192" s="91">
        <v>0.1</v>
      </c>
      <c r="H192" s="91">
        <v>11</v>
      </c>
      <c r="I192" s="91">
        <v>12.8</v>
      </c>
      <c r="J192" s="91"/>
      <c r="K192" s="907">
        <f>I192*H192*G192*F192</f>
        <v>28.160000000000004</v>
      </c>
      <c r="L192" s="90"/>
    </row>
    <row r="193" spans="2:12">
      <c r="B193" s="86"/>
      <c r="C193" s="1028" t="s">
        <v>205</v>
      </c>
      <c r="D193" s="1028"/>
      <c r="E193" s="1028"/>
      <c r="F193" s="91">
        <v>2</v>
      </c>
      <c r="G193" s="91">
        <v>0.1</v>
      </c>
      <c r="H193" s="91">
        <v>22.2</v>
      </c>
      <c r="I193" s="91">
        <v>8.8000000000000007</v>
      </c>
      <c r="J193" s="91"/>
      <c r="K193" s="907">
        <f>I193*H193*G193*F193</f>
        <v>39.072000000000003</v>
      </c>
      <c r="L193" s="90"/>
    </row>
    <row r="194" spans="2:12">
      <c r="B194" s="86"/>
      <c r="C194" s="987" t="s">
        <v>116</v>
      </c>
      <c r="D194" s="987"/>
      <c r="E194" s="987"/>
      <c r="F194" s="987"/>
      <c r="G194" s="987"/>
      <c r="H194" s="987"/>
      <c r="I194" s="987"/>
      <c r="J194" s="987"/>
      <c r="K194" s="89">
        <f>SUM(K192:K193)</f>
        <v>67.231999999999999</v>
      </c>
      <c r="L194" s="90"/>
    </row>
    <row r="196" spans="2:12" ht="19.5" customHeight="1">
      <c r="B196" s="85" t="s">
        <v>29</v>
      </c>
      <c r="C196" s="1024" t="str">
        <f>'ESC. MUN. ANDRE VIDAL'!C17</f>
        <v>LIMPEZA MANUAL DE VEGETAÇÃO EM TERRENO COM ENXADA.AF_05/2018</v>
      </c>
      <c r="D196" s="1025"/>
      <c r="E196" s="1025"/>
      <c r="F196" s="1025"/>
      <c r="G196" s="1025"/>
      <c r="H196" s="1025"/>
      <c r="I196" s="1025"/>
      <c r="J196" s="1026"/>
      <c r="K196" s="96" t="str">
        <f>'[6]PLANILHA ORÇAMENTÁRIA'!F45</f>
        <v>M2</v>
      </c>
      <c r="L196" s="96">
        <f>K199</f>
        <v>20</v>
      </c>
    </row>
    <row r="197" spans="2:12">
      <c r="B197" s="86"/>
      <c r="C197" s="1027" t="s">
        <v>20</v>
      </c>
      <c r="D197" s="1027"/>
      <c r="E197" s="1027"/>
      <c r="F197" s="92" t="s">
        <v>22</v>
      </c>
      <c r="G197" s="93" t="s">
        <v>111</v>
      </c>
      <c r="H197" s="92" t="s">
        <v>112</v>
      </c>
      <c r="I197" s="93" t="s">
        <v>113</v>
      </c>
      <c r="J197" s="93" t="s">
        <v>114</v>
      </c>
      <c r="K197" s="94" t="s">
        <v>25</v>
      </c>
      <c r="L197" s="90"/>
    </row>
    <row r="198" spans="2:12">
      <c r="B198" s="86"/>
      <c r="C198" s="1028" t="s">
        <v>206</v>
      </c>
      <c r="D198" s="1028"/>
      <c r="E198" s="1028"/>
      <c r="F198" s="91">
        <v>1</v>
      </c>
      <c r="G198" s="91"/>
      <c r="H198" s="91">
        <v>4</v>
      </c>
      <c r="I198" s="91">
        <v>5</v>
      </c>
      <c r="J198" s="91"/>
      <c r="K198" s="907">
        <f>TRUNC(H198*I198,2)</f>
        <v>20</v>
      </c>
      <c r="L198" s="90"/>
    </row>
    <row r="199" spans="2:12">
      <c r="B199" s="86"/>
      <c r="C199" s="987" t="s">
        <v>116</v>
      </c>
      <c r="D199" s="987"/>
      <c r="E199" s="987"/>
      <c r="F199" s="987"/>
      <c r="G199" s="987"/>
      <c r="H199" s="987"/>
      <c r="I199" s="987"/>
      <c r="J199" s="987"/>
      <c r="K199" s="89">
        <f>SUM(K198:K198)</f>
        <v>20</v>
      </c>
      <c r="L199" s="90"/>
    </row>
    <row r="200" spans="2:12">
      <c r="B200" s="63"/>
      <c r="C200" s="71"/>
      <c r="D200" s="71"/>
      <c r="E200" s="71"/>
      <c r="F200" s="71"/>
      <c r="G200" s="71"/>
      <c r="H200" s="71"/>
      <c r="I200" s="71"/>
      <c r="J200" s="71"/>
      <c r="K200" s="73"/>
      <c r="L200" s="67"/>
    </row>
    <row r="201" spans="2:12">
      <c r="B201" s="67"/>
      <c r="C201" s="67"/>
      <c r="D201" s="67"/>
      <c r="E201" s="67"/>
      <c r="F201" s="67"/>
      <c r="G201" s="67"/>
      <c r="H201" s="67"/>
      <c r="I201" s="67"/>
      <c r="J201" s="67"/>
      <c r="K201" s="67"/>
      <c r="L201" s="67"/>
    </row>
    <row r="202" spans="2:12" ht="15" customHeight="1">
      <c r="B202" s="854" t="s">
        <v>31</v>
      </c>
      <c r="C202" s="994" t="str">
        <f>'ESC. MUN. ANDRE VIDAL'!C18</f>
        <v>DEMOLIÇÃO DE ARGAMASSAS, DE FORMA MANUAL, SEM REAPROVEITAMENTO. AF_12/ 2017</v>
      </c>
      <c r="D202" s="995"/>
      <c r="E202" s="995"/>
      <c r="F202" s="995"/>
      <c r="G202" s="995"/>
      <c r="H202" s="995"/>
      <c r="I202" s="995"/>
      <c r="J202" s="996"/>
      <c r="K202" s="89" t="str">
        <f>'[6]PLANILHA ORÇAMENTÁRIA'!F51</f>
        <v>M2</v>
      </c>
      <c r="L202" s="89">
        <f>K205</f>
        <v>36</v>
      </c>
    </row>
    <row r="203" spans="2:12">
      <c r="B203" s="854"/>
      <c r="C203" s="1027" t="s">
        <v>20</v>
      </c>
      <c r="D203" s="1027"/>
      <c r="E203" s="1027"/>
      <c r="F203" s="92" t="s">
        <v>22</v>
      </c>
      <c r="G203" s="850" t="s">
        <v>111</v>
      </c>
      <c r="H203" s="92" t="s">
        <v>112</v>
      </c>
      <c r="I203" s="850" t="s">
        <v>113</v>
      </c>
      <c r="J203" s="850" t="s">
        <v>114</v>
      </c>
      <c r="K203" s="94" t="s">
        <v>25</v>
      </c>
      <c r="L203" s="855"/>
    </row>
    <row r="204" spans="2:12">
      <c r="B204" s="854"/>
      <c r="C204" s="1029" t="s">
        <v>97</v>
      </c>
      <c r="D204" s="1030"/>
      <c r="E204" s="1031"/>
      <c r="F204" s="213">
        <v>1</v>
      </c>
      <c r="G204" s="213"/>
      <c r="H204" s="213">
        <v>6</v>
      </c>
      <c r="I204" s="213">
        <v>6</v>
      </c>
      <c r="J204" s="213"/>
      <c r="K204" s="856">
        <f>H204*I204</f>
        <v>36</v>
      </c>
      <c r="L204" s="855"/>
    </row>
    <row r="205" spans="2:12">
      <c r="B205" s="854"/>
      <c r="C205" s="1017" t="s">
        <v>116</v>
      </c>
      <c r="D205" s="1017"/>
      <c r="E205" s="1017"/>
      <c r="F205" s="1017"/>
      <c r="G205" s="1017"/>
      <c r="H205" s="1017"/>
      <c r="I205" s="1017"/>
      <c r="J205" s="1017"/>
      <c r="K205" s="89">
        <f>K204</f>
        <v>36</v>
      </c>
      <c r="L205" s="855"/>
    </row>
    <row r="206" spans="2:12">
      <c r="B206" s="63"/>
      <c r="C206" s="851"/>
      <c r="D206" s="851"/>
      <c r="E206" s="851"/>
      <c r="F206" s="851"/>
      <c r="G206" s="851"/>
      <c r="H206" s="851"/>
      <c r="I206" s="851"/>
      <c r="J206" s="851"/>
      <c r="K206" s="852"/>
      <c r="L206" s="853"/>
    </row>
    <row r="207" spans="2:12" ht="15" customHeight="1">
      <c r="B207" s="854" t="s">
        <v>79</v>
      </c>
      <c r="C207" s="997" t="str">
        <f>'ESC. MUN. ANDRE VIDAL'!C19</f>
        <v>DEMOLIÇÃO DE REVESTIMENTO CERÂMICO, DE FORMA MANUAL, SEM REAPROVEITAMENTO. AF_12/2017</v>
      </c>
      <c r="D207" s="998"/>
      <c r="E207" s="998"/>
      <c r="F207" s="998"/>
      <c r="G207" s="998"/>
      <c r="H207" s="998"/>
      <c r="I207" s="998"/>
      <c r="J207" s="999"/>
      <c r="K207" s="89" t="s">
        <v>7</v>
      </c>
      <c r="L207" s="89">
        <f>K216</f>
        <v>54.012600000000006</v>
      </c>
    </row>
    <row r="208" spans="2:12">
      <c r="B208" s="854"/>
      <c r="C208" s="983" t="s">
        <v>20</v>
      </c>
      <c r="D208" s="983"/>
      <c r="E208" s="983"/>
      <c r="F208" s="87" t="s">
        <v>22</v>
      </c>
      <c r="G208" s="849" t="s">
        <v>111</v>
      </c>
      <c r="H208" s="87" t="s">
        <v>112</v>
      </c>
      <c r="I208" s="849" t="s">
        <v>113</v>
      </c>
      <c r="J208" s="849" t="s">
        <v>114</v>
      </c>
      <c r="K208" s="89" t="s">
        <v>25</v>
      </c>
      <c r="L208" s="855"/>
    </row>
    <row r="209" spans="2:12">
      <c r="B209" s="854"/>
      <c r="C209" s="1021" t="s">
        <v>97</v>
      </c>
      <c r="D209" s="1022"/>
      <c r="E209" s="1023"/>
      <c r="F209" s="857">
        <v>1</v>
      </c>
      <c r="G209" s="249">
        <v>2.2200000000000002</v>
      </c>
      <c r="H209" s="250">
        <v>2.5099999999999998</v>
      </c>
      <c r="I209" s="249">
        <v>1</v>
      </c>
      <c r="J209" s="249">
        <v>0</v>
      </c>
      <c r="K209" s="856">
        <f>(F209*G209*H209*I209)-J209</f>
        <v>5.5721999999999996</v>
      </c>
      <c r="L209" s="855"/>
    </row>
    <row r="210" spans="2:12">
      <c r="B210" s="854"/>
      <c r="C210" s="1021" t="s">
        <v>97</v>
      </c>
      <c r="D210" s="1022"/>
      <c r="E210" s="1023"/>
      <c r="F210" s="857">
        <v>1</v>
      </c>
      <c r="G210" s="249">
        <v>2.2200000000000002</v>
      </c>
      <c r="H210" s="250">
        <v>5.85</v>
      </c>
      <c r="I210" s="249">
        <v>1</v>
      </c>
      <c r="J210" s="249">
        <v>0</v>
      </c>
      <c r="K210" s="856">
        <f t="shared" ref="K210:K215" si="2">(F210*G210*H210*I210)-J210</f>
        <v>12.987</v>
      </c>
      <c r="L210" s="855"/>
    </row>
    <row r="211" spans="2:12">
      <c r="B211" s="854"/>
      <c r="C211" s="1021" t="s">
        <v>97</v>
      </c>
      <c r="D211" s="1022"/>
      <c r="E211" s="1023"/>
      <c r="F211" s="857">
        <v>1</v>
      </c>
      <c r="G211" s="249">
        <v>2.2200000000000002</v>
      </c>
      <c r="H211" s="250">
        <v>5</v>
      </c>
      <c r="I211" s="249">
        <v>1</v>
      </c>
      <c r="J211" s="249">
        <v>0</v>
      </c>
      <c r="K211" s="856">
        <f t="shared" si="2"/>
        <v>11.100000000000001</v>
      </c>
      <c r="L211" s="855"/>
    </row>
    <row r="212" spans="2:12">
      <c r="B212" s="854"/>
      <c r="C212" s="1021" t="s">
        <v>97</v>
      </c>
      <c r="D212" s="1022"/>
      <c r="E212" s="1023"/>
      <c r="F212" s="857">
        <v>1</v>
      </c>
      <c r="G212" s="249">
        <v>2.2200000000000002</v>
      </c>
      <c r="H212" s="250">
        <v>1.9</v>
      </c>
      <c r="I212" s="249">
        <v>1</v>
      </c>
      <c r="J212" s="249">
        <v>0</v>
      </c>
      <c r="K212" s="856">
        <f t="shared" si="2"/>
        <v>4.218</v>
      </c>
      <c r="L212" s="855"/>
    </row>
    <row r="213" spans="2:12">
      <c r="B213" s="854"/>
      <c r="C213" s="1021" t="s">
        <v>97</v>
      </c>
      <c r="D213" s="1022"/>
      <c r="E213" s="1023"/>
      <c r="F213" s="857">
        <v>1</v>
      </c>
      <c r="G213" s="249">
        <v>2.2200000000000002</v>
      </c>
      <c r="H213" s="250">
        <v>3.07</v>
      </c>
      <c r="I213" s="249">
        <v>1</v>
      </c>
      <c r="J213" s="249">
        <v>0</v>
      </c>
      <c r="K213" s="856">
        <f t="shared" si="2"/>
        <v>6.8154000000000003</v>
      </c>
      <c r="L213" s="855"/>
    </row>
    <row r="214" spans="2:12">
      <c r="B214" s="854"/>
      <c r="C214" s="1021" t="s">
        <v>97</v>
      </c>
      <c r="D214" s="1022"/>
      <c r="E214" s="1023"/>
      <c r="F214" s="857">
        <v>1</v>
      </c>
      <c r="G214" s="249">
        <v>2.2200000000000002</v>
      </c>
      <c r="H214" s="250">
        <v>2.4</v>
      </c>
      <c r="I214" s="249">
        <v>1</v>
      </c>
      <c r="J214" s="249">
        <v>0</v>
      </c>
      <c r="K214" s="856">
        <f t="shared" si="2"/>
        <v>5.3280000000000003</v>
      </c>
      <c r="L214" s="855"/>
    </row>
    <row r="215" spans="2:12">
      <c r="B215" s="854"/>
      <c r="C215" s="1021" t="s">
        <v>97</v>
      </c>
      <c r="D215" s="1022"/>
      <c r="E215" s="1023"/>
      <c r="F215" s="857">
        <v>1</v>
      </c>
      <c r="G215" s="249">
        <v>2.2200000000000002</v>
      </c>
      <c r="H215" s="250">
        <v>3.6</v>
      </c>
      <c r="I215" s="249">
        <v>1</v>
      </c>
      <c r="J215" s="249">
        <v>0</v>
      </c>
      <c r="K215" s="856">
        <f t="shared" si="2"/>
        <v>7.9920000000000009</v>
      </c>
      <c r="L215" s="855"/>
    </row>
    <row r="216" spans="2:12">
      <c r="B216" s="854"/>
      <c r="C216" s="1017" t="s">
        <v>116</v>
      </c>
      <c r="D216" s="1017"/>
      <c r="E216" s="1017"/>
      <c r="F216" s="1017"/>
      <c r="G216" s="1017"/>
      <c r="H216" s="1017"/>
      <c r="I216" s="1017"/>
      <c r="J216" s="1017"/>
      <c r="K216" s="89">
        <f>SUM(K209:K215)</f>
        <v>54.012600000000006</v>
      </c>
      <c r="L216" s="855"/>
    </row>
    <row r="217" spans="2:12">
      <c r="B217" s="63"/>
      <c r="C217" s="71"/>
      <c r="D217" s="71"/>
      <c r="E217" s="71"/>
      <c r="F217" s="71"/>
      <c r="G217" s="71"/>
      <c r="H217" s="71"/>
      <c r="I217" s="71"/>
      <c r="J217" s="71"/>
      <c r="K217" s="73"/>
      <c r="L217" s="67"/>
    </row>
    <row r="218" spans="2:12" ht="21" customHeight="1">
      <c r="B218" s="86" t="s">
        <v>196</v>
      </c>
      <c r="C218" s="997" t="str">
        <f>'ESC. MUN. ANDRE VIDAL'!C20</f>
        <v>DEMOLIÇÃO DE PISO DE ALTA RESISTÊNCIA</v>
      </c>
      <c r="D218" s="998"/>
      <c r="E218" s="998"/>
      <c r="F218" s="998"/>
      <c r="G218" s="998"/>
      <c r="H218" s="998"/>
      <c r="I218" s="998"/>
      <c r="J218" s="999"/>
      <c r="K218" s="97" t="s">
        <v>7</v>
      </c>
      <c r="L218" s="97">
        <f>K222</f>
        <v>35</v>
      </c>
    </row>
    <row r="219" spans="2:12">
      <c r="B219" s="86"/>
      <c r="C219" s="1018" t="s">
        <v>20</v>
      </c>
      <c r="D219" s="1019"/>
      <c r="E219" s="1020"/>
      <c r="F219" s="87" t="s">
        <v>22</v>
      </c>
      <c r="G219" s="88" t="s">
        <v>111</v>
      </c>
      <c r="H219" s="87" t="s">
        <v>112</v>
      </c>
      <c r="I219" s="88" t="s">
        <v>113</v>
      </c>
      <c r="J219" s="88" t="s">
        <v>114</v>
      </c>
      <c r="K219" s="89" t="s">
        <v>25</v>
      </c>
      <c r="L219" s="90"/>
    </row>
    <row r="220" spans="2:12" ht="15" customHeight="1">
      <c r="B220" s="86"/>
      <c r="C220" s="984" t="s">
        <v>203</v>
      </c>
      <c r="D220" s="985"/>
      <c r="E220" s="986"/>
      <c r="F220" s="91">
        <v>1</v>
      </c>
      <c r="G220" s="91"/>
      <c r="H220" s="91">
        <v>5</v>
      </c>
      <c r="I220" s="91">
        <v>5</v>
      </c>
      <c r="J220" s="91"/>
      <c r="K220" s="907">
        <f>H220*I220</f>
        <v>25</v>
      </c>
      <c r="L220" s="90"/>
    </row>
    <row r="221" spans="2:12" ht="15" customHeight="1">
      <c r="B221" s="86"/>
      <c r="C221" s="984" t="s">
        <v>205</v>
      </c>
      <c r="D221" s="985"/>
      <c r="E221" s="986"/>
      <c r="F221" s="91">
        <v>1</v>
      </c>
      <c r="G221" s="91"/>
      <c r="H221" s="91">
        <v>5</v>
      </c>
      <c r="I221" s="91">
        <v>2</v>
      </c>
      <c r="J221" s="91"/>
      <c r="K221" s="907">
        <f>H221*I221</f>
        <v>10</v>
      </c>
      <c r="L221" s="90"/>
    </row>
    <row r="222" spans="2:12">
      <c r="B222" s="86"/>
      <c r="C222" s="1014" t="s">
        <v>116</v>
      </c>
      <c r="D222" s="1015"/>
      <c r="E222" s="1015"/>
      <c r="F222" s="1015"/>
      <c r="G222" s="1015"/>
      <c r="H222" s="1015"/>
      <c r="I222" s="1015"/>
      <c r="J222" s="1016"/>
      <c r="K222" s="89">
        <f>SUM(K220:K221)</f>
        <v>35</v>
      </c>
      <c r="L222" s="90"/>
    </row>
    <row r="223" spans="2:12" hidden="1">
      <c r="B223" s="63"/>
      <c r="C223" s="1004" t="s">
        <v>20</v>
      </c>
      <c r="D223" s="1004"/>
      <c r="E223" s="1004"/>
      <c r="F223" s="64" t="s">
        <v>22</v>
      </c>
      <c r="G223" s="65" t="s">
        <v>111</v>
      </c>
      <c r="H223" s="64" t="s">
        <v>112</v>
      </c>
      <c r="I223" s="65" t="s">
        <v>154</v>
      </c>
      <c r="J223" s="65" t="s">
        <v>114</v>
      </c>
      <c r="K223" s="66" t="s">
        <v>25</v>
      </c>
      <c r="L223" s="67"/>
    </row>
    <row r="224" spans="2:12" hidden="1">
      <c r="B224" s="63"/>
      <c r="C224" s="1001" t="s">
        <v>159</v>
      </c>
      <c r="D224" s="1001"/>
      <c r="E224" s="1001"/>
      <c r="F224" s="68">
        <v>1</v>
      </c>
      <c r="G224" s="68">
        <v>5.05</v>
      </c>
      <c r="H224" s="68"/>
      <c r="I224" s="68">
        <f>6.6*2</f>
        <v>13.2</v>
      </c>
      <c r="J224" s="68">
        <v>3.88</v>
      </c>
      <c r="K224" s="906">
        <f>TRUNC(((G224*I224)*F224)-J224,2)</f>
        <v>62.78</v>
      </c>
      <c r="L224" s="67"/>
    </row>
    <row r="225" spans="2:12" hidden="1">
      <c r="B225" s="63"/>
      <c r="C225" s="1001" t="s">
        <v>156</v>
      </c>
      <c r="D225" s="1001"/>
      <c r="E225" s="1001"/>
      <c r="F225" s="68">
        <v>1</v>
      </c>
      <c r="G225" s="68">
        <v>5.05</v>
      </c>
      <c r="H225" s="68"/>
      <c r="I225" s="68">
        <v>9</v>
      </c>
      <c r="J225" s="68"/>
      <c r="K225" s="906">
        <f>TRUNC(((G225*I225)*F225),2)</f>
        <v>45.45</v>
      </c>
      <c r="L225" s="67"/>
    </row>
    <row r="226" spans="2:12" hidden="1">
      <c r="B226" s="63"/>
      <c r="C226" s="1001" t="s">
        <v>160</v>
      </c>
      <c r="D226" s="1001"/>
      <c r="E226" s="1001"/>
      <c r="F226" s="68">
        <v>2</v>
      </c>
      <c r="G226" s="68">
        <v>2.6</v>
      </c>
      <c r="H226" s="68"/>
      <c r="I226" s="68">
        <f>4.2+3.15+2.15+(1.05*2)</f>
        <v>11.6</v>
      </c>
      <c r="J226" s="68"/>
      <c r="K226" s="906">
        <f>TRUNC(((G226*I226)*F226),2)</f>
        <v>60.32</v>
      </c>
      <c r="L226" s="67"/>
    </row>
    <row r="227" spans="2:12" hidden="1">
      <c r="B227" s="63"/>
      <c r="C227" s="1001" t="s">
        <v>161</v>
      </c>
      <c r="D227" s="1001"/>
      <c r="E227" s="1001"/>
      <c r="F227" s="68">
        <v>2</v>
      </c>
      <c r="G227" s="68">
        <v>2.1</v>
      </c>
      <c r="H227" s="68"/>
      <c r="I227" s="68">
        <v>2.2000000000000002</v>
      </c>
      <c r="J227" s="68"/>
      <c r="K227" s="906">
        <f>TRUNC(((G227*I227)*F227),2)</f>
        <v>9.24</v>
      </c>
      <c r="L227" s="67"/>
    </row>
    <row r="228" spans="2:12" hidden="1">
      <c r="B228" s="63"/>
      <c r="C228" s="1002" t="s">
        <v>116</v>
      </c>
      <c r="D228" s="1002"/>
      <c r="E228" s="1002"/>
      <c r="F228" s="1002"/>
      <c r="G228" s="1002"/>
      <c r="H228" s="1002"/>
      <c r="I228" s="1002"/>
      <c r="J228" s="1002"/>
      <c r="K228" s="66">
        <f>SUM(K224:K227)</f>
        <v>177.79000000000002</v>
      </c>
      <c r="L228" s="67"/>
    </row>
    <row r="229" spans="2:12" hidden="1"/>
    <row r="230" spans="2:12" ht="24" hidden="1" customHeight="1">
      <c r="B230" s="60" t="str">
        <f>'[6]PLANILHA ORÇAMENTÁRIA'!D49</f>
        <v>8.2</v>
      </c>
      <c r="C230" s="1003" t="str">
        <f>'[6]PLANILHA ORÇAMENTÁRIA'!E49</f>
        <v>EMBOÇO, PARA RECEBIMENTO DE CERÂMICA, EM ARGAMASSA TRAÇO 1:2:8, PREPARO MECÂNICO COM BETONEIRA 400L, APLICADO MANUALMENTE EM FACES INTERNAS DE PAREDES, PARA AMBIENTE COM ÁREA MAIOR QUE 10M2, ESPESSURA DE 10MM, COM EXECUÇÃO DE TALISCAS. AF_06/2014</v>
      </c>
      <c r="D230" s="1003"/>
      <c r="E230" s="1003"/>
      <c r="F230" s="1003"/>
      <c r="G230" s="1003"/>
      <c r="H230" s="1003"/>
      <c r="I230" s="1003"/>
      <c r="J230" s="1003"/>
      <c r="K230" s="61" t="str">
        <f>'[6]PLANILHA ORÇAMENTÁRIA'!F49</f>
        <v>M2</v>
      </c>
      <c r="L230" s="62">
        <f>K236</f>
        <v>177.79000000000002</v>
      </c>
    </row>
    <row r="231" spans="2:12" hidden="1">
      <c r="B231" s="63"/>
      <c r="C231" s="1004" t="s">
        <v>20</v>
      </c>
      <c r="D231" s="1004"/>
      <c r="E231" s="1004"/>
      <c r="F231" s="64" t="s">
        <v>22</v>
      </c>
      <c r="G231" s="65" t="s">
        <v>111</v>
      </c>
      <c r="H231" s="64" t="s">
        <v>112</v>
      </c>
      <c r="I231" s="65" t="s">
        <v>154</v>
      </c>
      <c r="J231" s="65" t="s">
        <v>114</v>
      </c>
      <c r="K231" s="66" t="s">
        <v>25</v>
      </c>
      <c r="L231" s="67"/>
    </row>
    <row r="232" spans="2:12" ht="15" hidden="1" customHeight="1">
      <c r="B232" s="63"/>
      <c r="C232" s="1001" t="s">
        <v>159</v>
      </c>
      <c r="D232" s="1001"/>
      <c r="E232" s="1001"/>
      <c r="F232" s="68">
        <v>1</v>
      </c>
      <c r="G232" s="68">
        <v>5.05</v>
      </c>
      <c r="H232" s="68"/>
      <c r="I232" s="68">
        <f>6.6*2</f>
        <v>13.2</v>
      </c>
      <c r="J232" s="68">
        <v>3.88</v>
      </c>
      <c r="K232" s="906">
        <f>TRUNC(((G232*I232)*F232)-J232,2)</f>
        <v>62.78</v>
      </c>
      <c r="L232" s="67"/>
    </row>
    <row r="233" spans="2:12" hidden="1">
      <c r="B233" s="63"/>
      <c r="C233" s="1001" t="s">
        <v>156</v>
      </c>
      <c r="D233" s="1001"/>
      <c r="E233" s="1001"/>
      <c r="F233" s="68">
        <v>1</v>
      </c>
      <c r="G233" s="68">
        <v>5.05</v>
      </c>
      <c r="H233" s="68"/>
      <c r="I233" s="68">
        <v>9</v>
      </c>
      <c r="J233" s="68"/>
      <c r="K233" s="906">
        <f>TRUNC(((G233*I233)*F233),2)</f>
        <v>45.45</v>
      </c>
      <c r="L233" s="67"/>
    </row>
    <row r="234" spans="2:12" ht="15" hidden="1" customHeight="1">
      <c r="B234" s="63"/>
      <c r="C234" s="1001" t="s">
        <v>160</v>
      </c>
      <c r="D234" s="1001"/>
      <c r="E234" s="1001"/>
      <c r="F234" s="68">
        <v>2</v>
      </c>
      <c r="G234" s="68">
        <v>2.6</v>
      </c>
      <c r="H234" s="68"/>
      <c r="I234" s="68">
        <f>4.2+3.15+2.15+(1.05*2)</f>
        <v>11.6</v>
      </c>
      <c r="J234" s="68"/>
      <c r="K234" s="906">
        <f>TRUNC(((G234*I234)*F234),2)</f>
        <v>60.32</v>
      </c>
      <c r="L234" s="67"/>
    </row>
    <row r="235" spans="2:12" ht="15" hidden="1" customHeight="1">
      <c r="B235" s="63"/>
      <c r="C235" s="1001" t="s">
        <v>161</v>
      </c>
      <c r="D235" s="1001"/>
      <c r="E235" s="1001"/>
      <c r="F235" s="68">
        <v>2</v>
      </c>
      <c r="G235" s="68">
        <v>2.1</v>
      </c>
      <c r="H235" s="68"/>
      <c r="I235" s="68">
        <v>2.2000000000000002</v>
      </c>
      <c r="J235" s="68"/>
      <c r="K235" s="906">
        <f>TRUNC(((G235*I235)*F235),2)</f>
        <v>9.24</v>
      </c>
      <c r="L235" s="67"/>
    </row>
    <row r="236" spans="2:12" hidden="1">
      <c r="B236" s="63"/>
      <c r="C236" s="1002" t="s">
        <v>116</v>
      </c>
      <c r="D236" s="1002"/>
      <c r="E236" s="1002"/>
      <c r="F236" s="1002"/>
      <c r="G236" s="1002"/>
      <c r="H236" s="1002"/>
      <c r="I236" s="1002"/>
      <c r="J236" s="1002"/>
      <c r="K236" s="66">
        <f>SUM(K232:K235)</f>
        <v>177.79000000000002</v>
      </c>
      <c r="L236" s="67"/>
    </row>
    <row r="237" spans="2:12" hidden="1"/>
    <row r="238" spans="2:12" hidden="1">
      <c r="B238" s="63"/>
      <c r="C238" s="1002" t="s">
        <v>116</v>
      </c>
      <c r="D238" s="1002"/>
      <c r="E238" s="1002"/>
      <c r="F238" s="1002"/>
      <c r="G238" s="1002"/>
      <c r="H238" s="1002"/>
      <c r="I238" s="1002"/>
      <c r="J238" s="1002"/>
      <c r="K238" s="66" t="e">
        <f>SUM(#REF!)</f>
        <v>#REF!</v>
      </c>
      <c r="L238" s="67"/>
    </row>
    <row r="239" spans="2:12" hidden="1"/>
    <row r="240" spans="2:12" ht="15" hidden="1" customHeight="1">
      <c r="B240" s="63"/>
      <c r="C240" s="1005" t="s">
        <v>162</v>
      </c>
      <c r="D240" s="1006"/>
      <c r="E240" s="1007"/>
      <c r="F240" s="68"/>
      <c r="G240" s="68"/>
      <c r="H240" s="68">
        <v>1.8</v>
      </c>
      <c r="I240" s="68">
        <v>14.3</v>
      </c>
      <c r="J240" s="68"/>
      <c r="K240" s="69">
        <f>H240*I240</f>
        <v>25.740000000000002</v>
      </c>
      <c r="L240" s="67"/>
    </row>
    <row r="241" spans="2:12" ht="15" hidden="1" customHeight="1">
      <c r="B241" s="63"/>
      <c r="C241" s="1005" t="s">
        <v>162</v>
      </c>
      <c r="D241" s="1006"/>
      <c r="E241" s="1007"/>
      <c r="F241" s="68">
        <v>2</v>
      </c>
      <c r="G241" s="68"/>
      <c r="H241" s="68">
        <v>1.6</v>
      </c>
      <c r="I241" s="68">
        <v>4</v>
      </c>
      <c r="J241" s="68"/>
      <c r="K241" s="69">
        <f>F241*H241*I241</f>
        <v>12.8</v>
      </c>
      <c r="L241" s="67"/>
    </row>
    <row r="242" spans="2:12" ht="15" hidden="1" customHeight="1">
      <c r="B242" s="63"/>
      <c r="C242" s="1005" t="s">
        <v>163</v>
      </c>
      <c r="D242" s="1006"/>
      <c r="E242" s="1007"/>
      <c r="F242" s="68"/>
      <c r="G242" s="68"/>
      <c r="H242" s="68"/>
      <c r="I242" s="68"/>
      <c r="J242" s="68">
        <v>109.24</v>
      </c>
      <c r="K242" s="69">
        <f>-J242</f>
        <v>-109.24</v>
      </c>
      <c r="L242" s="67"/>
    </row>
    <row r="243" spans="2:12" hidden="1">
      <c r="B243" s="63"/>
      <c r="C243" s="1001" t="s">
        <v>164</v>
      </c>
      <c r="D243" s="1001"/>
      <c r="E243" s="1001"/>
      <c r="F243" s="68"/>
      <c r="G243" s="68"/>
      <c r="H243" s="68">
        <v>1.05</v>
      </c>
      <c r="I243" s="68">
        <v>1.85</v>
      </c>
      <c r="J243" s="68"/>
      <c r="K243" s="906">
        <f>TRUNC(H243*I243,2)</f>
        <v>1.94</v>
      </c>
      <c r="L243" s="67"/>
    </row>
    <row r="244" spans="2:12" hidden="1">
      <c r="B244" s="63"/>
      <c r="C244" s="1004" t="s">
        <v>20</v>
      </c>
      <c r="D244" s="1004"/>
      <c r="E244" s="1004"/>
      <c r="F244" s="64" t="s">
        <v>22</v>
      </c>
      <c r="G244" s="65" t="s">
        <v>111</v>
      </c>
      <c r="H244" s="64" t="s">
        <v>112</v>
      </c>
      <c r="I244" s="65" t="s">
        <v>113</v>
      </c>
      <c r="J244" s="65" t="s">
        <v>114</v>
      </c>
      <c r="K244" s="66" t="s">
        <v>25</v>
      </c>
      <c r="L244" s="67"/>
    </row>
    <row r="245" spans="2:12" ht="15" hidden="1" customHeight="1">
      <c r="B245" s="63"/>
      <c r="C245" s="1001" t="s">
        <v>165</v>
      </c>
      <c r="D245" s="1001"/>
      <c r="E245" s="1001"/>
      <c r="F245" s="68"/>
      <c r="G245" s="68"/>
      <c r="H245" s="68">
        <v>6.4740000000000002</v>
      </c>
      <c r="I245" s="68">
        <v>7.5</v>
      </c>
      <c r="J245" s="68">
        <v>1.75</v>
      </c>
      <c r="K245" s="906">
        <f>TRUNC(H245*I245-J245,2)</f>
        <v>46.8</v>
      </c>
      <c r="L245" s="67"/>
    </row>
    <row r="246" spans="2:12" ht="22.5" hidden="1" customHeight="1">
      <c r="B246" s="60" t="str">
        <f>'[6]PLANILHA ORÇAMENTÁRIA'!D68</f>
        <v>10.2</v>
      </c>
      <c r="C246" s="1003" t="str">
        <f>'[6]PLANILHA ORÇAMENTÁRIA'!E68</f>
        <v>FECHADURA DE EMBUTIR COM CILINDRO, EXTERNA, COMPLETA, ACABAMENTO PADRÃO POPULAR, INCLUSO EXECUÇÃO DE FURO - FORNECIMENTO E INSTALAÇÃO. AF_08/2015</v>
      </c>
      <c r="D246" s="1003"/>
      <c r="E246" s="1003"/>
      <c r="F246" s="1003"/>
      <c r="G246" s="1003"/>
      <c r="H246" s="1003"/>
      <c r="I246" s="1003"/>
      <c r="J246" s="1003"/>
      <c r="K246" s="61" t="str">
        <f>'[6]PLANILHA ORÇAMENTÁRIA'!F68</f>
        <v>UND</v>
      </c>
      <c r="L246" s="62" t="e">
        <f>#REF!</f>
        <v>#REF!</v>
      </c>
    </row>
    <row r="247" spans="2:12" hidden="1">
      <c r="B247" s="63"/>
      <c r="C247" s="1004" t="s">
        <v>20</v>
      </c>
      <c r="D247" s="1004"/>
      <c r="E247" s="1004"/>
      <c r="F247" s="64" t="s">
        <v>22</v>
      </c>
      <c r="G247" s="65" t="s">
        <v>111</v>
      </c>
      <c r="H247" s="65" t="s">
        <v>114</v>
      </c>
      <c r="I247" s="65" t="s">
        <v>113</v>
      </c>
      <c r="J247" s="65" t="s">
        <v>136</v>
      </c>
      <c r="K247" s="66" t="s">
        <v>25</v>
      </c>
      <c r="L247" s="67"/>
    </row>
    <row r="248" spans="2:12" ht="27" hidden="1" customHeight="1">
      <c r="B248" s="63"/>
      <c r="C248" s="1001" t="s">
        <v>166</v>
      </c>
      <c r="D248" s="1001"/>
      <c r="E248" s="1001"/>
      <c r="F248" s="68">
        <v>3</v>
      </c>
      <c r="G248" s="68"/>
      <c r="H248" s="68"/>
      <c r="I248" s="68"/>
      <c r="J248" s="68"/>
      <c r="K248" s="906"/>
      <c r="L248" s="67"/>
    </row>
    <row r="249" spans="2:12" ht="15" hidden="1" customHeight="1">
      <c r="B249" s="60" t="str">
        <f>'[6]PLANILHA ORÇAMENTÁRIA'!D72</f>
        <v>11.2</v>
      </c>
      <c r="C249" s="1003" t="str">
        <f>'[6]PLANILHA ORÇAMENTÁRIA'!E72</f>
        <v>CAIXA D'ÁGUA EM POLIETILENO, 500 LITROS, COM ACESSÓRIOS.</v>
      </c>
      <c r="D249" s="1003"/>
      <c r="E249" s="1003"/>
      <c r="F249" s="1003"/>
      <c r="G249" s="1003"/>
      <c r="H249" s="1003"/>
      <c r="I249" s="1003"/>
      <c r="J249" s="1003"/>
      <c r="K249" s="61" t="str">
        <f>'[6]PLANILHA ORÇAMENTÁRIA'!F72</f>
        <v>UND</v>
      </c>
      <c r="L249" s="62" t="e">
        <f>#REF!</f>
        <v>#REF!</v>
      </c>
    </row>
    <row r="250" spans="2:12" hidden="1">
      <c r="B250" s="63"/>
      <c r="C250" s="1004" t="s">
        <v>20</v>
      </c>
      <c r="D250" s="1004"/>
      <c r="E250" s="1004"/>
      <c r="F250" s="64" t="s">
        <v>22</v>
      </c>
      <c r="G250" s="65" t="s">
        <v>111</v>
      </c>
      <c r="H250" s="65" t="s">
        <v>114</v>
      </c>
      <c r="I250" s="65" t="s">
        <v>113</v>
      </c>
      <c r="J250" s="65" t="s">
        <v>136</v>
      </c>
      <c r="K250" s="66" t="s">
        <v>25</v>
      </c>
      <c r="L250" s="67"/>
    </row>
    <row r="251" spans="2:12" hidden="1">
      <c r="B251" s="63"/>
      <c r="C251" s="1001"/>
      <c r="D251" s="1001"/>
      <c r="E251" s="1001"/>
      <c r="F251" s="68">
        <v>2</v>
      </c>
      <c r="G251" s="68"/>
      <c r="H251" s="68"/>
      <c r="I251" s="68"/>
      <c r="J251" s="68"/>
      <c r="K251" s="906">
        <f>F251</f>
        <v>2</v>
      </c>
      <c r="L251" s="67"/>
    </row>
    <row r="252" spans="2:12" hidden="1">
      <c r="B252" s="63"/>
      <c r="C252" s="1002" t="s">
        <v>116</v>
      </c>
      <c r="D252" s="1002"/>
      <c r="E252" s="1002"/>
      <c r="F252" s="1002"/>
      <c r="G252" s="1002"/>
      <c r="H252" s="1002"/>
      <c r="I252" s="1002"/>
      <c r="J252" s="1002"/>
      <c r="K252" s="66" t="e">
        <f>SUM(#REF!)</f>
        <v>#REF!</v>
      </c>
      <c r="L252" s="67"/>
    </row>
    <row r="253" spans="2:12" hidden="1">
      <c r="B253" s="63"/>
      <c r="C253" s="71"/>
      <c r="D253" s="71"/>
      <c r="E253" s="71"/>
      <c r="F253" s="71"/>
      <c r="G253" s="71"/>
      <c r="H253" s="71"/>
      <c r="I253" s="71"/>
      <c r="J253" s="71"/>
      <c r="K253" s="73"/>
      <c r="L253" s="67"/>
    </row>
    <row r="254" spans="2:12" ht="22.5" hidden="1" customHeight="1">
      <c r="B254" s="60" t="str">
        <f>'[6]PLANILHA ORÇAMENTÁRIA'!D76</f>
        <v>11.6</v>
      </c>
      <c r="C254" s="1003" t="str">
        <f>'[6]PLANILHA ORÇAMENTÁRIA'!E76</f>
        <v>SIFÃO DO TIPO GARRAFA/COPO EM PVC 1.1/4 X 1.1/2" - FORNECIMENTO E INSTALAÇÃO. AF_12/2013</v>
      </c>
      <c r="D254" s="1003"/>
      <c r="E254" s="1003"/>
      <c r="F254" s="1003"/>
      <c r="G254" s="1003"/>
      <c r="H254" s="1003"/>
      <c r="I254" s="1003"/>
      <c r="J254" s="1003"/>
      <c r="K254" s="61" t="str">
        <f>'[6]PLANILHA ORÇAMENTÁRIA'!F76</f>
        <v>UND</v>
      </c>
      <c r="L254" s="62" t="e">
        <f>#REF!</f>
        <v>#REF!</v>
      </c>
    </row>
    <row r="255" spans="2:12" hidden="1">
      <c r="B255" s="63"/>
      <c r="C255" s="1004" t="s">
        <v>20</v>
      </c>
      <c r="D255" s="1004"/>
      <c r="E255" s="1004"/>
      <c r="F255" s="64" t="s">
        <v>22</v>
      </c>
      <c r="G255" s="65" t="s">
        <v>111</v>
      </c>
      <c r="H255" s="65" t="s">
        <v>114</v>
      </c>
      <c r="I255" s="65" t="s">
        <v>113</v>
      </c>
      <c r="J255" s="65" t="s">
        <v>136</v>
      </c>
      <c r="K255" s="66" t="s">
        <v>25</v>
      </c>
      <c r="L255" s="67"/>
    </row>
    <row r="256" spans="2:12" hidden="1">
      <c r="B256" s="63"/>
      <c r="C256" s="1001"/>
      <c r="D256" s="1001"/>
      <c r="E256" s="1001"/>
      <c r="F256" s="68">
        <v>2</v>
      </c>
      <c r="G256" s="68"/>
      <c r="H256" s="68"/>
      <c r="I256" s="68"/>
      <c r="J256" s="68"/>
      <c r="K256" s="906">
        <f>F256</f>
        <v>2</v>
      </c>
      <c r="L256" s="67"/>
    </row>
    <row r="257" spans="2:12" hidden="1">
      <c r="B257" s="63"/>
      <c r="C257" s="1002" t="s">
        <v>116</v>
      </c>
      <c r="D257" s="1002"/>
      <c r="E257" s="1002"/>
      <c r="F257" s="1002"/>
      <c r="G257" s="1002"/>
      <c r="H257" s="1002"/>
      <c r="I257" s="1002"/>
      <c r="J257" s="1002"/>
      <c r="K257" s="66">
        <f>SUM(K256:K256)</f>
        <v>2</v>
      </c>
      <c r="L257" s="67"/>
    </row>
    <row r="258" spans="2:12" hidden="1">
      <c r="B258" s="63"/>
      <c r="C258" s="71"/>
      <c r="D258" s="71"/>
      <c r="E258" s="71"/>
      <c r="F258" s="71"/>
      <c r="G258" s="71"/>
      <c r="H258" s="71"/>
      <c r="I258" s="71"/>
      <c r="J258" s="71"/>
      <c r="K258" s="73"/>
      <c r="L258" s="67"/>
    </row>
    <row r="259" spans="2:12" ht="27.75" hidden="1" customHeight="1">
      <c r="B259" s="60" t="str">
        <f>'[6]PLANILHA ORÇAMENTÁRIA'!D80</f>
        <v>11.10</v>
      </c>
      <c r="C259" s="1003" t="str">
        <f>'[6]PLANILHA ORÇAMENTÁRIA'!E80</f>
        <v>TORNEIRA CROMADA DE MESA, 1/2" OU 3/4", PARA LAVATÓRIO, PADRÃO POPULAR - FORNECIMENTO E INSTALAÇÃO. AF_12/2013</v>
      </c>
      <c r="D259" s="1003"/>
      <c r="E259" s="1003"/>
      <c r="F259" s="1003"/>
      <c r="G259" s="1003"/>
      <c r="H259" s="1003"/>
      <c r="I259" s="1003"/>
      <c r="J259" s="1003"/>
      <c r="K259" s="61" t="str">
        <f>'[6]PLANILHA ORÇAMENTÁRIA'!F80</f>
        <v>UND</v>
      </c>
      <c r="L259" s="62" t="e">
        <f>#REF!</f>
        <v>#REF!</v>
      </c>
    </row>
    <row r="260" spans="2:12" hidden="1">
      <c r="B260" s="63"/>
      <c r="C260" s="1001"/>
      <c r="D260" s="1001"/>
      <c r="E260" s="1001"/>
      <c r="F260" s="68">
        <v>2</v>
      </c>
      <c r="G260" s="68"/>
      <c r="H260" s="68"/>
      <c r="I260" s="68"/>
      <c r="J260" s="68"/>
      <c r="K260" s="906">
        <f>F260</f>
        <v>2</v>
      </c>
      <c r="L260" s="67"/>
    </row>
    <row r="261" spans="2:12" hidden="1">
      <c r="B261" s="63"/>
      <c r="C261" s="1002" t="s">
        <v>116</v>
      </c>
      <c r="D261" s="1002"/>
      <c r="E261" s="1002"/>
      <c r="F261" s="1002"/>
      <c r="G261" s="1002"/>
      <c r="H261" s="1002"/>
      <c r="I261" s="1002"/>
      <c r="J261" s="1002"/>
      <c r="K261" s="66">
        <f>SUM(K260:K260)</f>
        <v>2</v>
      </c>
      <c r="L261" s="67"/>
    </row>
    <row r="262" spans="2:12" hidden="1">
      <c r="B262" s="63"/>
      <c r="C262" s="1001"/>
      <c r="D262" s="1001"/>
      <c r="E262" s="1001"/>
      <c r="F262" s="68">
        <v>1</v>
      </c>
      <c r="G262" s="68"/>
      <c r="H262" s="68"/>
      <c r="I262" s="68"/>
      <c r="J262" s="68"/>
      <c r="K262" s="906">
        <f>F262</f>
        <v>1</v>
      </c>
      <c r="L262" s="67"/>
    </row>
    <row r="263" spans="2:12" hidden="1">
      <c r="B263" s="63"/>
      <c r="C263" s="1002" t="s">
        <v>116</v>
      </c>
      <c r="D263" s="1002"/>
      <c r="E263" s="1002"/>
      <c r="F263" s="1002"/>
      <c r="G263" s="1002"/>
      <c r="H263" s="1002"/>
      <c r="I263" s="1002"/>
      <c r="J263" s="1002"/>
      <c r="K263" s="66">
        <f>SUM(K262:K262)</f>
        <v>1</v>
      </c>
      <c r="L263" s="67"/>
    </row>
    <row r="264" spans="2:12" hidden="1">
      <c r="B264" s="63"/>
      <c r="C264" s="71"/>
      <c r="D264" s="71"/>
      <c r="E264" s="71"/>
      <c r="F264" s="71"/>
      <c r="G264" s="71"/>
      <c r="H264" s="71"/>
      <c r="I264" s="71"/>
      <c r="J264" s="71"/>
      <c r="K264" s="73"/>
      <c r="L264" s="67"/>
    </row>
    <row r="265" spans="2:12" ht="31.5" hidden="1" customHeight="1">
      <c r="B265" s="60" t="str">
        <f>'[6]PLANILHA ORÇAMENTÁRIA'!D83</f>
        <v>11.13</v>
      </c>
      <c r="C265" s="1003" t="str">
        <f>'[6]PLANILHA ORÇAMENTÁRIA'!E83</f>
        <v>JOELHO 45 GRAUS, PVC, SERIE NORMAL, ESGOTO PREDIAL, DN 40 MM, JUNTA SOLDÁVEL, FORNECIDO E INSTALADO EM RAMAL DE DESCARGA OU RAMAL DE ESGOTO SANITÁRIO. AF_12/2014.</v>
      </c>
      <c r="D265" s="1003"/>
      <c r="E265" s="1003"/>
      <c r="F265" s="1003"/>
      <c r="G265" s="1003"/>
      <c r="H265" s="1003"/>
      <c r="I265" s="1003"/>
      <c r="J265" s="1003"/>
      <c r="K265" s="61" t="str">
        <f>'[6]PLANILHA ORÇAMENTÁRIA'!F83</f>
        <v>UND</v>
      </c>
      <c r="L265" s="62">
        <f>K268</f>
        <v>3</v>
      </c>
    </row>
    <row r="266" spans="2:12" hidden="1">
      <c r="B266" s="63"/>
      <c r="C266" s="1004" t="s">
        <v>20</v>
      </c>
      <c r="D266" s="1004"/>
      <c r="E266" s="1004"/>
      <c r="F266" s="64" t="s">
        <v>22</v>
      </c>
      <c r="G266" s="65" t="s">
        <v>111</v>
      </c>
      <c r="H266" s="65" t="s">
        <v>114</v>
      </c>
      <c r="I266" s="65" t="s">
        <v>113</v>
      </c>
      <c r="J266" s="65" t="s">
        <v>136</v>
      </c>
      <c r="K266" s="66" t="s">
        <v>25</v>
      </c>
      <c r="L266" s="67"/>
    </row>
    <row r="267" spans="2:12" hidden="1">
      <c r="B267" s="63"/>
      <c r="C267" s="1001"/>
      <c r="D267" s="1001"/>
      <c r="E267" s="1001"/>
      <c r="F267" s="68">
        <v>3</v>
      </c>
      <c r="G267" s="68"/>
      <c r="H267" s="68"/>
      <c r="I267" s="68"/>
      <c r="J267" s="68"/>
      <c r="K267" s="906">
        <f>F267</f>
        <v>3</v>
      </c>
      <c r="L267" s="67"/>
    </row>
    <row r="268" spans="2:12" hidden="1">
      <c r="B268" s="63"/>
      <c r="C268" s="1002" t="s">
        <v>116</v>
      </c>
      <c r="D268" s="1002"/>
      <c r="E268" s="1002"/>
      <c r="F268" s="1002"/>
      <c r="G268" s="1002"/>
      <c r="H268" s="1002"/>
      <c r="I268" s="1002"/>
      <c r="J268" s="1002"/>
      <c r="K268" s="66">
        <f>SUM(K267:K267)</f>
        <v>3</v>
      </c>
      <c r="L268" s="67"/>
    </row>
    <row r="269" spans="2:12" hidden="1"/>
    <row r="270" spans="2:12" ht="29.25" hidden="1" customHeight="1">
      <c r="B270" s="60" t="str">
        <f>'[6]PLANILHA ORÇAMENTÁRIA'!D84</f>
        <v>11.14</v>
      </c>
      <c r="C270" s="1003" t="str">
        <f>'[6]PLANILHA ORÇAMENTÁRIA'!E84</f>
        <v>JOELHO 90 GRAUS, PVC, SERIE NORMAL, ESGOTO PREDIAL, DN 40 MM, JUNTA SOLDÁVEL, FORNECIDO E INSTALADO EM RAMAL DE DESCARGA OU RAMAL DE ESGOTO SANITÁRIO. AF_12/2014.</v>
      </c>
      <c r="D270" s="1003"/>
      <c r="E270" s="1003"/>
      <c r="F270" s="1003"/>
      <c r="G270" s="1003"/>
      <c r="H270" s="1003"/>
      <c r="I270" s="1003"/>
      <c r="J270" s="1003"/>
      <c r="K270" s="61" t="str">
        <f>'[6]PLANILHA ORÇAMENTÁRIA'!F84</f>
        <v>UND</v>
      </c>
      <c r="L270" s="62">
        <f>K273</f>
        <v>3</v>
      </c>
    </row>
    <row r="271" spans="2:12" hidden="1">
      <c r="B271" s="63"/>
      <c r="C271" s="1004" t="s">
        <v>20</v>
      </c>
      <c r="D271" s="1004"/>
      <c r="E271" s="1004"/>
      <c r="F271" s="64" t="s">
        <v>22</v>
      </c>
      <c r="G271" s="65" t="s">
        <v>111</v>
      </c>
      <c r="H271" s="65" t="s">
        <v>114</v>
      </c>
      <c r="I271" s="65" t="s">
        <v>113</v>
      </c>
      <c r="J271" s="65" t="s">
        <v>136</v>
      </c>
      <c r="K271" s="66" t="s">
        <v>25</v>
      </c>
      <c r="L271" s="67"/>
    </row>
    <row r="272" spans="2:12" hidden="1">
      <c r="B272" s="63"/>
      <c r="C272" s="1001"/>
      <c r="D272" s="1001"/>
      <c r="E272" s="1001"/>
      <c r="F272" s="68">
        <v>3</v>
      </c>
      <c r="G272" s="68"/>
      <c r="H272" s="68"/>
      <c r="I272" s="68"/>
      <c r="J272" s="68"/>
      <c r="K272" s="906">
        <f>F272</f>
        <v>3</v>
      </c>
      <c r="L272" s="67"/>
    </row>
    <row r="273" spans="2:12" hidden="1">
      <c r="B273" s="63"/>
      <c r="C273" s="1002" t="s">
        <v>116</v>
      </c>
      <c r="D273" s="1002"/>
      <c r="E273" s="1002"/>
      <c r="F273" s="1002"/>
      <c r="G273" s="1002"/>
      <c r="H273" s="1002"/>
      <c r="I273" s="1002"/>
      <c r="J273" s="1002"/>
      <c r="K273" s="66">
        <f>SUM(K272:K272)</f>
        <v>3</v>
      </c>
      <c r="L273" s="67"/>
    </row>
    <row r="274" spans="2:12" hidden="1"/>
    <row r="275" spans="2:12" ht="25.5" hidden="1" customHeight="1">
      <c r="B275" s="60" t="str">
        <f>'[6]PLANILHA ORÇAMENTÁRIA'!D85</f>
        <v>11.15</v>
      </c>
      <c r="C275" s="1003" t="str">
        <f>'[6]PLANILHA ORÇAMENTÁRIA'!E85</f>
        <v>TUBO PVC, SERIE NORMAL, ESGOTO PREDIAL, DN 40 MM, FORNECIDO E INSTALADO EM RAMAL DE DESCARGA OU RAMAL DE ESGOTO SANITÁRIO. AF_12/2014.</v>
      </c>
      <c r="D275" s="1003"/>
      <c r="E275" s="1003"/>
      <c r="F275" s="1003"/>
      <c r="G275" s="1003"/>
      <c r="H275" s="1003"/>
      <c r="I275" s="1003"/>
      <c r="J275" s="1003"/>
      <c r="K275" s="61" t="str">
        <f>'[6]PLANILHA ORÇAMENTÁRIA'!F85</f>
        <v>M</v>
      </c>
      <c r="L275" s="62">
        <f>K278</f>
        <v>6</v>
      </c>
    </row>
    <row r="276" spans="2:12" hidden="1">
      <c r="B276" s="63"/>
      <c r="C276" s="1004" t="s">
        <v>20</v>
      </c>
      <c r="D276" s="1004"/>
      <c r="E276" s="1004"/>
      <c r="F276" s="64" t="s">
        <v>22</v>
      </c>
      <c r="G276" s="65" t="s">
        <v>111</v>
      </c>
      <c r="H276" s="65" t="s">
        <v>114</v>
      </c>
      <c r="I276" s="65" t="s">
        <v>113</v>
      </c>
      <c r="J276" s="65" t="s">
        <v>136</v>
      </c>
      <c r="K276" s="66" t="s">
        <v>25</v>
      </c>
      <c r="L276" s="67"/>
    </row>
    <row r="277" spans="2:12" hidden="1">
      <c r="B277" s="63"/>
      <c r="C277" s="1001"/>
      <c r="D277" s="1001"/>
      <c r="E277" s="1001"/>
      <c r="F277" s="68">
        <v>6</v>
      </c>
      <c r="G277" s="68"/>
      <c r="H277" s="68"/>
      <c r="I277" s="68"/>
      <c r="J277" s="68"/>
      <c r="K277" s="906">
        <f>F277</f>
        <v>6</v>
      </c>
      <c r="L277" s="67"/>
    </row>
    <row r="278" spans="2:12" hidden="1">
      <c r="B278" s="63"/>
      <c r="C278" s="1002" t="s">
        <v>116</v>
      </c>
      <c r="D278" s="1002"/>
      <c r="E278" s="1002"/>
      <c r="F278" s="1002"/>
      <c r="G278" s="1002"/>
      <c r="H278" s="1002"/>
      <c r="I278" s="1002"/>
      <c r="J278" s="1002"/>
      <c r="K278" s="66">
        <f>SUM(K277:K277)</f>
        <v>6</v>
      </c>
      <c r="L278" s="67"/>
    </row>
    <row r="279" spans="2:12" hidden="1"/>
    <row r="280" spans="2:12" ht="25.5" hidden="1" customHeight="1">
      <c r="B280" s="60" t="str">
        <f>'[6]PLANILHA ORÇAMENTÁRIA'!D86</f>
        <v>11.16</v>
      </c>
      <c r="C280" s="1003" t="str">
        <f>'[6]PLANILHA ORÇAMENTÁRIA'!E86</f>
        <v>LUVA SIMPLES, PVC, SERIE NORMAL, ESGOTO PREDIAL, DN 40 MM, JUNTA SOLDÁVEL, FORNECIDO E INSTALADO EM RAMAL DE DESCARGA OU RAMAL DE ESGOTO SANITÁRIO. AF_12/2014</v>
      </c>
      <c r="D280" s="1003"/>
      <c r="E280" s="1003"/>
      <c r="F280" s="1003"/>
      <c r="G280" s="1003"/>
      <c r="H280" s="1003"/>
      <c r="I280" s="1003"/>
      <c r="J280" s="1003"/>
      <c r="K280" s="61" t="str">
        <f>'[6]PLANILHA ORÇAMENTÁRIA'!F86</f>
        <v>UND</v>
      </c>
      <c r="L280" s="62">
        <f>K283</f>
        <v>3</v>
      </c>
    </row>
    <row r="281" spans="2:12" hidden="1">
      <c r="B281" s="63"/>
      <c r="C281" s="1004" t="s">
        <v>20</v>
      </c>
      <c r="D281" s="1004"/>
      <c r="E281" s="1004"/>
      <c r="F281" s="64" t="s">
        <v>22</v>
      </c>
      <c r="G281" s="65" t="s">
        <v>111</v>
      </c>
      <c r="H281" s="65" t="s">
        <v>114</v>
      </c>
      <c r="I281" s="65" t="s">
        <v>113</v>
      </c>
      <c r="J281" s="65" t="s">
        <v>136</v>
      </c>
      <c r="K281" s="66" t="s">
        <v>25</v>
      </c>
      <c r="L281" s="67"/>
    </row>
    <row r="282" spans="2:12" hidden="1">
      <c r="B282" s="63"/>
      <c r="C282" s="1001"/>
      <c r="D282" s="1001"/>
      <c r="E282" s="1001"/>
      <c r="F282" s="68">
        <v>3</v>
      </c>
      <c r="G282" s="68"/>
      <c r="H282" s="68"/>
      <c r="I282" s="68"/>
      <c r="J282" s="68"/>
      <c r="K282" s="906">
        <f>F282</f>
        <v>3</v>
      </c>
      <c r="L282" s="67"/>
    </row>
    <row r="283" spans="2:12" hidden="1">
      <c r="B283" s="63"/>
      <c r="C283" s="1002" t="s">
        <v>116</v>
      </c>
      <c r="D283" s="1002"/>
      <c r="E283" s="1002"/>
      <c r="F283" s="1002"/>
      <c r="G283" s="1002"/>
      <c r="H283" s="1002"/>
      <c r="I283" s="1002"/>
      <c r="J283" s="1002"/>
      <c r="K283" s="66">
        <f>SUM(K282:K282)</f>
        <v>3</v>
      </c>
      <c r="L283" s="67"/>
    </row>
    <row r="284" spans="2:12" hidden="1"/>
    <row r="285" spans="2:12" ht="27.75" hidden="1" customHeight="1">
      <c r="B285" s="60" t="str">
        <f>'[6]PLANILHA ORÇAMENTÁRIA'!D87</f>
        <v>11.17</v>
      </c>
      <c r="C285" s="1003" t="str">
        <f>'[6]PLANILHA ORÇAMENTÁRIA'!E87</f>
        <v>TUBO PVC, SERIE NORMAL, ESGOTO PREDIAL, DN 50 MM, FORNECIDO E INSTALADO EM RAMAL DE DESCARGA OU RAMAL DE ESGOTO SANITÁRIO. AF_12/2014.</v>
      </c>
      <c r="D285" s="1003"/>
      <c r="E285" s="1003"/>
      <c r="F285" s="1003"/>
      <c r="G285" s="1003"/>
      <c r="H285" s="1003"/>
      <c r="I285" s="1003"/>
      <c r="J285" s="1003"/>
      <c r="K285" s="61" t="str">
        <f>'[6]PLANILHA ORÇAMENTÁRIA'!F87</f>
        <v>M</v>
      </c>
      <c r="L285" s="62">
        <f>K288</f>
        <v>6</v>
      </c>
    </row>
    <row r="286" spans="2:12" hidden="1">
      <c r="B286" s="63"/>
      <c r="C286" s="1004" t="s">
        <v>20</v>
      </c>
      <c r="D286" s="1004"/>
      <c r="E286" s="1004"/>
      <c r="F286" s="64" t="s">
        <v>22</v>
      </c>
      <c r="G286" s="65" t="s">
        <v>111</v>
      </c>
      <c r="H286" s="65" t="s">
        <v>114</v>
      </c>
      <c r="I286" s="65" t="s">
        <v>113</v>
      </c>
      <c r="J286" s="65" t="s">
        <v>136</v>
      </c>
      <c r="K286" s="66" t="s">
        <v>25</v>
      </c>
      <c r="L286" s="67"/>
    </row>
    <row r="287" spans="2:12" hidden="1">
      <c r="B287" s="63"/>
      <c r="C287" s="1001"/>
      <c r="D287" s="1001"/>
      <c r="E287" s="1001"/>
      <c r="F287" s="68">
        <v>6</v>
      </c>
      <c r="G287" s="68"/>
      <c r="H287" s="68"/>
      <c r="I287" s="68"/>
      <c r="J287" s="68"/>
      <c r="K287" s="906">
        <f>F287</f>
        <v>6</v>
      </c>
      <c r="L287" s="67"/>
    </row>
    <row r="288" spans="2:12" hidden="1">
      <c r="B288" s="63"/>
      <c r="C288" s="1002" t="s">
        <v>116</v>
      </c>
      <c r="D288" s="1002"/>
      <c r="E288" s="1002"/>
      <c r="F288" s="1002"/>
      <c r="G288" s="1002"/>
      <c r="H288" s="1002"/>
      <c r="I288" s="1002"/>
      <c r="J288" s="1002"/>
      <c r="K288" s="66">
        <f>SUM(K287:K287)</f>
        <v>6</v>
      </c>
      <c r="L288" s="67"/>
    </row>
    <row r="289" spans="2:12" hidden="1"/>
    <row r="290" spans="2:12" ht="27" hidden="1" customHeight="1">
      <c r="B290" s="60" t="str">
        <f>'[6]PLANILHA ORÇAMENTÁRIA'!D88</f>
        <v>11.18</v>
      </c>
      <c r="C290" s="1003" t="str">
        <f>'[6]PLANILHA ORÇAMENTÁRIA'!E88</f>
        <v>JOELHO 45 GRAUS, PVC, SERIE NORMAL, ESGOTO PREDIAL, DN 100 MM, JUNTA ELÁSTICA, FORNECIDO E INSTALADO EM RAMAL DE DESCARGA OU RAMAL DE ESGOTO SANITÁRIO. AF_12/2014.</v>
      </c>
      <c r="D290" s="1003"/>
      <c r="E290" s="1003"/>
      <c r="F290" s="1003"/>
      <c r="G290" s="1003"/>
      <c r="H290" s="1003"/>
      <c r="I290" s="1003"/>
      <c r="J290" s="1003"/>
      <c r="K290" s="61" t="str">
        <f>'[6]PLANILHA ORÇAMENTÁRIA'!F88</f>
        <v>UND</v>
      </c>
      <c r="L290" s="62">
        <f>K293</f>
        <v>2</v>
      </c>
    </row>
    <row r="291" spans="2:12" hidden="1">
      <c r="B291" s="63"/>
      <c r="C291" s="1004" t="s">
        <v>20</v>
      </c>
      <c r="D291" s="1004"/>
      <c r="E291" s="1004"/>
      <c r="F291" s="64" t="s">
        <v>22</v>
      </c>
      <c r="G291" s="65" t="s">
        <v>111</v>
      </c>
      <c r="H291" s="65" t="s">
        <v>114</v>
      </c>
      <c r="I291" s="65" t="s">
        <v>113</v>
      </c>
      <c r="J291" s="65" t="s">
        <v>136</v>
      </c>
      <c r="K291" s="66" t="s">
        <v>25</v>
      </c>
      <c r="L291" s="67"/>
    </row>
    <row r="292" spans="2:12" hidden="1">
      <c r="B292" s="63"/>
      <c r="C292" s="1001"/>
      <c r="D292" s="1001"/>
      <c r="E292" s="1001"/>
      <c r="F292" s="68">
        <v>2</v>
      </c>
      <c r="G292" s="68"/>
      <c r="H292" s="68"/>
      <c r="I292" s="68"/>
      <c r="J292" s="68"/>
      <c r="K292" s="906">
        <f>F292</f>
        <v>2</v>
      </c>
      <c r="L292" s="67"/>
    </row>
    <row r="293" spans="2:12" hidden="1">
      <c r="B293" s="63"/>
      <c r="C293" s="1002" t="s">
        <v>116</v>
      </c>
      <c r="D293" s="1002"/>
      <c r="E293" s="1002"/>
      <c r="F293" s="1002"/>
      <c r="G293" s="1002"/>
      <c r="H293" s="1002"/>
      <c r="I293" s="1002"/>
      <c r="J293" s="1002"/>
      <c r="K293" s="66">
        <f>SUM(K292:K292)</f>
        <v>2</v>
      </c>
      <c r="L293" s="67"/>
    </row>
    <row r="294" spans="2:12" hidden="1"/>
    <row r="295" spans="2:12" ht="25.5" hidden="1" customHeight="1">
      <c r="B295" s="60" t="str">
        <f>'[6]PLANILHA ORÇAMENTÁRIA'!D89</f>
        <v>11.19</v>
      </c>
      <c r="C295" s="1003" t="str">
        <f>'[6]PLANILHA ORÇAMENTÁRIA'!E89</f>
        <v>JOELHO 90 GRAUS, PVC, SERIE NORMAL, ESGOTO PREDIAL, DN 100 MM, JUNTA ELÁSTICA, FORNECIDO E INSTALADO EM RAMAL DE DESCARGA OU RAMAL DE ESGOTO SANITÁRIO. AF_12/2014.</v>
      </c>
      <c r="D295" s="1003"/>
      <c r="E295" s="1003"/>
      <c r="F295" s="1003"/>
      <c r="G295" s="1003"/>
      <c r="H295" s="1003"/>
      <c r="I295" s="1003"/>
      <c r="J295" s="1003"/>
      <c r="K295" s="61" t="str">
        <f>'[6]PLANILHA ORÇAMENTÁRIA'!F89</f>
        <v>UND</v>
      </c>
      <c r="L295" s="62">
        <f>K298</f>
        <v>2</v>
      </c>
    </row>
    <row r="296" spans="2:12" hidden="1">
      <c r="B296" s="63"/>
      <c r="C296" s="1004" t="s">
        <v>20</v>
      </c>
      <c r="D296" s="1004"/>
      <c r="E296" s="1004"/>
      <c r="F296" s="64" t="s">
        <v>22</v>
      </c>
      <c r="G296" s="65" t="s">
        <v>111</v>
      </c>
      <c r="H296" s="65" t="s">
        <v>114</v>
      </c>
      <c r="I296" s="65" t="s">
        <v>113</v>
      </c>
      <c r="J296" s="65" t="s">
        <v>136</v>
      </c>
      <c r="K296" s="66" t="s">
        <v>25</v>
      </c>
      <c r="L296" s="67"/>
    </row>
    <row r="297" spans="2:12" hidden="1">
      <c r="B297" s="63"/>
      <c r="C297" s="1001"/>
      <c r="D297" s="1001"/>
      <c r="E297" s="1001"/>
      <c r="F297" s="68">
        <v>2</v>
      </c>
      <c r="G297" s="68"/>
      <c r="H297" s="68"/>
      <c r="I297" s="68"/>
      <c r="J297" s="68"/>
      <c r="K297" s="906">
        <f>F297</f>
        <v>2</v>
      </c>
      <c r="L297" s="67"/>
    </row>
    <row r="298" spans="2:12" hidden="1">
      <c r="B298" s="63"/>
      <c r="C298" s="1002" t="s">
        <v>116</v>
      </c>
      <c r="D298" s="1002"/>
      <c r="E298" s="1002"/>
      <c r="F298" s="1002"/>
      <c r="G298" s="1002"/>
      <c r="H298" s="1002"/>
      <c r="I298" s="1002"/>
      <c r="J298" s="1002"/>
      <c r="K298" s="66">
        <f>SUM(K297:K297)</f>
        <v>2</v>
      </c>
      <c r="L298" s="67"/>
    </row>
    <row r="299" spans="2:12" hidden="1"/>
    <row r="300" spans="2:12" ht="25.5" hidden="1" customHeight="1">
      <c r="B300" s="60" t="str">
        <f>'[6]PLANILHA ORÇAMENTÁRIA'!D90</f>
        <v>11.20</v>
      </c>
      <c r="C300" s="1003" t="str">
        <f>'[6]PLANILHA ORÇAMENTÁRIA'!E90</f>
        <v>TUBO PVC, SERIE NORMAL, ESGOTO PREDIAL, DN 100 MM, FORNECIDO E INSTALADO EM RAMAL DE DESCARGA OU RAMAL DE ESGOTO SANITÁRIO. AF_12/2014</v>
      </c>
      <c r="D300" s="1003"/>
      <c r="E300" s="1003"/>
      <c r="F300" s="1003"/>
      <c r="G300" s="1003"/>
      <c r="H300" s="1003"/>
      <c r="I300" s="1003"/>
      <c r="J300" s="1003"/>
      <c r="K300" s="61" t="str">
        <f>'[6]PLANILHA ORÇAMENTÁRIA'!F90</f>
        <v>M</v>
      </c>
      <c r="L300" s="62">
        <f>K303</f>
        <v>12</v>
      </c>
    </row>
    <row r="301" spans="2:12" hidden="1">
      <c r="B301" s="63"/>
      <c r="C301" s="1004" t="s">
        <v>20</v>
      </c>
      <c r="D301" s="1004"/>
      <c r="E301" s="1004"/>
      <c r="F301" s="64" t="s">
        <v>22</v>
      </c>
      <c r="G301" s="65" t="s">
        <v>111</v>
      </c>
      <c r="H301" s="65" t="s">
        <v>114</v>
      </c>
      <c r="I301" s="65" t="s">
        <v>113</v>
      </c>
      <c r="J301" s="65" t="s">
        <v>136</v>
      </c>
      <c r="K301" s="66" t="s">
        <v>25</v>
      </c>
      <c r="L301" s="67"/>
    </row>
    <row r="302" spans="2:12" hidden="1">
      <c r="B302" s="63"/>
      <c r="C302" s="1001"/>
      <c r="D302" s="1001"/>
      <c r="E302" s="1001"/>
      <c r="F302" s="68">
        <v>12</v>
      </c>
      <c r="G302" s="68"/>
      <c r="H302" s="68"/>
      <c r="I302" s="68"/>
      <c r="J302" s="68"/>
      <c r="K302" s="906">
        <f>F302</f>
        <v>12</v>
      </c>
      <c r="L302" s="67"/>
    </row>
    <row r="303" spans="2:12" hidden="1">
      <c r="B303" s="63"/>
      <c r="C303" s="1002" t="s">
        <v>116</v>
      </c>
      <c r="D303" s="1002"/>
      <c r="E303" s="1002"/>
      <c r="F303" s="1002"/>
      <c r="G303" s="1002"/>
      <c r="H303" s="1002"/>
      <c r="I303" s="1002"/>
      <c r="J303" s="1002"/>
      <c r="K303" s="66">
        <f>SUM(K302:K302)</f>
        <v>12</v>
      </c>
      <c r="L303" s="67"/>
    </row>
    <row r="304" spans="2:12" hidden="1"/>
    <row r="305" spans="2:12" ht="24" hidden="1" customHeight="1">
      <c r="B305" s="60" t="str">
        <f>'[6]PLANILHA ORÇAMENTÁRIA'!D91</f>
        <v>11.21</v>
      </c>
      <c r="C305" s="1003" t="str">
        <f>'[6]PLANILHA ORÇAMENTÁRIA'!E91</f>
        <v>LUVA SIMPLES, PVC, SERIE NORMAL, ESGOTO PREDIAL, DN 100 MM, JUNTA ELÁSTICA, FORNECIDO E INSTALADO EM RAMAL DE DESCARGA OU RAMAL DE ESGOTO SANITÁRIO. AF_12/2014</v>
      </c>
      <c r="D305" s="1003"/>
      <c r="E305" s="1003"/>
      <c r="F305" s="1003"/>
      <c r="G305" s="1003"/>
      <c r="H305" s="1003"/>
      <c r="I305" s="1003"/>
      <c r="J305" s="1003"/>
      <c r="K305" s="61" t="str">
        <f>'[6]PLANILHA ORÇAMENTÁRIA'!F91</f>
        <v>UND</v>
      </c>
      <c r="L305" s="62">
        <f>K308</f>
        <v>2</v>
      </c>
    </row>
    <row r="306" spans="2:12" hidden="1">
      <c r="B306" s="63"/>
      <c r="C306" s="1004" t="s">
        <v>20</v>
      </c>
      <c r="D306" s="1004"/>
      <c r="E306" s="1004"/>
      <c r="F306" s="64" t="s">
        <v>22</v>
      </c>
      <c r="G306" s="65" t="s">
        <v>111</v>
      </c>
      <c r="H306" s="65" t="s">
        <v>114</v>
      </c>
      <c r="I306" s="65" t="s">
        <v>113</v>
      </c>
      <c r="J306" s="65" t="s">
        <v>136</v>
      </c>
      <c r="K306" s="66" t="s">
        <v>25</v>
      </c>
      <c r="L306" s="67"/>
    </row>
    <row r="307" spans="2:12" hidden="1">
      <c r="B307" s="63"/>
      <c r="C307" s="1001"/>
      <c r="D307" s="1001"/>
      <c r="E307" s="1001"/>
      <c r="F307" s="68">
        <v>2</v>
      </c>
      <c r="G307" s="68"/>
      <c r="H307" s="68"/>
      <c r="I307" s="68"/>
      <c r="J307" s="68"/>
      <c r="K307" s="906">
        <f>F307</f>
        <v>2</v>
      </c>
      <c r="L307" s="67"/>
    </row>
    <row r="308" spans="2:12" hidden="1">
      <c r="B308" s="63"/>
      <c r="C308" s="1002" t="s">
        <v>116</v>
      </c>
      <c r="D308" s="1002"/>
      <c r="E308" s="1002"/>
      <c r="F308" s="1002"/>
      <c r="G308" s="1002"/>
      <c r="H308" s="1002"/>
      <c r="I308" s="1002"/>
      <c r="J308" s="1002"/>
      <c r="K308" s="66">
        <f>SUM(K307:K307)</f>
        <v>2</v>
      </c>
      <c r="L308" s="67"/>
    </row>
    <row r="309" spans="2:12" hidden="1"/>
    <row r="310" spans="2:12" ht="46.5" hidden="1" customHeight="1">
      <c r="B310" s="60" t="str">
        <f>'[6]PLANILHA ORÇAMENTÁRIA'!D92</f>
        <v>11.22</v>
      </c>
      <c r="C310" s="1003" t="str">
        <f>'[6]PLANILHA ORÇAMENTÁRIA'!E92</f>
        <v>COLETOR PREDIAL DE ESGOTO, DA CAIXA ATÉ A REDE (DISTÂNCIA = 8 M, LARGURA DA VALA = 0,65 M), INCLUINDO ESCAVAÇÃO MECANIZADA, PREPARO DE FUNDO DE VALA E REATERRO COM COMPACTAÇÃO MECANIZADA, TUBO PVC P/ REDE COLETORA ESGOTO JEI DN 100 MM E CONEXÕES - FORNECIMENTO E INSTALAÇÃO. AF_03/2016</v>
      </c>
      <c r="D310" s="1003"/>
      <c r="E310" s="1003"/>
      <c r="F310" s="1003"/>
      <c r="G310" s="1003"/>
      <c r="H310" s="1003"/>
      <c r="I310" s="1003"/>
      <c r="J310" s="1003"/>
      <c r="K310" s="61" t="str">
        <f>'[6]PLANILHA ORÇAMENTÁRIA'!F92</f>
        <v>UND</v>
      </c>
      <c r="L310" s="62">
        <f>K313</f>
        <v>1</v>
      </c>
    </row>
    <row r="311" spans="2:12" hidden="1">
      <c r="B311" s="63"/>
      <c r="C311" s="1004" t="s">
        <v>20</v>
      </c>
      <c r="D311" s="1004"/>
      <c r="E311" s="1004"/>
      <c r="F311" s="64" t="s">
        <v>22</v>
      </c>
      <c r="G311" s="65" t="s">
        <v>111</v>
      </c>
      <c r="H311" s="65" t="s">
        <v>114</v>
      </c>
      <c r="I311" s="65" t="s">
        <v>113</v>
      </c>
      <c r="J311" s="65" t="s">
        <v>136</v>
      </c>
      <c r="K311" s="66" t="s">
        <v>25</v>
      </c>
      <c r="L311" s="67"/>
    </row>
    <row r="312" spans="2:12" hidden="1">
      <c r="B312" s="63"/>
      <c r="C312" s="1001"/>
      <c r="D312" s="1001"/>
      <c r="E312" s="1001"/>
      <c r="F312" s="68">
        <v>1</v>
      </c>
      <c r="G312" s="68"/>
      <c r="H312" s="68"/>
      <c r="I312" s="68"/>
      <c r="J312" s="68"/>
      <c r="K312" s="906">
        <f>F312</f>
        <v>1</v>
      </c>
      <c r="L312" s="67"/>
    </row>
    <row r="313" spans="2:12" hidden="1">
      <c r="B313" s="63"/>
      <c r="C313" s="1002" t="s">
        <v>116</v>
      </c>
      <c r="D313" s="1002"/>
      <c r="E313" s="1002"/>
      <c r="F313" s="1002"/>
      <c r="G313" s="1002"/>
      <c r="H313" s="1002"/>
      <c r="I313" s="1002"/>
      <c r="J313" s="1002"/>
      <c r="K313" s="66">
        <f>SUM(K312:K312)</f>
        <v>1</v>
      </c>
      <c r="L313" s="67"/>
    </row>
    <row r="314" spans="2:12" hidden="1"/>
    <row r="315" spans="2:12" hidden="1">
      <c r="B315" s="58" t="str">
        <f>'[6]PLANILHA ORÇAMENTÁRIA'!D93</f>
        <v>12.0</v>
      </c>
      <c r="C315" s="1000" t="str">
        <f>'[6]PLANILHA ORÇAMENTÁRIA'!E93</f>
        <v>INSTALAÇÕES ELÉTRICAS</v>
      </c>
      <c r="D315" s="1000"/>
      <c r="E315" s="1000"/>
      <c r="F315" s="1000"/>
      <c r="G315" s="1000"/>
      <c r="H315" s="1000"/>
      <c r="I315" s="1000"/>
      <c r="J315" s="1000"/>
      <c r="K315" s="59"/>
      <c r="L315" s="59"/>
    </row>
    <row r="316" spans="2:12" ht="27.75" hidden="1" customHeight="1">
      <c r="B316" s="60" t="str">
        <f>'[6]PLANILHA ORÇAMENTÁRIA'!D94</f>
        <v>12.1</v>
      </c>
      <c r="C316" s="1003" t="str">
        <f>'[6]PLANILHA ORÇAMENTÁRIA'!E94</f>
        <v>PONTO DE ILUMINAÇÃO RESIDENCIAL INCLUINDO INTERRUPTOR SIMPLES, CAIXA ELÉTRICA, ELETRODUTO, CABO, RASGO, QUEBRA E CHUMBAMENTO (EXCLUINDO LUMINÁRIA E LÂMPADA). AF_01/2016</v>
      </c>
      <c r="D316" s="1003"/>
      <c r="E316" s="1003"/>
      <c r="F316" s="1003"/>
      <c r="G316" s="1003"/>
      <c r="H316" s="1003"/>
      <c r="I316" s="1003"/>
      <c r="J316" s="1003"/>
      <c r="K316" s="61" t="str">
        <f>'[6]PLANILHA ORÇAMENTÁRIA'!F94</f>
        <v>UND</v>
      </c>
      <c r="L316" s="62">
        <f>K319</f>
        <v>7</v>
      </c>
    </row>
    <row r="317" spans="2:12" hidden="1">
      <c r="B317" s="63"/>
      <c r="C317" s="1004" t="s">
        <v>20</v>
      </c>
      <c r="D317" s="1004"/>
      <c r="E317" s="1004"/>
      <c r="F317" s="64" t="s">
        <v>22</v>
      </c>
      <c r="G317" s="65" t="s">
        <v>111</v>
      </c>
      <c r="H317" s="65" t="s">
        <v>114</v>
      </c>
      <c r="I317" s="65" t="s">
        <v>113</v>
      </c>
      <c r="J317" s="65" t="s">
        <v>136</v>
      </c>
      <c r="K317" s="66" t="s">
        <v>25</v>
      </c>
      <c r="L317" s="67"/>
    </row>
    <row r="318" spans="2:12" hidden="1">
      <c r="B318" s="63"/>
      <c r="C318" s="1001"/>
      <c r="D318" s="1001"/>
      <c r="E318" s="1001"/>
      <c r="F318" s="68">
        <f>'[6]PLANILHA ORÇAMENTÁRIA'!G94</f>
        <v>7</v>
      </c>
      <c r="G318" s="68"/>
      <c r="H318" s="68"/>
      <c r="I318" s="68"/>
      <c r="J318" s="68"/>
      <c r="K318" s="906">
        <f>F318</f>
        <v>7</v>
      </c>
      <c r="L318" s="67"/>
    </row>
    <row r="319" spans="2:12" hidden="1">
      <c r="B319" s="63"/>
      <c r="C319" s="1002" t="s">
        <v>116</v>
      </c>
      <c r="D319" s="1002"/>
      <c r="E319" s="1002"/>
      <c r="F319" s="1002"/>
      <c r="G319" s="1002"/>
      <c r="H319" s="1002"/>
      <c r="I319" s="1002"/>
      <c r="J319" s="1002"/>
      <c r="K319" s="66">
        <f>SUM(K318:K318)</f>
        <v>7</v>
      </c>
      <c r="L319" s="67"/>
    </row>
    <row r="320" spans="2:12" hidden="1">
      <c r="B320" s="74"/>
      <c r="C320" s="74"/>
      <c r="D320" s="74"/>
      <c r="E320" s="74"/>
      <c r="F320" s="74"/>
      <c r="G320" s="74"/>
      <c r="H320" s="74"/>
      <c r="I320" s="74"/>
      <c r="J320" s="74"/>
      <c r="K320" s="914"/>
      <c r="L320" s="74"/>
    </row>
    <row r="321" spans="2:12" ht="29.25" hidden="1" customHeight="1">
      <c r="B321" s="60" t="str">
        <f>'[6]PLANILHA ORÇAMENTÁRIA'!D95</f>
        <v>12.2</v>
      </c>
      <c r="C321" s="1003" t="str">
        <f>'[6]PLANILHA ORÇAMENTÁRIA'!E95</f>
        <v>PONTO DE TOMADA RESIDENCIAL INCLUINDO TOMADA (2 MÓDULOS) 10A/250V, CAIXA ELÉTRICA, ELETRODUTO, CABO, RASGO, QUEBRA E CHUMBAMENTO. AF_01/2016</v>
      </c>
      <c r="D321" s="1003"/>
      <c r="E321" s="1003"/>
      <c r="F321" s="1003"/>
      <c r="G321" s="1003"/>
      <c r="H321" s="1003"/>
      <c r="I321" s="1003"/>
      <c r="J321" s="1003"/>
      <c r="K321" s="61" t="str">
        <f>'[6]PLANILHA ORÇAMENTÁRIA'!F95</f>
        <v>UND</v>
      </c>
      <c r="L321" s="62">
        <f>K324</f>
        <v>3</v>
      </c>
    </row>
    <row r="322" spans="2:12" hidden="1">
      <c r="B322" s="63"/>
      <c r="C322" s="1004" t="s">
        <v>20</v>
      </c>
      <c r="D322" s="1004"/>
      <c r="E322" s="1004"/>
      <c r="F322" s="64" t="s">
        <v>22</v>
      </c>
      <c r="G322" s="65" t="s">
        <v>111</v>
      </c>
      <c r="H322" s="65" t="s">
        <v>114</v>
      </c>
      <c r="I322" s="65" t="s">
        <v>113</v>
      </c>
      <c r="J322" s="65" t="s">
        <v>136</v>
      </c>
      <c r="K322" s="66" t="s">
        <v>25</v>
      </c>
      <c r="L322" s="67"/>
    </row>
    <row r="323" spans="2:12" hidden="1">
      <c r="B323" s="63"/>
      <c r="C323" s="1001"/>
      <c r="D323" s="1001"/>
      <c r="E323" s="1001"/>
      <c r="F323" s="68">
        <f>'[6]PLANILHA ORÇAMENTÁRIA'!G95</f>
        <v>3</v>
      </c>
      <c r="G323" s="68"/>
      <c r="H323" s="68"/>
      <c r="I323" s="68"/>
      <c r="J323" s="68"/>
      <c r="K323" s="906">
        <f>F323</f>
        <v>3</v>
      </c>
      <c r="L323" s="67"/>
    </row>
    <row r="324" spans="2:12" hidden="1">
      <c r="B324" s="63"/>
      <c r="C324" s="1002" t="s">
        <v>116</v>
      </c>
      <c r="D324" s="1002"/>
      <c r="E324" s="1002"/>
      <c r="F324" s="1002"/>
      <c r="G324" s="1002"/>
      <c r="H324" s="1002"/>
      <c r="I324" s="1002"/>
      <c r="J324" s="1002"/>
      <c r="K324" s="66">
        <f>SUM(K323:K323)</f>
        <v>3</v>
      </c>
      <c r="L324" s="67"/>
    </row>
    <row r="325" spans="2:12" hidden="1">
      <c r="B325" s="74"/>
      <c r="C325" s="74"/>
      <c r="D325" s="74"/>
      <c r="E325" s="74"/>
      <c r="F325" s="74"/>
      <c r="G325" s="74"/>
      <c r="H325" s="74"/>
      <c r="I325" s="74"/>
      <c r="J325" s="74"/>
      <c r="K325" s="914"/>
      <c r="L325" s="74"/>
    </row>
    <row r="326" spans="2:12" ht="27.75" hidden="1" customHeight="1">
      <c r="B326" s="60" t="str">
        <f>'[6]PLANILHA ORÇAMENTÁRIA'!D96</f>
        <v>12.3</v>
      </c>
      <c r="C326" s="1003" t="str">
        <f>'[6]PLANILHA ORÇAMENTÁRIA'!E96</f>
        <v>POSTE DE ACO CONICO CONTINUO CURVO DUPLO, FLANGEADO, COM JANELA DE INSPECAO H=9M - FORNECIMENTO E INSTALACAO</v>
      </c>
      <c r="D326" s="1003"/>
      <c r="E326" s="1003"/>
      <c r="F326" s="1003"/>
      <c r="G326" s="1003"/>
      <c r="H326" s="1003"/>
      <c r="I326" s="1003"/>
      <c r="J326" s="1003"/>
      <c r="K326" s="61" t="str">
        <f>'[6]PLANILHA ORÇAMENTÁRIA'!F96</f>
        <v>UND</v>
      </c>
      <c r="L326" s="62">
        <f>K329</f>
        <v>4</v>
      </c>
    </row>
    <row r="327" spans="2:12" hidden="1">
      <c r="B327" s="63"/>
      <c r="C327" s="1004" t="s">
        <v>20</v>
      </c>
      <c r="D327" s="1004"/>
      <c r="E327" s="1004"/>
      <c r="F327" s="64" t="s">
        <v>22</v>
      </c>
      <c r="G327" s="65" t="s">
        <v>111</v>
      </c>
      <c r="H327" s="65" t="s">
        <v>114</v>
      </c>
      <c r="I327" s="65" t="s">
        <v>113</v>
      </c>
      <c r="J327" s="65" t="s">
        <v>136</v>
      </c>
      <c r="K327" s="66" t="s">
        <v>25</v>
      </c>
      <c r="L327" s="67"/>
    </row>
    <row r="328" spans="2:12" hidden="1">
      <c r="B328" s="63"/>
      <c r="C328" s="1001"/>
      <c r="D328" s="1001"/>
      <c r="E328" s="1001"/>
      <c r="F328" s="68">
        <f>'[6]PLANILHA ORÇAMENTÁRIA'!G96</f>
        <v>4</v>
      </c>
      <c r="G328" s="68"/>
      <c r="H328" s="68"/>
      <c r="I328" s="68"/>
      <c r="J328" s="68"/>
      <c r="K328" s="906">
        <f>F328</f>
        <v>4</v>
      </c>
      <c r="L328" s="67"/>
    </row>
    <row r="329" spans="2:12" hidden="1">
      <c r="B329" s="63"/>
      <c r="C329" s="1002" t="s">
        <v>116</v>
      </c>
      <c r="D329" s="1002"/>
      <c r="E329" s="1002"/>
      <c r="F329" s="1002"/>
      <c r="G329" s="1002"/>
      <c r="H329" s="1002"/>
      <c r="I329" s="1002"/>
      <c r="J329" s="1002"/>
      <c r="K329" s="66">
        <f>SUM(K328:K328)</f>
        <v>4</v>
      </c>
      <c r="L329" s="67"/>
    </row>
    <row r="330" spans="2:12" hidden="1">
      <c r="B330" s="74"/>
      <c r="C330" s="74"/>
      <c r="D330" s="74"/>
      <c r="E330" s="74"/>
      <c r="F330" s="74"/>
      <c r="G330" s="74"/>
      <c r="H330" s="74"/>
      <c r="I330" s="74"/>
      <c r="J330" s="74"/>
      <c r="K330" s="914"/>
      <c r="L330" s="74"/>
    </row>
    <row r="331" spans="2:12" ht="42.75" hidden="1" customHeight="1">
      <c r="B331" s="60" t="str">
        <f>'[6]PLANILHA ORÇAMENTÁRIA'!D97</f>
        <v>12.4</v>
      </c>
      <c r="C331" s="1003" t="str">
        <f>'[6]PLANILHA ORÇAMENTÁRIA'!E97</f>
        <v>QUADRO DE DISTRIBUICAO DE ENERGIA DE EMBUTIR, EM CHAPA METALICA, PARA 18 DISJUNTORES TERMOMAGNETICOS MONOPOLARES, COM BARRAMENTO TRIFASICO E NEUTRO, FORNECIMENTO E INSTALACAO</v>
      </c>
      <c r="D331" s="1003"/>
      <c r="E331" s="1003"/>
      <c r="F331" s="1003"/>
      <c r="G331" s="1003"/>
      <c r="H331" s="1003"/>
      <c r="I331" s="1003"/>
      <c r="J331" s="1003"/>
      <c r="K331" s="61" t="str">
        <f>'[6]PLANILHA ORÇAMENTÁRIA'!F97</f>
        <v>UND</v>
      </c>
      <c r="L331" s="62">
        <f>K334</f>
        <v>1</v>
      </c>
    </row>
    <row r="332" spans="2:12" hidden="1">
      <c r="B332" s="63"/>
      <c r="C332" s="1004" t="s">
        <v>20</v>
      </c>
      <c r="D332" s="1004"/>
      <c r="E332" s="1004"/>
      <c r="F332" s="64" t="s">
        <v>22</v>
      </c>
      <c r="G332" s="65" t="s">
        <v>111</v>
      </c>
      <c r="H332" s="65" t="s">
        <v>114</v>
      </c>
      <c r="I332" s="65" t="s">
        <v>113</v>
      </c>
      <c r="J332" s="65" t="s">
        <v>136</v>
      </c>
      <c r="K332" s="66" t="s">
        <v>25</v>
      </c>
      <c r="L332" s="67"/>
    </row>
    <row r="333" spans="2:12" hidden="1">
      <c r="B333" s="63"/>
      <c r="C333" s="1001"/>
      <c r="D333" s="1001"/>
      <c r="E333" s="1001"/>
      <c r="F333" s="68">
        <f>'[6]PLANILHA ORÇAMENTÁRIA'!G97</f>
        <v>1</v>
      </c>
      <c r="G333" s="68"/>
      <c r="H333" s="68"/>
      <c r="I333" s="68"/>
      <c r="J333" s="68"/>
      <c r="K333" s="906">
        <f>F333</f>
        <v>1</v>
      </c>
      <c r="L333" s="67"/>
    </row>
    <row r="334" spans="2:12" hidden="1">
      <c r="B334" s="63"/>
      <c r="C334" s="1002" t="s">
        <v>116</v>
      </c>
      <c r="D334" s="1002"/>
      <c r="E334" s="1002"/>
      <c r="F334" s="1002"/>
      <c r="G334" s="1002"/>
      <c r="H334" s="1002"/>
      <c r="I334" s="1002"/>
      <c r="J334" s="1002"/>
      <c r="K334" s="66">
        <f>SUM(K333:K333)</f>
        <v>1</v>
      </c>
      <c r="L334" s="67"/>
    </row>
    <row r="335" spans="2:12" hidden="1">
      <c r="B335" s="74"/>
      <c r="C335" s="74"/>
      <c r="D335" s="74"/>
      <c r="E335" s="74"/>
      <c r="F335" s="74"/>
      <c r="G335" s="74"/>
      <c r="H335" s="74"/>
      <c r="I335" s="74"/>
      <c r="J335" s="74"/>
      <c r="K335" s="914"/>
      <c r="L335" s="74"/>
    </row>
    <row r="336" spans="2:12" ht="28.5" hidden="1" customHeight="1">
      <c r="B336" s="60" t="str">
        <f>'[6]PLANILHA ORÇAMENTÁRIA'!D98</f>
        <v>12.5</v>
      </c>
      <c r="C336" s="1003" t="str">
        <f>'[6]PLANILHA ORÇAMENTÁRIA'!E98</f>
        <v>DISJUNTOR TERMOMAGNETICO MONOPOLAR PADRAO NEMA (AMERICANO) 10 A 30A 240V, FORNECIMENTO E INSTALACAO</v>
      </c>
      <c r="D336" s="1003"/>
      <c r="E336" s="1003"/>
      <c r="F336" s="1003"/>
      <c r="G336" s="1003"/>
      <c r="H336" s="1003"/>
      <c r="I336" s="1003"/>
      <c r="J336" s="1003"/>
      <c r="K336" s="61" t="str">
        <f>'[6]PLANILHA ORÇAMENTÁRIA'!F98</f>
        <v>UND</v>
      </c>
      <c r="L336" s="62">
        <f>K339</f>
        <v>3</v>
      </c>
    </row>
    <row r="337" spans="2:12" hidden="1">
      <c r="B337" s="63"/>
      <c r="C337" s="1004" t="s">
        <v>20</v>
      </c>
      <c r="D337" s="1004"/>
      <c r="E337" s="1004"/>
      <c r="F337" s="64" t="s">
        <v>22</v>
      </c>
      <c r="G337" s="65" t="s">
        <v>111</v>
      </c>
      <c r="H337" s="65" t="s">
        <v>114</v>
      </c>
      <c r="I337" s="65" t="s">
        <v>113</v>
      </c>
      <c r="J337" s="65" t="s">
        <v>136</v>
      </c>
      <c r="K337" s="66" t="s">
        <v>25</v>
      </c>
      <c r="L337" s="67"/>
    </row>
    <row r="338" spans="2:12" hidden="1">
      <c r="B338" s="63"/>
      <c r="C338" s="1001"/>
      <c r="D338" s="1001"/>
      <c r="E338" s="1001"/>
      <c r="F338" s="68">
        <f>'[6]PLANILHA ORÇAMENTÁRIA'!G98</f>
        <v>3</v>
      </c>
      <c r="G338" s="68"/>
      <c r="H338" s="68"/>
      <c r="I338" s="68"/>
      <c r="J338" s="68"/>
      <c r="K338" s="906">
        <f>F338</f>
        <v>3</v>
      </c>
      <c r="L338" s="67"/>
    </row>
    <row r="339" spans="2:12" hidden="1">
      <c r="B339" s="63"/>
      <c r="C339" s="1002" t="s">
        <v>116</v>
      </c>
      <c r="D339" s="1002"/>
      <c r="E339" s="1002"/>
      <c r="F339" s="1002"/>
      <c r="G339" s="1002"/>
      <c r="H339" s="1002"/>
      <c r="I339" s="1002"/>
      <c r="J339" s="1002"/>
      <c r="K339" s="66">
        <f>SUM(K338:K338)</f>
        <v>3</v>
      </c>
      <c r="L339" s="67"/>
    </row>
    <row r="340" spans="2:12" hidden="1">
      <c r="B340" s="63"/>
      <c r="C340" s="71"/>
      <c r="D340" s="71"/>
      <c r="E340" s="71"/>
      <c r="F340" s="71"/>
      <c r="G340" s="71"/>
      <c r="H340" s="71"/>
      <c r="I340" s="71"/>
      <c r="J340" s="71"/>
      <c r="K340" s="73"/>
      <c r="L340" s="67"/>
    </row>
    <row r="341" spans="2:12" ht="15" hidden="1" customHeight="1">
      <c r="B341" s="60" t="str">
        <f>'[6]PLANILHA ORÇAMENTÁRIA'!D99</f>
        <v>12.6</v>
      </c>
      <c r="C341" s="1003" t="str">
        <f>'[6]PLANILHA ORÇAMENTÁRIA'!E99</f>
        <v>DISJUNTOR TERMOMAGNETICO BIPOLAR PADRAO NEMA (AMERICANO) 10 A 50A 240V, FORNECIMENTO E INSTALACAO</v>
      </c>
      <c r="D341" s="1003"/>
      <c r="E341" s="1003"/>
      <c r="F341" s="1003"/>
      <c r="G341" s="1003"/>
      <c r="H341" s="1003"/>
      <c r="I341" s="1003"/>
      <c r="J341" s="1003"/>
      <c r="K341" s="61" t="str">
        <f>'[6]PLANILHA ORÇAMENTÁRIA'!F99</f>
        <v>UND</v>
      </c>
      <c r="L341" s="62">
        <f>K344</f>
        <v>1</v>
      </c>
    </row>
    <row r="342" spans="2:12" hidden="1">
      <c r="B342" s="63"/>
      <c r="C342" s="1004" t="s">
        <v>20</v>
      </c>
      <c r="D342" s="1004"/>
      <c r="E342" s="1004"/>
      <c r="F342" s="64" t="s">
        <v>22</v>
      </c>
      <c r="G342" s="65" t="s">
        <v>111</v>
      </c>
      <c r="H342" s="65" t="s">
        <v>114</v>
      </c>
      <c r="I342" s="65" t="s">
        <v>113</v>
      </c>
      <c r="J342" s="65" t="s">
        <v>136</v>
      </c>
      <c r="K342" s="66" t="s">
        <v>25</v>
      </c>
      <c r="L342" s="67"/>
    </row>
    <row r="343" spans="2:12" hidden="1">
      <c r="B343" s="63"/>
      <c r="C343" s="1001"/>
      <c r="D343" s="1001"/>
      <c r="E343" s="1001"/>
      <c r="F343" s="68">
        <f>'[6]PLANILHA ORÇAMENTÁRIA'!G99</f>
        <v>1</v>
      </c>
      <c r="G343" s="68"/>
      <c r="H343" s="68"/>
      <c r="I343" s="68"/>
      <c r="J343" s="68"/>
      <c r="K343" s="906">
        <f>F343</f>
        <v>1</v>
      </c>
      <c r="L343" s="67"/>
    </row>
    <row r="344" spans="2:12" hidden="1">
      <c r="B344" s="63"/>
      <c r="C344" s="1002" t="s">
        <v>116</v>
      </c>
      <c r="D344" s="1002"/>
      <c r="E344" s="1002"/>
      <c r="F344" s="1002"/>
      <c r="G344" s="1002"/>
      <c r="H344" s="1002"/>
      <c r="I344" s="1002"/>
      <c r="J344" s="1002"/>
      <c r="K344" s="66">
        <f>SUM(K343:K343)</f>
        <v>1</v>
      </c>
      <c r="L344" s="67"/>
    </row>
    <row r="345" spans="2:12" hidden="1">
      <c r="B345" s="63"/>
      <c r="C345" s="71"/>
      <c r="D345" s="71"/>
      <c r="E345" s="71"/>
      <c r="F345" s="71"/>
      <c r="G345" s="71"/>
      <c r="H345" s="71"/>
      <c r="I345" s="71"/>
      <c r="J345" s="71"/>
      <c r="K345" s="73"/>
      <c r="L345" s="67"/>
    </row>
    <row r="346" spans="2:12" ht="30.75" hidden="1" customHeight="1">
      <c r="B346" s="60" t="str">
        <f>'[6]PLANILHA ORÇAMENTÁRIA'!D100</f>
        <v>12.7</v>
      </c>
      <c r="C346" s="1003" t="str">
        <f>'[6]PLANILHA ORÇAMENTÁRIA'!E100</f>
        <v>DISJUNTOR TERMOMAGNETICO TRIPOLAR PADRAO NEMA (AMERICANO) 10 A 50A 240V, FORNECIMENTO E INSTALACAO</v>
      </c>
      <c r="D346" s="1003"/>
      <c r="E346" s="1003"/>
      <c r="F346" s="1003"/>
      <c r="G346" s="1003"/>
      <c r="H346" s="1003"/>
      <c r="I346" s="1003"/>
      <c r="J346" s="1003"/>
      <c r="K346" s="61" t="str">
        <f>'[6]PLANILHA ORÇAMENTÁRIA'!F100</f>
        <v>UND</v>
      </c>
      <c r="L346" s="62">
        <f>K349</f>
        <v>1</v>
      </c>
    </row>
    <row r="347" spans="2:12" hidden="1">
      <c r="B347" s="63"/>
      <c r="C347" s="1004" t="s">
        <v>20</v>
      </c>
      <c r="D347" s="1004"/>
      <c r="E347" s="1004"/>
      <c r="F347" s="64" t="s">
        <v>22</v>
      </c>
      <c r="G347" s="65" t="s">
        <v>111</v>
      </c>
      <c r="H347" s="65" t="s">
        <v>114</v>
      </c>
      <c r="I347" s="65" t="s">
        <v>113</v>
      </c>
      <c r="J347" s="65" t="s">
        <v>136</v>
      </c>
      <c r="K347" s="66" t="s">
        <v>25</v>
      </c>
      <c r="L347" s="67"/>
    </row>
    <row r="348" spans="2:12" hidden="1">
      <c r="B348" s="63"/>
      <c r="C348" s="1001"/>
      <c r="D348" s="1001"/>
      <c r="E348" s="1001"/>
      <c r="F348" s="68">
        <f>'[6]PLANILHA ORÇAMENTÁRIA'!G100</f>
        <v>1</v>
      </c>
      <c r="G348" s="68"/>
      <c r="H348" s="68"/>
      <c r="I348" s="68"/>
      <c r="J348" s="68"/>
      <c r="K348" s="906">
        <f>F348</f>
        <v>1</v>
      </c>
      <c r="L348" s="67"/>
    </row>
    <row r="349" spans="2:12" hidden="1">
      <c r="B349" s="63"/>
      <c r="C349" s="1002" t="s">
        <v>116</v>
      </c>
      <c r="D349" s="1002"/>
      <c r="E349" s="1002"/>
      <c r="F349" s="1002"/>
      <c r="G349" s="1002"/>
      <c r="H349" s="1002"/>
      <c r="I349" s="1002"/>
      <c r="J349" s="1002"/>
      <c r="K349" s="66">
        <f>SUM(K348:K348)</f>
        <v>1</v>
      </c>
      <c r="L349" s="67"/>
    </row>
    <row r="350" spans="2:12" hidden="1">
      <c r="B350" s="63"/>
      <c r="C350" s="71"/>
      <c r="D350" s="71"/>
      <c r="E350" s="71"/>
      <c r="F350" s="71"/>
      <c r="G350" s="71"/>
      <c r="H350" s="71"/>
      <c r="I350" s="71"/>
      <c r="J350" s="71"/>
      <c r="K350" s="73"/>
      <c r="L350" s="67"/>
    </row>
    <row r="351" spans="2:12" ht="15" hidden="1" customHeight="1">
      <c r="B351" s="60" t="str">
        <f>'[6]PLANILHA ORÇAMENTÁRIA'!D101</f>
        <v>12.8</v>
      </c>
      <c r="C351" s="1003" t="str">
        <f>'[6]PLANILHA ORÇAMENTÁRIA'!E101</f>
        <v>LUMINÁRIA TIPO PLAFON, DE SOBREPOR, COM 1 LÂMPADA LED - FORNECIMENTO E INSTALAÇÃO. AF_11/2017</v>
      </c>
      <c r="D351" s="1003"/>
      <c r="E351" s="1003"/>
      <c r="F351" s="1003"/>
      <c r="G351" s="1003"/>
      <c r="H351" s="1003"/>
      <c r="I351" s="1003"/>
      <c r="J351" s="1003"/>
      <c r="K351" s="61" t="str">
        <f>'[6]PLANILHA ORÇAMENTÁRIA'!F101</f>
        <v>UND</v>
      </c>
      <c r="L351" s="62">
        <f>K354</f>
        <v>3</v>
      </c>
    </row>
    <row r="352" spans="2:12" hidden="1">
      <c r="B352" s="63"/>
      <c r="C352" s="1004" t="s">
        <v>20</v>
      </c>
      <c r="D352" s="1004"/>
      <c r="E352" s="1004"/>
      <c r="F352" s="64" t="s">
        <v>22</v>
      </c>
      <c r="G352" s="65" t="s">
        <v>111</v>
      </c>
      <c r="H352" s="65" t="s">
        <v>114</v>
      </c>
      <c r="I352" s="65" t="s">
        <v>113</v>
      </c>
      <c r="J352" s="65" t="s">
        <v>136</v>
      </c>
      <c r="K352" s="66" t="s">
        <v>25</v>
      </c>
      <c r="L352" s="67"/>
    </row>
    <row r="353" spans="2:12" hidden="1">
      <c r="B353" s="63"/>
      <c r="C353" s="1001"/>
      <c r="D353" s="1001"/>
      <c r="E353" s="1001"/>
      <c r="F353" s="68">
        <f>'[6]PLANILHA ORÇAMENTÁRIA'!G101</f>
        <v>3</v>
      </c>
      <c r="G353" s="68"/>
      <c r="H353" s="68"/>
      <c r="I353" s="68"/>
      <c r="J353" s="68"/>
      <c r="K353" s="906">
        <f>F353</f>
        <v>3</v>
      </c>
      <c r="L353" s="67"/>
    </row>
    <row r="354" spans="2:12" hidden="1">
      <c r="B354" s="63"/>
      <c r="C354" s="1002" t="s">
        <v>116</v>
      </c>
      <c r="D354" s="1002"/>
      <c r="E354" s="1002"/>
      <c r="F354" s="1002"/>
      <c r="G354" s="1002"/>
      <c r="H354" s="1002"/>
      <c r="I354" s="1002"/>
      <c r="J354" s="1002"/>
      <c r="K354" s="66">
        <f>SUM(K353:K353)</f>
        <v>3</v>
      </c>
      <c r="L354" s="67"/>
    </row>
    <row r="355" spans="2:12" hidden="1"/>
    <row r="356" spans="2:12" ht="21.75" hidden="1" customHeight="1">
      <c r="B356" s="60" t="str">
        <f>'[6]PLANILHA ORÇAMENTÁRIA'!D102</f>
        <v>12.9</v>
      </c>
      <c r="C356" s="1003" t="str">
        <f>'[6]PLANILHA ORÇAMENTÁRIA'!E102</f>
        <v>LUMINÁRIAS TIPO CALHA, DE SOBREPOR E LÂMPADAS EM LED 2X2X18W, COMPLETAS, FORNECIMENTO E INSTALAÇÃO</v>
      </c>
      <c r="D356" s="1003"/>
      <c r="E356" s="1003"/>
      <c r="F356" s="1003"/>
      <c r="G356" s="1003"/>
      <c r="H356" s="1003"/>
      <c r="I356" s="1003"/>
      <c r="J356" s="1003"/>
      <c r="K356" s="61" t="str">
        <f>'[6]PLANILHA ORÇAMENTÁRIA'!F102</f>
        <v>UND</v>
      </c>
      <c r="L356" s="62">
        <f>K359</f>
        <v>4</v>
      </c>
    </row>
    <row r="357" spans="2:12" hidden="1">
      <c r="B357" s="63"/>
      <c r="C357" s="1004" t="s">
        <v>20</v>
      </c>
      <c r="D357" s="1004"/>
      <c r="E357" s="1004"/>
      <c r="F357" s="64" t="s">
        <v>22</v>
      </c>
      <c r="G357" s="65" t="s">
        <v>111</v>
      </c>
      <c r="H357" s="65" t="s">
        <v>114</v>
      </c>
      <c r="I357" s="65" t="s">
        <v>113</v>
      </c>
      <c r="J357" s="65" t="s">
        <v>136</v>
      </c>
      <c r="K357" s="66" t="s">
        <v>25</v>
      </c>
      <c r="L357" s="67"/>
    </row>
    <row r="358" spans="2:12" hidden="1">
      <c r="B358" s="63"/>
      <c r="C358" s="1001"/>
      <c r="D358" s="1001"/>
      <c r="E358" s="1001"/>
      <c r="F358" s="68">
        <f>'[6]PLANILHA ORÇAMENTÁRIA'!G102</f>
        <v>4</v>
      </c>
      <c r="G358" s="68"/>
      <c r="H358" s="68"/>
      <c r="I358" s="68"/>
      <c r="J358" s="68"/>
      <c r="K358" s="906">
        <f>F358</f>
        <v>4</v>
      </c>
      <c r="L358" s="67"/>
    </row>
    <row r="359" spans="2:12" hidden="1">
      <c r="B359" s="63"/>
      <c r="C359" s="1002" t="s">
        <v>116</v>
      </c>
      <c r="D359" s="1002"/>
      <c r="E359" s="1002"/>
      <c r="F359" s="1002"/>
      <c r="G359" s="1002"/>
      <c r="H359" s="1002"/>
      <c r="I359" s="1002"/>
      <c r="J359" s="1002"/>
      <c r="K359" s="66">
        <f>SUM(K358:K358)</f>
        <v>4</v>
      </c>
      <c r="L359" s="67"/>
    </row>
    <row r="360" spans="2:12" hidden="1"/>
    <row r="361" spans="2:12" ht="27.75" hidden="1" customHeight="1">
      <c r="B361" s="60" t="str">
        <f>'[6]PLANILHA ORÇAMENTÁRIA'!D103</f>
        <v>12.10</v>
      </c>
      <c r="C361" s="1003" t="str">
        <f>'[6]PLANILHA ORÇAMENTÁRIA'!E103</f>
        <v>RELE FOTOELETRICO P/ COMANDO DE ILUMINACAO EXTERNA 220V/1000W - FORNECIMENTO E INSTALACAO</v>
      </c>
      <c r="D361" s="1003"/>
      <c r="E361" s="1003"/>
      <c r="F361" s="1003"/>
      <c r="G361" s="1003"/>
      <c r="H361" s="1003"/>
      <c r="I361" s="1003"/>
      <c r="J361" s="1003"/>
      <c r="K361" s="61" t="str">
        <f>'[6]PLANILHA ORÇAMENTÁRIA'!F103</f>
        <v>UND</v>
      </c>
      <c r="L361" s="62">
        <f>K364</f>
        <v>1</v>
      </c>
    </row>
    <row r="362" spans="2:12" hidden="1">
      <c r="B362" s="63"/>
      <c r="C362" s="1004" t="s">
        <v>20</v>
      </c>
      <c r="D362" s="1004"/>
      <c r="E362" s="1004"/>
      <c r="F362" s="64" t="s">
        <v>22</v>
      </c>
      <c r="G362" s="65" t="s">
        <v>111</v>
      </c>
      <c r="H362" s="65" t="s">
        <v>114</v>
      </c>
      <c r="I362" s="65" t="s">
        <v>113</v>
      </c>
      <c r="J362" s="65" t="s">
        <v>136</v>
      </c>
      <c r="K362" s="66" t="s">
        <v>25</v>
      </c>
      <c r="L362" s="67"/>
    </row>
    <row r="363" spans="2:12" hidden="1">
      <c r="B363" s="63"/>
      <c r="C363" s="1001"/>
      <c r="D363" s="1001"/>
      <c r="E363" s="1001"/>
      <c r="F363" s="68">
        <f>'[6]PLANILHA ORÇAMENTÁRIA'!G103</f>
        <v>1</v>
      </c>
      <c r="G363" s="68"/>
      <c r="H363" s="68"/>
      <c r="I363" s="68"/>
      <c r="J363" s="68"/>
      <c r="K363" s="906">
        <f>F363</f>
        <v>1</v>
      </c>
      <c r="L363" s="67"/>
    </row>
    <row r="364" spans="2:12" hidden="1">
      <c r="B364" s="63"/>
      <c r="C364" s="1002" t="s">
        <v>116</v>
      </c>
      <c r="D364" s="1002"/>
      <c r="E364" s="1002"/>
      <c r="F364" s="1002"/>
      <c r="G364" s="1002"/>
      <c r="H364" s="1002"/>
      <c r="I364" s="1002"/>
      <c r="J364" s="1002"/>
      <c r="K364" s="66">
        <f>SUM(K363:K363)</f>
        <v>1</v>
      </c>
      <c r="L364" s="67"/>
    </row>
    <row r="365" spans="2:12" hidden="1"/>
    <row r="366" spans="2:12" ht="29.25" hidden="1" customHeight="1">
      <c r="B366" s="60" t="str">
        <f>'[6]PLANILHA ORÇAMENTÁRIA'!D104</f>
        <v>12.11</v>
      </c>
      <c r="C366" s="1003" t="str">
        <f>'[6]PLANILHA ORÇAMENTÁRIA'!E104</f>
        <v>ELETRODUTO RÍGIDO ROSCÁVEL, PVC, DN 32 MM (1"), PARA CIRCUITOS TERMINAIS, INSTALADO EM FORRO - FORNECIMENTO E INSTALAÇÃO. AF_12/2015</v>
      </c>
      <c r="D366" s="1003"/>
      <c r="E366" s="1003"/>
      <c r="F366" s="1003"/>
      <c r="G366" s="1003"/>
      <c r="H366" s="1003"/>
      <c r="I366" s="1003"/>
      <c r="J366" s="1003"/>
      <c r="K366" s="61" t="str">
        <f>'[6]PLANILHA ORÇAMENTÁRIA'!F104</f>
        <v>M</v>
      </c>
      <c r="L366" s="62">
        <f>K369</f>
        <v>70</v>
      </c>
    </row>
    <row r="367" spans="2:12" hidden="1">
      <c r="B367" s="63"/>
      <c r="C367" s="1004" t="s">
        <v>20</v>
      </c>
      <c r="D367" s="1004"/>
      <c r="E367" s="1004"/>
      <c r="F367" s="64" t="s">
        <v>22</v>
      </c>
      <c r="G367" s="65" t="s">
        <v>111</v>
      </c>
      <c r="H367" s="65" t="s">
        <v>114</v>
      </c>
      <c r="I367" s="65" t="s">
        <v>113</v>
      </c>
      <c r="J367" s="65" t="s">
        <v>136</v>
      </c>
      <c r="K367" s="66" t="s">
        <v>25</v>
      </c>
      <c r="L367" s="67"/>
    </row>
    <row r="368" spans="2:12" hidden="1">
      <c r="B368" s="63"/>
      <c r="C368" s="1001"/>
      <c r="D368" s="1001"/>
      <c r="E368" s="1001"/>
      <c r="F368" s="68"/>
      <c r="G368" s="68"/>
      <c r="H368" s="68"/>
      <c r="I368" s="68">
        <f>'[6]PLANILHA ORÇAMENTÁRIA'!G104</f>
        <v>70</v>
      </c>
      <c r="J368" s="68"/>
      <c r="K368" s="906">
        <f>I368</f>
        <v>70</v>
      </c>
      <c r="L368" s="67"/>
    </row>
    <row r="369" spans="2:12" hidden="1">
      <c r="B369" s="63"/>
      <c r="C369" s="1002" t="s">
        <v>116</v>
      </c>
      <c r="D369" s="1002"/>
      <c r="E369" s="1002"/>
      <c r="F369" s="1002"/>
      <c r="G369" s="1002"/>
      <c r="H369" s="1002"/>
      <c r="I369" s="1002"/>
      <c r="J369" s="1002"/>
      <c r="K369" s="66">
        <f>SUM(K368:K368)</f>
        <v>70</v>
      </c>
      <c r="L369" s="67"/>
    </row>
    <row r="370" spans="2:12" hidden="1"/>
    <row r="371" spans="2:12" ht="15" hidden="1" customHeight="1">
      <c r="B371" s="60" t="str">
        <f>'[6]PLANILHA ORÇAMENTÁRIA'!D105</f>
        <v>12.12</v>
      </c>
      <c r="C371" s="1003" t="str">
        <f>'[6]PLANILHA ORÇAMENTÁRIA'!E105</f>
        <v>REFLETOR SIMPLES LED 150W DE POTÊNCIA, BRANCO FRIO, 6500K, AUTOVOLT, MARCA G-LIGHT OU SIMILAR</v>
      </c>
      <c r="D371" s="1003"/>
      <c r="E371" s="1003"/>
      <c r="F371" s="1003"/>
      <c r="G371" s="1003"/>
      <c r="H371" s="1003"/>
      <c r="I371" s="1003"/>
      <c r="J371" s="1003"/>
      <c r="K371" s="61" t="str">
        <f>'[6]PLANILHA ORÇAMENTÁRIA'!F105</f>
        <v>UND</v>
      </c>
      <c r="L371" s="62">
        <f>K374</f>
        <v>8</v>
      </c>
    </row>
    <row r="372" spans="2:12" hidden="1">
      <c r="B372" s="63"/>
      <c r="C372" s="1004" t="s">
        <v>20</v>
      </c>
      <c r="D372" s="1004"/>
      <c r="E372" s="1004"/>
      <c r="F372" s="64" t="s">
        <v>22</v>
      </c>
      <c r="G372" s="65" t="s">
        <v>111</v>
      </c>
      <c r="H372" s="65" t="s">
        <v>114</v>
      </c>
      <c r="I372" s="65" t="s">
        <v>113</v>
      </c>
      <c r="J372" s="65" t="s">
        <v>136</v>
      </c>
      <c r="K372" s="66" t="s">
        <v>25</v>
      </c>
      <c r="L372" s="67"/>
    </row>
    <row r="373" spans="2:12" hidden="1">
      <c r="B373" s="63"/>
      <c r="C373" s="1001"/>
      <c r="D373" s="1001"/>
      <c r="E373" s="1001"/>
      <c r="F373" s="68">
        <f>'[6]PLANILHA ORÇAMENTÁRIA'!G105</f>
        <v>8</v>
      </c>
      <c r="G373" s="68"/>
      <c r="H373" s="68"/>
      <c r="I373" s="68"/>
      <c r="J373" s="68"/>
      <c r="K373" s="906">
        <f>F373</f>
        <v>8</v>
      </c>
      <c r="L373" s="67"/>
    </row>
    <row r="374" spans="2:12" hidden="1">
      <c r="B374" s="63"/>
      <c r="C374" s="1002" t="s">
        <v>116</v>
      </c>
      <c r="D374" s="1002"/>
      <c r="E374" s="1002"/>
      <c r="F374" s="1002"/>
      <c r="G374" s="1002"/>
      <c r="H374" s="1002"/>
      <c r="I374" s="1002"/>
      <c r="J374" s="1002"/>
      <c r="K374" s="66">
        <f>SUM(K373:K373)</f>
        <v>8</v>
      </c>
      <c r="L374" s="67"/>
    </row>
    <row r="375" spans="2:12" hidden="1"/>
    <row r="376" spans="2:12" ht="21.75" hidden="1" customHeight="1">
      <c r="B376" s="60" t="str">
        <f>'[6]PLANILHA ORÇAMENTÁRIA'!D106</f>
        <v>12.13</v>
      </c>
      <c r="C376" s="1003" t="str">
        <f>'[6]PLANILHA ORÇAMENTÁRIA'!E106</f>
        <v>CAIXA ENTERRADA ELÉTRICA RETANGULAR, EM ALVENARIA COM TIJOLOS CERÂMICOS MACIÇOS, FUNDO COM BRITA, DIMENSÕES INTERNAS: 0,3X0,3X0,3 M. AF_05/2018</v>
      </c>
      <c r="D376" s="1003"/>
      <c r="E376" s="1003"/>
      <c r="F376" s="1003"/>
      <c r="G376" s="1003"/>
      <c r="H376" s="1003"/>
      <c r="I376" s="1003"/>
      <c r="J376" s="1003"/>
      <c r="K376" s="61" t="str">
        <f>'[6]PLANILHA ORÇAMENTÁRIA'!F106</f>
        <v>UND</v>
      </c>
      <c r="L376" s="62">
        <f>K379</f>
        <v>0</v>
      </c>
    </row>
    <row r="377" spans="2:12" hidden="1">
      <c r="B377" s="63"/>
      <c r="C377" s="1004" t="s">
        <v>20</v>
      </c>
      <c r="D377" s="1004"/>
      <c r="E377" s="1004"/>
      <c r="F377" s="64" t="s">
        <v>22</v>
      </c>
      <c r="G377" s="65" t="s">
        <v>111</v>
      </c>
      <c r="H377" s="65" t="s">
        <v>114</v>
      </c>
      <c r="I377" s="65" t="s">
        <v>113</v>
      </c>
      <c r="J377" s="65" t="s">
        <v>136</v>
      </c>
      <c r="K377" s="66" t="s">
        <v>25</v>
      </c>
      <c r="L377" s="67"/>
    </row>
    <row r="378" spans="2:12" hidden="1">
      <c r="B378" s="63"/>
      <c r="C378" s="1001"/>
      <c r="D378" s="1001"/>
      <c r="E378" s="1001"/>
      <c r="F378" s="68">
        <f>'[6]PLANILHA ORÇAMENTÁRIA'!G106</f>
        <v>4</v>
      </c>
      <c r="G378" s="68"/>
      <c r="H378" s="68"/>
      <c r="I378" s="68"/>
      <c r="J378" s="68"/>
      <c r="K378" s="906">
        <f>I378</f>
        <v>0</v>
      </c>
      <c r="L378" s="67"/>
    </row>
    <row r="379" spans="2:12" hidden="1">
      <c r="B379" s="63"/>
      <c r="C379" s="1002" t="s">
        <v>116</v>
      </c>
      <c r="D379" s="1002"/>
      <c r="E379" s="1002"/>
      <c r="F379" s="1002"/>
      <c r="G379" s="1002"/>
      <c r="H379" s="1002"/>
      <c r="I379" s="1002"/>
      <c r="J379" s="1002"/>
      <c r="K379" s="66">
        <f>SUM(K378:K378)</f>
        <v>0</v>
      </c>
      <c r="L379" s="67"/>
    </row>
    <row r="380" spans="2:12" hidden="1"/>
    <row r="381" spans="2:12" ht="24.75" hidden="1" customHeight="1">
      <c r="B381" s="60" t="str">
        <f>'[6]PLANILHA ORÇAMENTÁRIA'!D107</f>
        <v>12.14</v>
      </c>
      <c r="C381" s="1003" t="str">
        <f>'[6]PLANILHA ORÇAMENTÁRIA'!E107</f>
        <v>CABO DE COBRE FLEXÍVEL ISOLADO, 4 MM², ANTI-CHAMA 450/750 V, PARA CIRCUITOS TERMINAIS - FORNECIMENTO E INSTALAÇÃO. AF_12/2015</v>
      </c>
      <c r="D381" s="1003"/>
      <c r="E381" s="1003"/>
      <c r="F381" s="1003"/>
      <c r="G381" s="1003"/>
      <c r="H381" s="1003"/>
      <c r="I381" s="1003"/>
      <c r="J381" s="1003"/>
      <c r="K381" s="61" t="str">
        <f>'[6]PLANILHA ORÇAMENTÁRIA'!F107</f>
        <v>M</v>
      </c>
      <c r="L381" s="62">
        <f>K384</f>
        <v>160</v>
      </c>
    </row>
    <row r="382" spans="2:12" hidden="1">
      <c r="B382" s="63"/>
      <c r="C382" s="1004" t="s">
        <v>20</v>
      </c>
      <c r="D382" s="1004"/>
      <c r="E382" s="1004"/>
      <c r="F382" s="64" t="s">
        <v>22</v>
      </c>
      <c r="G382" s="65" t="s">
        <v>111</v>
      </c>
      <c r="H382" s="65" t="s">
        <v>114</v>
      </c>
      <c r="I382" s="65" t="s">
        <v>113</v>
      </c>
      <c r="J382" s="65" t="s">
        <v>136</v>
      </c>
      <c r="K382" s="66" t="s">
        <v>25</v>
      </c>
      <c r="L382" s="67"/>
    </row>
    <row r="383" spans="2:12" hidden="1">
      <c r="B383" s="63"/>
      <c r="C383" s="1001"/>
      <c r="D383" s="1001"/>
      <c r="E383" s="1001"/>
      <c r="F383" s="68"/>
      <c r="G383" s="68"/>
      <c r="H383" s="68"/>
      <c r="I383" s="68">
        <f>'[6]PLANILHA ORÇAMENTÁRIA'!G107</f>
        <v>160</v>
      </c>
      <c r="J383" s="68"/>
      <c r="K383" s="906">
        <f>I383</f>
        <v>160</v>
      </c>
      <c r="L383" s="67"/>
    </row>
    <row r="384" spans="2:12" hidden="1">
      <c r="B384" s="63"/>
      <c r="C384" s="1002" t="s">
        <v>116</v>
      </c>
      <c r="D384" s="1002"/>
      <c r="E384" s="1002"/>
      <c r="F384" s="1002"/>
      <c r="G384" s="1002"/>
      <c r="H384" s="1002"/>
      <c r="I384" s="1002"/>
      <c r="J384" s="1002"/>
      <c r="K384" s="66">
        <f>SUM(K383:K383)</f>
        <v>160</v>
      </c>
      <c r="L384" s="67"/>
    </row>
    <row r="385" spans="2:12" hidden="1">
      <c r="B385" s="63"/>
      <c r="C385" s="71"/>
      <c r="D385" s="71"/>
      <c r="E385" s="71"/>
      <c r="F385" s="71"/>
      <c r="G385" s="71"/>
      <c r="H385" s="71"/>
      <c r="I385" s="71"/>
      <c r="J385" s="71"/>
      <c r="K385" s="73"/>
      <c r="L385" s="67"/>
    </row>
    <row r="386" spans="2:12" ht="32.25" hidden="1" customHeight="1">
      <c r="B386" s="60" t="str">
        <f>'[6]PLANILHA ORÇAMENTÁRIA'!D108</f>
        <v>12.15</v>
      </c>
      <c r="C386" s="1003" t="str">
        <f>'[6]PLANILHA ORÇAMENTÁRIA'!E108</f>
        <v>CABO DE COBRE FLEXÍVEL ISOLADO, 2,5 MM², ANTI-CHAMA 450/750 V, PARA CIRCUITOS TERMINAIS - FORNECIMENTO E INSTALAÇÃO. AF_12/2015</v>
      </c>
      <c r="D386" s="1003"/>
      <c r="E386" s="1003"/>
      <c r="F386" s="1003"/>
      <c r="G386" s="1003"/>
      <c r="H386" s="1003"/>
      <c r="I386" s="1003"/>
      <c r="J386" s="1003"/>
      <c r="K386" s="61" t="str">
        <f>'[6]PLANILHA ORÇAMENTÁRIA'!F108</f>
        <v>M</v>
      </c>
      <c r="L386" s="62">
        <f>K389</f>
        <v>160</v>
      </c>
    </row>
    <row r="387" spans="2:12" hidden="1">
      <c r="B387" s="63"/>
      <c r="C387" s="1004" t="s">
        <v>20</v>
      </c>
      <c r="D387" s="1004"/>
      <c r="E387" s="1004"/>
      <c r="F387" s="64" t="s">
        <v>22</v>
      </c>
      <c r="G387" s="65" t="s">
        <v>111</v>
      </c>
      <c r="H387" s="65" t="s">
        <v>114</v>
      </c>
      <c r="I387" s="65" t="s">
        <v>113</v>
      </c>
      <c r="J387" s="65" t="s">
        <v>136</v>
      </c>
      <c r="K387" s="66" t="s">
        <v>25</v>
      </c>
      <c r="L387" s="67"/>
    </row>
    <row r="388" spans="2:12" hidden="1">
      <c r="B388" s="63"/>
      <c r="C388" s="1001"/>
      <c r="D388" s="1001"/>
      <c r="E388" s="1001"/>
      <c r="F388" s="68"/>
      <c r="G388" s="68"/>
      <c r="H388" s="68"/>
      <c r="I388" s="68">
        <f>'[6]PLANILHA ORÇAMENTÁRIA'!G108</f>
        <v>160</v>
      </c>
      <c r="J388" s="68"/>
      <c r="K388" s="906">
        <f>I388</f>
        <v>160</v>
      </c>
      <c r="L388" s="67"/>
    </row>
    <row r="389" spans="2:12" hidden="1">
      <c r="B389" s="63"/>
      <c r="C389" s="1002" t="s">
        <v>116</v>
      </c>
      <c r="D389" s="1002"/>
      <c r="E389" s="1002"/>
      <c r="F389" s="1002"/>
      <c r="G389" s="1002"/>
      <c r="H389" s="1002"/>
      <c r="I389" s="1002"/>
      <c r="J389" s="1002"/>
      <c r="K389" s="66">
        <f>SUM(K388:K388)</f>
        <v>160</v>
      </c>
      <c r="L389" s="67"/>
    </row>
    <row r="390" spans="2:12" hidden="1"/>
    <row r="391" spans="2:12" hidden="1">
      <c r="B391" s="58" t="str">
        <f>'[6]PLANILHA ORÇAMENTÁRIA'!D109</f>
        <v>13.0</v>
      </c>
      <c r="C391" s="1000" t="str">
        <f>'[6]PLANILHA ORÇAMENTÁRIA'!E109</f>
        <v>PINTURA</v>
      </c>
      <c r="D391" s="1000"/>
      <c r="E391" s="1000"/>
      <c r="F391" s="1000"/>
      <c r="G391" s="1000"/>
      <c r="H391" s="1000"/>
      <c r="I391" s="1000"/>
      <c r="J391" s="1000"/>
      <c r="K391" s="59"/>
      <c r="L391" s="59"/>
    </row>
    <row r="392" spans="2:12" ht="15" hidden="1" customHeight="1">
      <c r="B392" s="60" t="str">
        <f>'[6]PLANILHA ORÇAMENTÁRIA'!D110</f>
        <v>13.1</v>
      </c>
      <c r="C392" s="1003" t="str">
        <f>'[6]PLANILHA ORÇAMENTÁRIA'!E110</f>
        <v>APLICAÇÃO DE FUNDO SELADOR LÁTEX PVA EM TETO, UMA DEMÃO. AF_06/2014</v>
      </c>
      <c r="D392" s="1003"/>
      <c r="E392" s="1003"/>
      <c r="F392" s="1003"/>
      <c r="G392" s="1003"/>
      <c r="H392" s="1003"/>
      <c r="I392" s="1003"/>
      <c r="J392" s="1003"/>
      <c r="K392" s="61" t="str">
        <f>'[6]PLANILHA ORÇAMENTÁRIA'!F110</f>
        <v>M2</v>
      </c>
      <c r="L392" s="62">
        <f>K399</f>
        <v>23.02</v>
      </c>
    </row>
    <row r="393" spans="2:12" hidden="1">
      <c r="B393" s="63"/>
      <c r="C393" s="1004" t="s">
        <v>20</v>
      </c>
      <c r="D393" s="1004"/>
      <c r="E393" s="1004"/>
      <c r="F393" s="64" t="s">
        <v>22</v>
      </c>
      <c r="G393" s="65" t="s">
        <v>111</v>
      </c>
      <c r="H393" s="64" t="s">
        <v>112</v>
      </c>
      <c r="I393" s="65" t="s">
        <v>113</v>
      </c>
      <c r="J393" s="65" t="s">
        <v>114</v>
      </c>
      <c r="K393" s="66" t="s">
        <v>25</v>
      </c>
      <c r="L393" s="67"/>
    </row>
    <row r="394" spans="2:12" hidden="1">
      <c r="B394" s="63"/>
      <c r="C394" s="1001" t="s">
        <v>167</v>
      </c>
      <c r="D394" s="1001"/>
      <c r="E394" s="1001"/>
      <c r="F394" s="68"/>
      <c r="G394" s="68"/>
      <c r="H394" s="68">
        <v>2</v>
      </c>
      <c r="I394" s="68">
        <v>4.2</v>
      </c>
      <c r="J394" s="68"/>
      <c r="K394" s="906">
        <f>TRUNC(H394*I394,2)</f>
        <v>8.4</v>
      </c>
      <c r="L394" s="67"/>
    </row>
    <row r="395" spans="2:12" hidden="1">
      <c r="B395" s="63"/>
      <c r="C395" s="1001" t="s">
        <v>168</v>
      </c>
      <c r="D395" s="1001"/>
      <c r="E395" s="1001"/>
      <c r="F395" s="68"/>
      <c r="G395" s="68"/>
      <c r="H395" s="68">
        <v>2</v>
      </c>
      <c r="I395" s="68">
        <v>3.13</v>
      </c>
      <c r="J395" s="68"/>
      <c r="K395" s="906">
        <f>TRUNC(H395*I395,2)</f>
        <v>6.26</v>
      </c>
      <c r="L395" s="67"/>
    </row>
    <row r="396" spans="2:12" hidden="1">
      <c r="B396" s="63"/>
      <c r="C396" s="1001" t="s">
        <v>169</v>
      </c>
      <c r="D396" s="1001"/>
      <c r="E396" s="1001"/>
      <c r="F396" s="68"/>
      <c r="G396" s="68"/>
      <c r="H396" s="68">
        <v>1</v>
      </c>
      <c r="I396" s="68">
        <v>1.05</v>
      </c>
      <c r="J396" s="68"/>
      <c r="K396" s="906">
        <f>TRUNC(H396*I396,2)</f>
        <v>1.05</v>
      </c>
      <c r="L396" s="67"/>
    </row>
    <row r="397" spans="2:12" hidden="1">
      <c r="B397" s="63"/>
      <c r="C397" s="1001" t="s">
        <v>170</v>
      </c>
      <c r="D397" s="1001"/>
      <c r="E397" s="1001"/>
      <c r="F397" s="68"/>
      <c r="G397" s="68"/>
      <c r="H397" s="68">
        <v>2</v>
      </c>
      <c r="I397" s="68">
        <v>3.13</v>
      </c>
      <c r="J397" s="68"/>
      <c r="K397" s="906">
        <f>TRUNC(H397*I397,2)</f>
        <v>6.26</v>
      </c>
      <c r="L397" s="67"/>
    </row>
    <row r="398" spans="2:12" hidden="1">
      <c r="B398" s="63"/>
      <c r="C398" s="1001" t="s">
        <v>171</v>
      </c>
      <c r="D398" s="1001"/>
      <c r="E398" s="1001"/>
      <c r="F398" s="68"/>
      <c r="G398" s="68"/>
      <c r="H398" s="68">
        <v>1</v>
      </c>
      <c r="I398" s="68">
        <v>1.05</v>
      </c>
      <c r="J398" s="68"/>
      <c r="K398" s="906">
        <f>TRUNC(H398*I398,2)</f>
        <v>1.05</v>
      </c>
      <c r="L398" s="67"/>
    </row>
    <row r="399" spans="2:12" hidden="1">
      <c r="B399" s="63"/>
      <c r="C399" s="1002" t="s">
        <v>116</v>
      </c>
      <c r="D399" s="1002"/>
      <c r="E399" s="1002"/>
      <c r="F399" s="1002"/>
      <c r="G399" s="1002"/>
      <c r="H399" s="1002"/>
      <c r="I399" s="1002"/>
      <c r="J399" s="1002"/>
      <c r="K399" s="66">
        <f>SUM(K394:K398)</f>
        <v>23.02</v>
      </c>
      <c r="L399" s="67"/>
    </row>
    <row r="400" spans="2:12" hidden="1"/>
    <row r="401" spans="2:12" ht="15" hidden="1" customHeight="1">
      <c r="B401" s="60" t="str">
        <f>'[6]PLANILHA ORÇAMENTÁRIA'!D111</f>
        <v>13.2</v>
      </c>
      <c r="C401" s="1003" t="str">
        <f>'[6]PLANILHA ORÇAMENTÁRIA'!E111</f>
        <v>APLICAÇÃO E LIXAMENTO DE MASSA LÁTEX EM TETO, DUAS DEMÃOS. AF_06/2014</v>
      </c>
      <c r="D401" s="1003"/>
      <c r="E401" s="1003"/>
      <c r="F401" s="1003"/>
      <c r="G401" s="1003"/>
      <c r="H401" s="1003"/>
      <c r="I401" s="1003"/>
      <c r="J401" s="1003"/>
      <c r="K401" s="61" t="str">
        <f>'[6]PLANILHA ORÇAMENTÁRIA'!F111</f>
        <v>M2</v>
      </c>
      <c r="L401" s="62">
        <f>K408</f>
        <v>23.02</v>
      </c>
    </row>
    <row r="402" spans="2:12" hidden="1">
      <c r="B402" s="63"/>
      <c r="C402" s="1004" t="s">
        <v>20</v>
      </c>
      <c r="D402" s="1004"/>
      <c r="E402" s="1004"/>
      <c r="F402" s="64" t="s">
        <v>22</v>
      </c>
      <c r="G402" s="65" t="s">
        <v>111</v>
      </c>
      <c r="H402" s="64" t="s">
        <v>112</v>
      </c>
      <c r="I402" s="65" t="s">
        <v>113</v>
      </c>
      <c r="J402" s="65" t="s">
        <v>114</v>
      </c>
      <c r="K402" s="66" t="s">
        <v>25</v>
      </c>
      <c r="L402" s="67"/>
    </row>
    <row r="403" spans="2:12" hidden="1">
      <c r="B403" s="63"/>
      <c r="C403" s="1001" t="s">
        <v>167</v>
      </c>
      <c r="D403" s="1001"/>
      <c r="E403" s="1001"/>
      <c r="F403" s="68"/>
      <c r="G403" s="68"/>
      <c r="H403" s="68">
        <v>2</v>
      </c>
      <c r="I403" s="68">
        <v>4.2</v>
      </c>
      <c r="J403" s="68"/>
      <c r="K403" s="906">
        <f>TRUNC(H403*I403,2)</f>
        <v>8.4</v>
      </c>
      <c r="L403" s="67"/>
    </row>
    <row r="404" spans="2:12" hidden="1">
      <c r="B404" s="63"/>
      <c r="C404" s="1001" t="s">
        <v>168</v>
      </c>
      <c r="D404" s="1001"/>
      <c r="E404" s="1001"/>
      <c r="F404" s="68"/>
      <c r="G404" s="68"/>
      <c r="H404" s="68">
        <v>2</v>
      </c>
      <c r="I404" s="68">
        <v>3.13</v>
      </c>
      <c r="J404" s="68"/>
      <c r="K404" s="906">
        <f>TRUNC(H404*I404,2)</f>
        <v>6.26</v>
      </c>
      <c r="L404" s="67"/>
    </row>
    <row r="405" spans="2:12" hidden="1">
      <c r="B405" s="63"/>
      <c r="C405" s="1001" t="s">
        <v>169</v>
      </c>
      <c r="D405" s="1001"/>
      <c r="E405" s="1001"/>
      <c r="F405" s="68"/>
      <c r="G405" s="68"/>
      <c r="H405" s="68">
        <v>1</v>
      </c>
      <c r="I405" s="68">
        <v>1.05</v>
      </c>
      <c r="J405" s="68"/>
      <c r="K405" s="906">
        <f>TRUNC(H405*I405,2)</f>
        <v>1.05</v>
      </c>
      <c r="L405" s="67"/>
    </row>
    <row r="406" spans="2:12" hidden="1">
      <c r="B406" s="63"/>
      <c r="C406" s="1001" t="s">
        <v>170</v>
      </c>
      <c r="D406" s="1001"/>
      <c r="E406" s="1001"/>
      <c r="F406" s="68"/>
      <c r="G406" s="68"/>
      <c r="H406" s="68">
        <v>2</v>
      </c>
      <c r="I406" s="68">
        <v>3.13</v>
      </c>
      <c r="J406" s="68"/>
      <c r="K406" s="906">
        <f>TRUNC(H406*I406,2)</f>
        <v>6.26</v>
      </c>
      <c r="L406" s="67"/>
    </row>
    <row r="407" spans="2:12" hidden="1">
      <c r="B407" s="63"/>
      <c r="C407" s="1001" t="s">
        <v>171</v>
      </c>
      <c r="D407" s="1001"/>
      <c r="E407" s="1001"/>
      <c r="F407" s="68"/>
      <c r="G407" s="68"/>
      <c r="H407" s="68">
        <v>1</v>
      </c>
      <c r="I407" s="68">
        <v>1.05</v>
      </c>
      <c r="J407" s="68"/>
      <c r="K407" s="906">
        <f>TRUNC(H407*I407,2)</f>
        <v>1.05</v>
      </c>
      <c r="L407" s="67"/>
    </row>
    <row r="408" spans="2:12" hidden="1">
      <c r="B408" s="63"/>
      <c r="C408" s="1002" t="s">
        <v>116</v>
      </c>
      <c r="D408" s="1002"/>
      <c r="E408" s="1002"/>
      <c r="F408" s="1002"/>
      <c r="G408" s="1002"/>
      <c r="H408" s="1002"/>
      <c r="I408" s="1002"/>
      <c r="J408" s="1002"/>
      <c r="K408" s="66">
        <f>SUM(K403:K407)</f>
        <v>23.02</v>
      </c>
      <c r="L408" s="67"/>
    </row>
    <row r="409" spans="2:12" hidden="1"/>
    <row r="410" spans="2:12" ht="15" hidden="1" customHeight="1">
      <c r="B410" s="60" t="str">
        <f>'[6]PLANILHA ORÇAMENTÁRIA'!D112</f>
        <v>13.3</v>
      </c>
      <c r="C410" s="1003" t="str">
        <f>'[6]PLANILHA ORÇAMENTÁRIA'!E112</f>
        <v>APLICAÇÃO MANUAL DE PINTURA COM TINTA LÁTEX PVA EM TETO, DUAS DEMÃOS. AF_06/2014</v>
      </c>
      <c r="D410" s="1003"/>
      <c r="E410" s="1003"/>
      <c r="F410" s="1003"/>
      <c r="G410" s="1003"/>
      <c r="H410" s="1003"/>
      <c r="I410" s="1003"/>
      <c r="J410" s="1003"/>
      <c r="K410" s="61" t="str">
        <f>'[6]PLANILHA ORÇAMENTÁRIA'!F112</f>
        <v>M2</v>
      </c>
      <c r="L410" s="62">
        <f>K417</f>
        <v>23.02</v>
      </c>
    </row>
    <row r="411" spans="2:12" hidden="1">
      <c r="B411" s="63"/>
      <c r="C411" s="1004" t="s">
        <v>20</v>
      </c>
      <c r="D411" s="1004"/>
      <c r="E411" s="1004"/>
      <c r="F411" s="64" t="s">
        <v>22</v>
      </c>
      <c r="G411" s="65" t="s">
        <v>111</v>
      </c>
      <c r="H411" s="64" t="s">
        <v>112</v>
      </c>
      <c r="I411" s="65" t="s">
        <v>113</v>
      </c>
      <c r="J411" s="65" t="s">
        <v>114</v>
      </c>
      <c r="K411" s="66" t="s">
        <v>25</v>
      </c>
      <c r="L411" s="67"/>
    </row>
    <row r="412" spans="2:12" hidden="1">
      <c r="B412" s="63"/>
      <c r="C412" s="1001" t="s">
        <v>167</v>
      </c>
      <c r="D412" s="1001"/>
      <c r="E412" s="1001"/>
      <c r="F412" s="68"/>
      <c r="G412" s="68"/>
      <c r="H412" s="68">
        <v>2</v>
      </c>
      <c r="I412" s="68">
        <v>4.2</v>
      </c>
      <c r="J412" s="68"/>
      <c r="K412" s="906">
        <f>TRUNC(H412*I412,2)</f>
        <v>8.4</v>
      </c>
      <c r="L412" s="67"/>
    </row>
    <row r="413" spans="2:12" hidden="1">
      <c r="B413" s="63"/>
      <c r="C413" s="1001" t="s">
        <v>168</v>
      </c>
      <c r="D413" s="1001"/>
      <c r="E413" s="1001"/>
      <c r="F413" s="68"/>
      <c r="G413" s="68"/>
      <c r="H413" s="68">
        <v>2</v>
      </c>
      <c r="I413" s="68">
        <v>3.13</v>
      </c>
      <c r="J413" s="68"/>
      <c r="K413" s="906">
        <f>TRUNC(H413*I413,2)</f>
        <v>6.26</v>
      </c>
      <c r="L413" s="67"/>
    </row>
    <row r="414" spans="2:12" hidden="1">
      <c r="B414" s="63"/>
      <c r="C414" s="1001" t="s">
        <v>169</v>
      </c>
      <c r="D414" s="1001"/>
      <c r="E414" s="1001"/>
      <c r="F414" s="68"/>
      <c r="G414" s="68"/>
      <c r="H414" s="68">
        <v>1</v>
      </c>
      <c r="I414" s="68">
        <v>1.05</v>
      </c>
      <c r="J414" s="68"/>
      <c r="K414" s="906">
        <f>TRUNC(H414*I414,2)</f>
        <v>1.05</v>
      </c>
      <c r="L414" s="67"/>
    </row>
    <row r="415" spans="2:12" hidden="1">
      <c r="B415" s="63"/>
      <c r="C415" s="1001" t="s">
        <v>170</v>
      </c>
      <c r="D415" s="1001"/>
      <c r="E415" s="1001"/>
      <c r="F415" s="68"/>
      <c r="G415" s="68"/>
      <c r="H415" s="68">
        <v>2</v>
      </c>
      <c r="I415" s="68">
        <v>3.13</v>
      </c>
      <c r="J415" s="68"/>
      <c r="K415" s="906">
        <f>TRUNC(H415*I415,2)</f>
        <v>6.26</v>
      </c>
      <c r="L415" s="67"/>
    </row>
    <row r="416" spans="2:12" hidden="1">
      <c r="B416" s="63"/>
      <c r="C416" s="1001" t="s">
        <v>171</v>
      </c>
      <c r="D416" s="1001"/>
      <c r="E416" s="1001"/>
      <c r="F416" s="68"/>
      <c r="G416" s="68"/>
      <c r="H416" s="68">
        <v>1</v>
      </c>
      <c r="I416" s="68">
        <v>1.05</v>
      </c>
      <c r="J416" s="68"/>
      <c r="K416" s="906">
        <f>TRUNC(H416*I416,2)</f>
        <v>1.05</v>
      </c>
      <c r="L416" s="67"/>
    </row>
    <row r="417" spans="2:12" hidden="1">
      <c r="B417" s="63"/>
      <c r="C417" s="1002" t="s">
        <v>116</v>
      </c>
      <c r="D417" s="1002"/>
      <c r="E417" s="1002"/>
      <c r="F417" s="1002"/>
      <c r="G417" s="1002"/>
      <c r="H417" s="1002"/>
      <c r="I417" s="1002"/>
      <c r="J417" s="1002"/>
      <c r="K417" s="66">
        <f>SUM(K412:K416)</f>
        <v>23.02</v>
      </c>
      <c r="L417" s="67"/>
    </row>
    <row r="418" spans="2:12" hidden="1"/>
    <row r="419" spans="2:12" hidden="1">
      <c r="B419" s="60" t="str">
        <f>'[6]PLANILHA ORÇAMENTÁRIA'!D113</f>
        <v>13.4</v>
      </c>
      <c r="C419" s="1003" t="str">
        <f>'[6]PLANILHA ORÇAMENTÁRIA'!E113</f>
        <v>APLICAÇÃO DE FUNDO SELADOR ACRÍLICO EM PAREDES, UMA DEMÃO. AF_06/2014</v>
      </c>
      <c r="D419" s="1003"/>
      <c r="E419" s="1003"/>
      <c r="F419" s="1003"/>
      <c r="G419" s="1003"/>
      <c r="H419" s="1003"/>
      <c r="I419" s="1003"/>
      <c r="J419" s="1003"/>
      <c r="K419" s="61" t="str">
        <f>'[6]PLANILHA ORÇAMENTÁRIA'!F113</f>
        <v>M2</v>
      </c>
      <c r="L419" s="62">
        <f>K423</f>
        <v>50.4</v>
      </c>
    </row>
    <row r="420" spans="2:12" hidden="1">
      <c r="B420" s="63"/>
      <c r="C420" s="1004" t="s">
        <v>20</v>
      </c>
      <c r="D420" s="1004"/>
      <c r="E420" s="1004"/>
      <c r="F420" s="64" t="s">
        <v>22</v>
      </c>
      <c r="G420" s="65" t="s">
        <v>111</v>
      </c>
      <c r="H420" s="64" t="s">
        <v>112</v>
      </c>
      <c r="I420" s="65" t="s">
        <v>154</v>
      </c>
      <c r="J420" s="65" t="s">
        <v>114</v>
      </c>
      <c r="K420" s="66" t="s">
        <v>25</v>
      </c>
      <c r="L420" s="67"/>
    </row>
    <row r="421" spans="2:12" ht="25.5" hidden="1" customHeight="1">
      <c r="B421" s="63"/>
      <c r="C421" s="1001" t="s">
        <v>172</v>
      </c>
      <c r="D421" s="1001"/>
      <c r="E421" s="1001"/>
      <c r="F421" s="68">
        <v>1</v>
      </c>
      <c r="G421" s="68">
        <v>2.4</v>
      </c>
      <c r="H421" s="68"/>
      <c r="I421" s="68">
        <v>12.6</v>
      </c>
      <c r="J421" s="68"/>
      <c r="K421" s="906">
        <f>TRUNC(((G421*I421)*F421)-J421,2)</f>
        <v>30.24</v>
      </c>
      <c r="L421" s="67"/>
    </row>
    <row r="422" spans="2:12" hidden="1">
      <c r="B422" s="63"/>
      <c r="C422" s="1001" t="s">
        <v>173</v>
      </c>
      <c r="D422" s="1001"/>
      <c r="E422" s="1001"/>
      <c r="F422" s="68">
        <v>1</v>
      </c>
      <c r="G422" s="68">
        <v>2.4</v>
      </c>
      <c r="H422" s="68"/>
      <c r="I422" s="68">
        <v>8.4</v>
      </c>
      <c r="J422" s="68"/>
      <c r="K422" s="906">
        <f>TRUNC(((G422*I422)*F422),2)</f>
        <v>20.16</v>
      </c>
      <c r="L422" s="67"/>
    </row>
    <row r="423" spans="2:12" hidden="1">
      <c r="C423" s="1002" t="s">
        <v>116</v>
      </c>
      <c r="D423" s="1002"/>
      <c r="E423" s="1002"/>
      <c r="F423" s="1002"/>
      <c r="G423" s="1002"/>
      <c r="H423" s="1002"/>
      <c r="I423" s="1002"/>
      <c r="J423" s="1002"/>
      <c r="K423" s="66">
        <f>SUM(K421:K422)</f>
        <v>50.4</v>
      </c>
    </row>
    <row r="424" spans="2:12" hidden="1"/>
    <row r="425" spans="2:12" hidden="1">
      <c r="B425" s="60" t="str">
        <f>'[6]PLANILHA ORÇAMENTÁRIA'!D114</f>
        <v>13.5</v>
      </c>
      <c r="C425" s="1003" t="str">
        <f>'[6]PLANILHA ORÇAMENTÁRIA'!E114</f>
        <v>APLICAÇÃO E LIXAMENTO DE MASSA LÁTEX EM PAREDES, UMA DEMÃO. AF_06/2014</v>
      </c>
      <c r="D425" s="1003"/>
      <c r="E425" s="1003"/>
      <c r="F425" s="1003"/>
      <c r="G425" s="1003"/>
      <c r="H425" s="1003"/>
      <c r="I425" s="1003"/>
      <c r="J425" s="1003"/>
      <c r="K425" s="61" t="str">
        <f>'[6]PLANILHA ORÇAMENTÁRIA'!F114</f>
        <v>M2</v>
      </c>
      <c r="L425" s="62">
        <f>K429</f>
        <v>50.4</v>
      </c>
    </row>
    <row r="426" spans="2:12" hidden="1">
      <c r="B426" s="63"/>
      <c r="C426" s="1004" t="s">
        <v>20</v>
      </c>
      <c r="D426" s="1004"/>
      <c r="E426" s="1004"/>
      <c r="F426" s="64" t="s">
        <v>22</v>
      </c>
      <c r="G426" s="65" t="s">
        <v>111</v>
      </c>
      <c r="H426" s="64" t="s">
        <v>112</v>
      </c>
      <c r="I426" s="65" t="s">
        <v>154</v>
      </c>
      <c r="J426" s="65" t="s">
        <v>114</v>
      </c>
      <c r="K426" s="66" t="s">
        <v>25</v>
      </c>
      <c r="L426" s="67"/>
    </row>
    <row r="427" spans="2:12" hidden="1">
      <c r="B427" s="63"/>
      <c r="C427" s="1001" t="s">
        <v>172</v>
      </c>
      <c r="D427" s="1001"/>
      <c r="E427" s="1001"/>
      <c r="F427" s="68">
        <v>1</v>
      </c>
      <c r="G427" s="68">
        <v>2.4</v>
      </c>
      <c r="H427" s="68"/>
      <c r="I427" s="68">
        <v>12.6</v>
      </c>
      <c r="J427" s="68"/>
      <c r="K427" s="906">
        <f>TRUNC(((G427*I427)*F427)-J427,2)</f>
        <v>30.24</v>
      </c>
      <c r="L427" s="67"/>
    </row>
    <row r="428" spans="2:12" hidden="1">
      <c r="B428" s="63"/>
      <c r="C428" s="1001" t="s">
        <v>173</v>
      </c>
      <c r="D428" s="1001"/>
      <c r="E428" s="1001"/>
      <c r="F428" s="68">
        <v>1</v>
      </c>
      <c r="G428" s="68">
        <v>2.4</v>
      </c>
      <c r="H428" s="68"/>
      <c r="I428" s="68">
        <v>8.4</v>
      </c>
      <c r="J428" s="68"/>
      <c r="K428" s="906">
        <f>TRUNC(((G428*I428)*F428),2)</f>
        <v>20.16</v>
      </c>
      <c r="L428" s="67"/>
    </row>
    <row r="429" spans="2:12" hidden="1">
      <c r="C429" s="1002" t="s">
        <v>116</v>
      </c>
      <c r="D429" s="1002"/>
      <c r="E429" s="1002"/>
      <c r="F429" s="1002"/>
      <c r="G429" s="1002"/>
      <c r="H429" s="1002"/>
      <c r="I429" s="1002"/>
      <c r="J429" s="1002"/>
      <c r="K429" s="66">
        <f>SUM(K427:K428)</f>
        <v>50.4</v>
      </c>
    </row>
    <row r="430" spans="2:12" hidden="1"/>
    <row r="431" spans="2:12" hidden="1">
      <c r="B431" s="60" t="str">
        <f>'[6]PLANILHA ORÇAMENTÁRIA'!D115</f>
        <v>13.6</v>
      </c>
      <c r="C431" s="1003" t="str">
        <f>'[6]PLANILHA ORÇAMENTÁRIA'!E115</f>
        <v>APLICAÇÃO MANUAL DE PINTURA COM TINTA LÁTEX ACRÍLICA EM PAREDES, DUAS DEMÃOS. AF_06/2014</v>
      </c>
      <c r="D431" s="1003"/>
      <c r="E431" s="1003"/>
      <c r="F431" s="1003"/>
      <c r="G431" s="1003"/>
      <c r="H431" s="1003"/>
      <c r="I431" s="1003"/>
      <c r="J431" s="1003"/>
      <c r="K431" s="61" t="str">
        <f>'[6]PLANILHA ORÇAMENTÁRIA'!F115</f>
        <v>M2</v>
      </c>
      <c r="L431" s="62">
        <f>K435</f>
        <v>50.4</v>
      </c>
    </row>
    <row r="432" spans="2:12" hidden="1">
      <c r="B432" s="63"/>
      <c r="C432" s="1004" t="s">
        <v>20</v>
      </c>
      <c r="D432" s="1004"/>
      <c r="E432" s="1004"/>
      <c r="F432" s="64" t="s">
        <v>22</v>
      </c>
      <c r="G432" s="65" t="s">
        <v>111</v>
      </c>
      <c r="H432" s="64" t="s">
        <v>112</v>
      </c>
      <c r="I432" s="65" t="s">
        <v>154</v>
      </c>
      <c r="J432" s="65" t="s">
        <v>114</v>
      </c>
      <c r="K432" s="66" t="s">
        <v>25</v>
      </c>
      <c r="L432" s="67"/>
    </row>
    <row r="433" spans="2:12" hidden="1">
      <c r="B433" s="63"/>
      <c r="C433" s="1001" t="s">
        <v>172</v>
      </c>
      <c r="D433" s="1001"/>
      <c r="E433" s="1001"/>
      <c r="F433" s="68">
        <v>1</v>
      </c>
      <c r="G433" s="68">
        <v>2.4</v>
      </c>
      <c r="H433" s="68"/>
      <c r="I433" s="68">
        <v>12.6</v>
      </c>
      <c r="J433" s="68"/>
      <c r="K433" s="906">
        <f>TRUNC(((G433*I433)*F433)-J433,2)</f>
        <v>30.24</v>
      </c>
      <c r="L433" s="67"/>
    </row>
    <row r="434" spans="2:12" hidden="1">
      <c r="B434" s="63"/>
      <c r="C434" s="1001" t="s">
        <v>173</v>
      </c>
      <c r="D434" s="1001"/>
      <c r="E434" s="1001"/>
      <c r="F434" s="68">
        <v>1</v>
      </c>
      <c r="G434" s="68">
        <v>2.4</v>
      </c>
      <c r="H434" s="68"/>
      <c r="I434" s="68">
        <v>8.4</v>
      </c>
      <c r="J434" s="68"/>
      <c r="K434" s="906">
        <f>TRUNC(((G434*I434)*F434),2)</f>
        <v>20.16</v>
      </c>
      <c r="L434" s="67"/>
    </row>
    <row r="435" spans="2:12" hidden="1">
      <c r="C435" s="1002" t="s">
        <v>116</v>
      </c>
      <c r="D435" s="1002"/>
      <c r="E435" s="1002"/>
      <c r="F435" s="1002"/>
      <c r="G435" s="1002"/>
      <c r="H435" s="1002"/>
      <c r="I435" s="1002"/>
      <c r="J435" s="1002"/>
      <c r="K435" s="66">
        <f>SUM(K433:K434)</f>
        <v>50.4</v>
      </c>
    </row>
    <row r="436" spans="2:12" hidden="1"/>
    <row r="437" spans="2:12" hidden="1">
      <c r="B437" s="58" t="str">
        <f>'[6]PLANILHA ORÇAMENTÁRIA'!D116</f>
        <v>14.0</v>
      </c>
      <c r="C437" s="1000" t="str">
        <f>'[6]PLANILHA ORÇAMENTÁRIA'!E116</f>
        <v>APARELHOS DA ACADEMIA</v>
      </c>
      <c r="D437" s="1000"/>
      <c r="E437" s="1000"/>
      <c r="F437" s="1000"/>
      <c r="G437" s="1000"/>
      <c r="H437" s="1000"/>
      <c r="I437" s="1000"/>
      <c r="J437" s="1000"/>
      <c r="K437" s="59"/>
      <c r="L437" s="59"/>
    </row>
    <row r="438" spans="2:12" hidden="1">
      <c r="B438" s="58" t="str">
        <f>'[6]PLANILHA ORÇAMENTÁRIA'!D117</f>
        <v>14.1</v>
      </c>
      <c r="C438" s="1000" t="str">
        <f>'[6]PLANILHA ORÇAMENTÁRIA'!E117</f>
        <v>BARRA PARALELA</v>
      </c>
      <c r="D438" s="1000"/>
      <c r="E438" s="1000"/>
      <c r="F438" s="1000"/>
      <c r="G438" s="1000"/>
      <c r="H438" s="1000"/>
      <c r="I438" s="1000"/>
      <c r="J438" s="1000"/>
      <c r="K438" s="59"/>
      <c r="L438" s="59"/>
    </row>
    <row r="439" spans="2:12" ht="15" hidden="1" customHeight="1">
      <c r="B439" s="60" t="str">
        <f>'[6]PLANILHA ORÇAMENTÁRIA'!D118</f>
        <v>14.1.1</v>
      </c>
      <c r="C439" s="1003" t="str">
        <f>'[6]PLANILHA ORÇAMENTÁRIA'!E118</f>
        <v>ESCAVAÇÃO MANUAL DE VALA COM PROFUNDIDADE MENOR OU IGUAL A 1,30 M</v>
      </c>
      <c r="D439" s="1003"/>
      <c r="E439" s="1003"/>
      <c r="F439" s="1003"/>
      <c r="G439" s="1003"/>
      <c r="H439" s="1003"/>
      <c r="I439" s="1003"/>
      <c r="J439" s="1003"/>
      <c r="K439" s="61" t="str">
        <f>'[6]PLANILHA ORÇAMENTÁRIA'!F118</f>
        <v>M3</v>
      </c>
      <c r="L439" s="62">
        <f>K442</f>
        <v>9.9000000000000005E-2</v>
      </c>
    </row>
    <row r="440" spans="2:12" hidden="1">
      <c r="B440" s="63"/>
      <c r="C440" s="1004" t="s">
        <v>20</v>
      </c>
      <c r="D440" s="1004"/>
      <c r="E440" s="1004"/>
      <c r="F440" s="64" t="s">
        <v>22</v>
      </c>
      <c r="G440" s="65" t="s">
        <v>111</v>
      </c>
      <c r="H440" s="64" t="s">
        <v>112</v>
      </c>
      <c r="I440" s="65" t="s">
        <v>113</v>
      </c>
      <c r="J440" s="65" t="s">
        <v>114</v>
      </c>
      <c r="K440" s="66" t="s">
        <v>25</v>
      </c>
      <c r="L440" s="67"/>
    </row>
    <row r="441" spans="2:12" hidden="1">
      <c r="B441" s="63"/>
      <c r="C441" s="1001" t="s">
        <v>174</v>
      </c>
      <c r="D441" s="1001"/>
      <c r="E441" s="1001"/>
      <c r="F441" s="68">
        <v>8</v>
      </c>
      <c r="G441" s="68">
        <v>0.55000000000000004</v>
      </c>
      <c r="H441" s="68">
        <v>0.15</v>
      </c>
      <c r="I441" s="68">
        <v>0.15</v>
      </c>
      <c r="J441" s="68"/>
      <c r="K441" s="69">
        <f>PRODUCT(F441:I441)</f>
        <v>9.9000000000000005E-2</v>
      </c>
      <c r="L441" s="67"/>
    </row>
    <row r="442" spans="2:12" hidden="1">
      <c r="B442" s="63"/>
      <c r="C442" s="1002" t="s">
        <v>116</v>
      </c>
      <c r="D442" s="1002"/>
      <c r="E442" s="1002"/>
      <c r="F442" s="1002"/>
      <c r="G442" s="1002"/>
      <c r="H442" s="1002"/>
      <c r="I442" s="1002"/>
      <c r="J442" s="1002"/>
      <c r="K442" s="70">
        <f>SUM(K441:K441)</f>
        <v>9.9000000000000005E-2</v>
      </c>
      <c r="L442" s="67"/>
    </row>
    <row r="443" spans="2:12" hidden="1">
      <c r="B443" s="63"/>
      <c r="C443" s="71"/>
      <c r="D443" s="71"/>
      <c r="E443" s="71"/>
      <c r="F443" s="71"/>
      <c r="G443" s="71"/>
      <c r="H443" s="71"/>
      <c r="I443" s="71"/>
      <c r="J443" s="71"/>
      <c r="K443" s="72"/>
      <c r="L443" s="67"/>
    </row>
    <row r="444" spans="2:12" ht="22.5" hidden="1" customHeight="1">
      <c r="B444" s="60" t="str">
        <f>'[6]PLANILHA ORÇAMENTÁRIA'!D119</f>
        <v>14.1.2</v>
      </c>
      <c r="C444" s="1003" t="str">
        <f>'[6]PLANILHA ORÇAMENTÁRIA'!E119</f>
        <v>LASTRO DE CONCRETO MAGRO, APLICADO EM PISOS OU RADIERS, ESPESSURA DE 5CM. AF_07_2016</v>
      </c>
      <c r="D444" s="1003"/>
      <c r="E444" s="1003"/>
      <c r="F444" s="1003"/>
      <c r="G444" s="1003"/>
      <c r="H444" s="1003"/>
      <c r="I444" s="1003"/>
      <c r="J444" s="1003"/>
      <c r="K444" s="61" t="str">
        <f>'[6]PLANILHA ORÇAMENTÁRIA'!F119</f>
        <v>M2</v>
      </c>
      <c r="L444" s="62">
        <f>K447</f>
        <v>0.18</v>
      </c>
    </row>
    <row r="445" spans="2:12" hidden="1">
      <c r="B445" s="63"/>
      <c r="C445" s="1004" t="s">
        <v>20</v>
      </c>
      <c r="D445" s="1004"/>
      <c r="E445" s="1004"/>
      <c r="F445" s="64" t="s">
        <v>22</v>
      </c>
      <c r="G445" s="65" t="s">
        <v>111</v>
      </c>
      <c r="H445" s="64" t="s">
        <v>112</v>
      </c>
      <c r="I445" s="65" t="s">
        <v>113</v>
      </c>
      <c r="J445" s="65" t="s">
        <v>114</v>
      </c>
      <c r="K445" s="66" t="s">
        <v>25</v>
      </c>
      <c r="L445" s="67"/>
    </row>
    <row r="446" spans="2:12" hidden="1">
      <c r="B446" s="63"/>
      <c r="C446" s="1001"/>
      <c r="D446" s="1001"/>
      <c r="E446" s="1001"/>
      <c r="F446" s="68">
        <v>8</v>
      </c>
      <c r="G446" s="68"/>
      <c r="H446" s="68">
        <v>0.15</v>
      </c>
      <c r="I446" s="68">
        <v>0.15</v>
      </c>
      <c r="J446" s="68"/>
      <c r="K446" s="69">
        <f>PRODUCT(F446:I446)</f>
        <v>0.18</v>
      </c>
      <c r="L446" s="67"/>
    </row>
    <row r="447" spans="2:12" hidden="1">
      <c r="B447" s="63"/>
      <c r="C447" s="1002" t="s">
        <v>116</v>
      </c>
      <c r="D447" s="1002"/>
      <c r="E447" s="1002"/>
      <c r="F447" s="1002"/>
      <c r="G447" s="1002"/>
      <c r="H447" s="1002"/>
      <c r="I447" s="1002"/>
      <c r="J447" s="1002"/>
      <c r="K447" s="70">
        <f>SUM(K446:K446)</f>
        <v>0.18</v>
      </c>
      <c r="L447" s="67"/>
    </row>
    <row r="448" spans="2:12" hidden="1">
      <c r="B448" s="63"/>
      <c r="C448" s="71"/>
      <c r="D448" s="71"/>
      <c r="E448" s="71"/>
      <c r="F448" s="71"/>
      <c r="G448" s="71"/>
      <c r="H448" s="71"/>
      <c r="I448" s="71"/>
      <c r="J448" s="71"/>
      <c r="K448" s="72"/>
      <c r="L448" s="67"/>
    </row>
    <row r="449" spans="2:12" ht="24" hidden="1" customHeight="1">
      <c r="B449" s="60" t="str">
        <f>'[6]PLANILHA ORÇAMENTÁRIA'!D120</f>
        <v>14.1.3</v>
      </c>
      <c r="C449" s="1003" t="str">
        <f>'[6]PLANILHA ORÇAMENTÁRIA'!E120</f>
        <v>CONCRETAGEM DE BLOCOS DE COROAMENTO E VIGAS BALDRAMES, FCK 30 MPA, COM USO DE BOMBA LANÇAMENTO, ADENSAMENTO E ACABAMENTO. AF_06/2017</v>
      </c>
      <c r="D449" s="1003"/>
      <c r="E449" s="1003"/>
      <c r="F449" s="1003"/>
      <c r="G449" s="1003"/>
      <c r="H449" s="1003"/>
      <c r="I449" s="1003"/>
      <c r="J449" s="1003"/>
      <c r="K449" s="61" t="str">
        <f>'[6]PLANILHA ORÇAMENTÁRIA'!F120</f>
        <v>M3</v>
      </c>
      <c r="L449" s="62">
        <f>K452</f>
        <v>7.0000000000000007E-2</v>
      </c>
    </row>
    <row r="450" spans="2:12" hidden="1">
      <c r="B450" s="63"/>
      <c r="C450" s="1004" t="s">
        <v>20</v>
      </c>
      <c r="D450" s="1004"/>
      <c r="E450" s="1004"/>
      <c r="F450" s="64" t="s">
        <v>22</v>
      </c>
      <c r="G450" s="65" t="s">
        <v>111</v>
      </c>
      <c r="H450" s="64" t="s">
        <v>112</v>
      </c>
      <c r="I450" s="65" t="s">
        <v>113</v>
      </c>
      <c r="J450" s="65" t="s">
        <v>114</v>
      </c>
      <c r="K450" s="66" t="s">
        <v>25</v>
      </c>
      <c r="L450" s="67"/>
    </row>
    <row r="451" spans="2:12" hidden="1">
      <c r="B451" s="63"/>
      <c r="C451" s="1001" t="s">
        <v>175</v>
      </c>
      <c r="D451" s="1001"/>
      <c r="E451" s="1001"/>
      <c r="F451" s="68">
        <v>8</v>
      </c>
      <c r="G451" s="68">
        <v>0.4</v>
      </c>
      <c r="H451" s="68">
        <v>0.15</v>
      </c>
      <c r="I451" s="68">
        <v>0.15</v>
      </c>
      <c r="J451" s="68"/>
      <c r="K451" s="906">
        <f>TRUNC(G451*H451*F451*I451,2)</f>
        <v>7.0000000000000007E-2</v>
      </c>
      <c r="L451" s="67"/>
    </row>
    <row r="452" spans="2:12" hidden="1">
      <c r="B452" s="63"/>
      <c r="C452" s="1002" t="s">
        <v>116</v>
      </c>
      <c r="D452" s="1002"/>
      <c r="E452" s="1002"/>
      <c r="F452" s="1002"/>
      <c r="G452" s="1002"/>
      <c r="H452" s="1002"/>
      <c r="I452" s="1002"/>
      <c r="J452" s="1002"/>
      <c r="K452" s="66">
        <f>SUM(K451:K451)</f>
        <v>7.0000000000000007E-2</v>
      </c>
      <c r="L452" s="67"/>
    </row>
    <row r="453" spans="2:12" hidden="1"/>
    <row r="454" spans="2:12" ht="15" hidden="1" customHeight="1">
      <c r="B454" s="60" t="str">
        <f>'[6]PLANILHA ORÇAMENTÁRIA'!D121</f>
        <v>14.1.4</v>
      </c>
      <c r="C454" s="1003" t="str">
        <f>'[6]PLANILHA ORÇAMENTÁRIA'!E121</f>
        <v>TUBO DE AÇO GALVANIZADO COM COSTURA 2" - FORNECIMENTO E INSTALACAO.</v>
      </c>
      <c r="D454" s="1003"/>
      <c r="E454" s="1003"/>
      <c r="F454" s="1003"/>
      <c r="G454" s="1003"/>
      <c r="H454" s="1003"/>
      <c r="I454" s="1003"/>
      <c r="J454" s="1003"/>
      <c r="K454" s="61" t="str">
        <f>'[6]PLANILHA ORÇAMENTÁRIA'!F121</f>
        <v>M</v>
      </c>
      <c r="L454" s="62">
        <f>K458</f>
        <v>21.2</v>
      </c>
    </row>
    <row r="455" spans="2:12" hidden="1">
      <c r="B455" s="63"/>
      <c r="C455" s="1004" t="s">
        <v>20</v>
      </c>
      <c r="D455" s="1004"/>
      <c r="E455" s="1004"/>
      <c r="F455" s="64" t="s">
        <v>22</v>
      </c>
      <c r="G455" s="65" t="s">
        <v>111</v>
      </c>
      <c r="H455" s="64" t="s">
        <v>112</v>
      </c>
      <c r="I455" s="65" t="s">
        <v>113</v>
      </c>
      <c r="J455" s="65" t="s">
        <v>114</v>
      </c>
      <c r="K455" s="66" t="s">
        <v>25</v>
      </c>
      <c r="L455" s="67"/>
    </row>
    <row r="456" spans="2:12" hidden="1">
      <c r="B456" s="63"/>
      <c r="C456" s="1001" t="s">
        <v>176</v>
      </c>
      <c r="D456" s="1001"/>
      <c r="E456" s="1001"/>
      <c r="F456" s="68">
        <v>8</v>
      </c>
      <c r="G456" s="68"/>
      <c r="H456" s="68"/>
      <c r="I456" s="68">
        <v>1.65</v>
      </c>
      <c r="J456" s="68"/>
      <c r="K456" s="906">
        <f>F456*I456</f>
        <v>13.2</v>
      </c>
      <c r="L456" s="67"/>
    </row>
    <row r="457" spans="2:12" hidden="1">
      <c r="B457" s="63"/>
      <c r="C457" s="1005" t="s">
        <v>177</v>
      </c>
      <c r="D457" s="1006"/>
      <c r="E457" s="1007"/>
      <c r="F457" s="68">
        <v>4</v>
      </c>
      <c r="G457" s="68"/>
      <c r="H457" s="68"/>
      <c r="I457" s="68">
        <v>2</v>
      </c>
      <c r="J457" s="68"/>
      <c r="K457" s="906">
        <f>F457*I457</f>
        <v>8</v>
      </c>
      <c r="L457" s="67"/>
    </row>
    <row r="458" spans="2:12" hidden="1">
      <c r="B458" s="63"/>
      <c r="C458" s="1002" t="s">
        <v>116</v>
      </c>
      <c r="D458" s="1002"/>
      <c r="E458" s="1002"/>
      <c r="F458" s="1002"/>
      <c r="G458" s="1002"/>
      <c r="H458" s="1002"/>
      <c r="I458" s="1002"/>
      <c r="J458" s="1002"/>
      <c r="K458" s="66">
        <f>SUM(K456:K457)</f>
        <v>21.2</v>
      </c>
      <c r="L458" s="67"/>
    </row>
    <row r="459" spans="2:12" hidden="1">
      <c r="B459" s="63"/>
      <c r="C459" s="71"/>
      <c r="D459" s="71"/>
      <c r="E459" s="71"/>
      <c r="F459" s="71"/>
      <c r="G459" s="71"/>
      <c r="H459" s="71"/>
      <c r="I459" s="71"/>
      <c r="J459" s="71"/>
      <c r="K459" s="73"/>
      <c r="L459" s="67"/>
    </row>
    <row r="460" spans="2:12" ht="15" hidden="1" customHeight="1">
      <c r="B460" s="60" t="str">
        <f>'[6]PLANILHA ORÇAMENTÁRIA'!D122</f>
        <v>14.1.5</v>
      </c>
      <c r="C460" s="1003" t="str">
        <f>'[6]PLANILHA ORÇAMENTÁRIA'!E122</f>
        <v>PINTURA ESMALTE ALTO BRILHO, DUAS DEMAOS, SOBRE SUPERFICIE METALICA</v>
      </c>
      <c r="D460" s="1003"/>
      <c r="E460" s="1003"/>
      <c r="F460" s="1003"/>
      <c r="G460" s="1003"/>
      <c r="H460" s="1003"/>
      <c r="I460" s="1003"/>
      <c r="J460" s="1003"/>
      <c r="K460" s="61" t="str">
        <f>'[6]PLANILHA ORÇAMENTÁRIA'!F122</f>
        <v>M2</v>
      </c>
      <c r="L460" s="62">
        <f>K465</f>
        <v>2.76</v>
      </c>
    </row>
    <row r="461" spans="2:12" hidden="1">
      <c r="B461" s="63"/>
      <c r="C461" s="1004" t="s">
        <v>20</v>
      </c>
      <c r="D461" s="1004"/>
      <c r="E461" s="1004"/>
      <c r="F461" s="64" t="s">
        <v>22</v>
      </c>
      <c r="G461" s="65" t="s">
        <v>111</v>
      </c>
      <c r="H461" s="64" t="s">
        <v>178</v>
      </c>
      <c r="I461" s="65" t="s">
        <v>113</v>
      </c>
      <c r="J461" s="65" t="s">
        <v>114</v>
      </c>
      <c r="K461" s="66" t="s">
        <v>25</v>
      </c>
      <c r="L461" s="67"/>
    </row>
    <row r="462" spans="2:12" hidden="1">
      <c r="B462" s="63"/>
      <c r="C462" s="1001" t="s">
        <v>176</v>
      </c>
      <c r="D462" s="1001"/>
      <c r="E462" s="1001"/>
      <c r="F462" s="68">
        <v>8</v>
      </c>
      <c r="G462" s="68"/>
      <c r="H462" s="75">
        <v>2.5000000000000001E-2</v>
      </c>
      <c r="I462" s="68">
        <v>1.2</v>
      </c>
      <c r="J462" s="68"/>
      <c r="K462" s="906">
        <f>TRUNC((2*3.14*H462*I462)*F462,2)</f>
        <v>1.5</v>
      </c>
      <c r="L462" s="67"/>
    </row>
    <row r="463" spans="2:12" hidden="1">
      <c r="B463" s="63"/>
      <c r="C463" s="1005" t="s">
        <v>177</v>
      </c>
      <c r="D463" s="1006"/>
      <c r="E463" s="1007"/>
      <c r="F463" s="68">
        <v>4</v>
      </c>
      <c r="G463" s="68"/>
      <c r="H463" s="75">
        <v>2.5000000000000001E-2</v>
      </c>
      <c r="I463" s="68">
        <v>2</v>
      </c>
      <c r="J463" s="68"/>
      <c r="K463" s="906">
        <f>TRUNC((2*3.14*H463*I463)*F463,2)</f>
        <v>1.25</v>
      </c>
      <c r="L463" s="67"/>
    </row>
    <row r="464" spans="2:12" hidden="1">
      <c r="B464" s="63"/>
      <c r="C464" s="1005" t="s">
        <v>179</v>
      </c>
      <c r="D464" s="1006"/>
      <c r="E464" s="1007"/>
      <c r="F464" s="68">
        <v>8</v>
      </c>
      <c r="G464" s="68"/>
      <c r="H464" s="75">
        <v>2.5000000000000001E-2</v>
      </c>
      <c r="I464" s="68"/>
      <c r="J464" s="68"/>
      <c r="K464" s="906">
        <f>TRUNC((3.14*H464^2)*F464,2)</f>
        <v>0.01</v>
      </c>
      <c r="L464" s="67"/>
    </row>
    <row r="465" spans="2:12" hidden="1">
      <c r="B465" s="63"/>
      <c r="C465" s="1002" t="s">
        <v>116</v>
      </c>
      <c r="D465" s="1002"/>
      <c r="E465" s="1002"/>
      <c r="F465" s="1002"/>
      <c r="G465" s="1002"/>
      <c r="H465" s="1002"/>
      <c r="I465" s="1002"/>
      <c r="J465" s="1002"/>
      <c r="K465" s="66">
        <f>SUM(K462:K464)</f>
        <v>2.76</v>
      </c>
      <c r="L465" s="67"/>
    </row>
    <row r="466" spans="2:12" hidden="1">
      <c r="B466" s="63"/>
      <c r="C466" s="71"/>
      <c r="D466" s="71"/>
      <c r="E466" s="71"/>
      <c r="F466" s="71"/>
      <c r="G466" s="71"/>
      <c r="H466" s="71"/>
      <c r="I466" s="71"/>
      <c r="J466" s="71"/>
      <c r="K466" s="73"/>
      <c r="L466" s="67"/>
    </row>
    <row r="467" spans="2:12" hidden="1">
      <c r="B467" s="58" t="str">
        <f>'[6]PLANILHA ORÇAMENTÁRIA'!D123</f>
        <v>14.2</v>
      </c>
      <c r="C467" s="1000" t="str">
        <f>'[6]PLANILHA ORÇAMENTÁRIA'!E123</f>
        <v>BARRAS MARINHEIRO</v>
      </c>
      <c r="D467" s="1000"/>
      <c r="E467" s="1000"/>
      <c r="F467" s="1000"/>
      <c r="G467" s="1000"/>
      <c r="H467" s="1000"/>
      <c r="I467" s="1000"/>
      <c r="J467" s="1000"/>
      <c r="K467" s="59"/>
      <c r="L467" s="59"/>
    </row>
    <row r="468" spans="2:12" ht="15" hidden="1" customHeight="1">
      <c r="B468" s="60" t="str">
        <f>'[6]PLANILHA ORÇAMENTÁRIA'!D124</f>
        <v>14.2.1</v>
      </c>
      <c r="C468" s="1003" t="str">
        <f>'[6]PLANILHA ORÇAMENTÁRIA'!E124</f>
        <v>ESCAVAÇÃO MANUAL DE VALA COM PROFUNDIDADE MENOR OU IGUAL A 1,30 M</v>
      </c>
      <c r="D468" s="1003"/>
      <c r="E468" s="1003"/>
      <c r="F468" s="1003"/>
      <c r="G468" s="1003"/>
      <c r="H468" s="1003"/>
      <c r="I468" s="1003"/>
      <c r="J468" s="1003"/>
      <c r="K468" s="61" t="str">
        <f>'[6]PLANILHA ORÇAMENTÁRIA'!F124</f>
        <v>M3</v>
      </c>
      <c r="L468" s="62">
        <f>K471</f>
        <v>0.14849999999999999</v>
      </c>
    </row>
    <row r="469" spans="2:12" hidden="1">
      <c r="B469" s="63"/>
      <c r="C469" s="1004" t="s">
        <v>20</v>
      </c>
      <c r="D469" s="1004"/>
      <c r="E469" s="1004"/>
      <c r="F469" s="64" t="s">
        <v>22</v>
      </c>
      <c r="G469" s="65" t="s">
        <v>111</v>
      </c>
      <c r="H469" s="64" t="s">
        <v>112</v>
      </c>
      <c r="I469" s="65" t="s">
        <v>113</v>
      </c>
      <c r="J469" s="65" t="s">
        <v>114</v>
      </c>
      <c r="K469" s="66" t="s">
        <v>25</v>
      </c>
      <c r="L469" s="67"/>
    </row>
    <row r="470" spans="2:12" hidden="1">
      <c r="B470" s="63"/>
      <c r="C470" s="1001" t="s">
        <v>174</v>
      </c>
      <c r="D470" s="1001"/>
      <c r="E470" s="1001"/>
      <c r="F470" s="68">
        <v>12</v>
      </c>
      <c r="G470" s="68">
        <v>0.55000000000000004</v>
      </c>
      <c r="H470" s="68">
        <v>0.15</v>
      </c>
      <c r="I470" s="68">
        <v>0.15</v>
      </c>
      <c r="J470" s="68"/>
      <c r="K470" s="69">
        <f>PRODUCT(F470:I470)</f>
        <v>0.14849999999999999</v>
      </c>
      <c r="L470" s="67"/>
    </row>
    <row r="471" spans="2:12" hidden="1">
      <c r="B471" s="63"/>
      <c r="C471" s="1002" t="s">
        <v>116</v>
      </c>
      <c r="D471" s="1002"/>
      <c r="E471" s="1002"/>
      <c r="F471" s="1002"/>
      <c r="G471" s="1002"/>
      <c r="H471" s="1002"/>
      <c r="I471" s="1002"/>
      <c r="J471" s="1002"/>
      <c r="K471" s="70">
        <f>SUM(K470:K470)</f>
        <v>0.14849999999999999</v>
      </c>
      <c r="L471" s="67"/>
    </row>
    <row r="472" spans="2:12" hidden="1">
      <c r="B472" s="63"/>
      <c r="C472" s="71"/>
      <c r="D472" s="71"/>
      <c r="E472" s="71"/>
      <c r="F472" s="71"/>
      <c r="G472" s="71"/>
      <c r="H472" s="71"/>
      <c r="I472" s="71"/>
      <c r="J472" s="71"/>
      <c r="K472" s="72"/>
      <c r="L472" s="67"/>
    </row>
    <row r="473" spans="2:12" ht="15" hidden="1" customHeight="1">
      <c r="B473" s="60" t="str">
        <f>'[6]PLANILHA ORÇAMENTÁRIA'!D125</f>
        <v>14.2.2</v>
      </c>
      <c r="C473" s="1003" t="str">
        <f>'[6]PLANILHA ORÇAMENTÁRIA'!E125</f>
        <v>LASTRO DE CONCRETO MAGRO, APLICADO EM PISOS OU RADIERS, ESPESSURA DE 5CM. AF_07_2016</v>
      </c>
      <c r="D473" s="1003"/>
      <c r="E473" s="1003"/>
      <c r="F473" s="1003"/>
      <c r="G473" s="1003"/>
      <c r="H473" s="1003"/>
      <c r="I473" s="1003"/>
      <c r="J473" s="1003"/>
      <c r="K473" s="61" t="str">
        <f>'[6]PLANILHA ORÇAMENTÁRIA'!F125</f>
        <v>M2</v>
      </c>
      <c r="L473" s="62">
        <f>K476</f>
        <v>0.26999999999999996</v>
      </c>
    </row>
    <row r="474" spans="2:12" hidden="1">
      <c r="B474" s="63"/>
      <c r="C474" s="1004" t="s">
        <v>20</v>
      </c>
      <c r="D474" s="1004"/>
      <c r="E474" s="1004"/>
      <c r="F474" s="64" t="s">
        <v>22</v>
      </c>
      <c r="G474" s="65" t="s">
        <v>111</v>
      </c>
      <c r="H474" s="64" t="s">
        <v>112</v>
      </c>
      <c r="I474" s="65" t="s">
        <v>113</v>
      </c>
      <c r="J474" s="65" t="s">
        <v>114</v>
      </c>
      <c r="K474" s="66" t="s">
        <v>25</v>
      </c>
      <c r="L474" s="67"/>
    </row>
    <row r="475" spans="2:12" hidden="1">
      <c r="B475" s="63"/>
      <c r="C475" s="1001"/>
      <c r="D475" s="1001"/>
      <c r="E475" s="1001"/>
      <c r="F475" s="68">
        <v>12</v>
      </c>
      <c r="G475" s="68"/>
      <c r="H475" s="68">
        <v>0.15</v>
      </c>
      <c r="I475" s="68">
        <v>0.15</v>
      </c>
      <c r="J475" s="68"/>
      <c r="K475" s="69">
        <f>PRODUCT(F475:I475)</f>
        <v>0.26999999999999996</v>
      </c>
      <c r="L475" s="67"/>
    </row>
    <row r="476" spans="2:12" hidden="1">
      <c r="B476" s="63"/>
      <c r="C476" s="1002" t="s">
        <v>116</v>
      </c>
      <c r="D476" s="1002"/>
      <c r="E476" s="1002"/>
      <c r="F476" s="1002"/>
      <c r="G476" s="1002"/>
      <c r="H476" s="1002"/>
      <c r="I476" s="1002"/>
      <c r="J476" s="1002"/>
      <c r="K476" s="70">
        <f>SUM(K475:K475)</f>
        <v>0.26999999999999996</v>
      </c>
      <c r="L476" s="67"/>
    </row>
    <row r="477" spans="2:12" hidden="1">
      <c r="B477" s="63"/>
      <c r="C477" s="71"/>
      <c r="D477" s="71"/>
      <c r="E477" s="71"/>
      <c r="F477" s="71"/>
      <c r="G477" s="71"/>
      <c r="H477" s="71"/>
      <c r="I477" s="71"/>
      <c r="J477" s="71"/>
      <c r="K477" s="72"/>
      <c r="L477" s="67"/>
    </row>
    <row r="478" spans="2:12" ht="22.5" hidden="1" customHeight="1">
      <c r="B478" s="60" t="str">
        <f>'[6]PLANILHA ORÇAMENTÁRIA'!D126</f>
        <v>14.2.3</v>
      </c>
      <c r="C478" s="1003" t="str">
        <f>'[6]PLANILHA ORÇAMENTÁRIA'!E126</f>
        <v>CONCRETAGEM DE BLOCOS DE COROAMENTO E VIGAS BALDRAMES, FCK 30 MPA, COM USO DE BOMBA LANÇAMENTO, ADENSAMENTO E ACABAMENTO. AF_06/2017</v>
      </c>
      <c r="D478" s="1003"/>
      <c r="E478" s="1003"/>
      <c r="F478" s="1003"/>
      <c r="G478" s="1003"/>
      <c r="H478" s="1003"/>
      <c r="I478" s="1003"/>
      <c r="J478" s="1003"/>
      <c r="K478" s="61" t="str">
        <f>'[6]PLANILHA ORÇAMENTÁRIA'!F126</f>
        <v>M3</v>
      </c>
      <c r="L478" s="62">
        <f>K481</f>
        <v>0.1</v>
      </c>
    </row>
    <row r="479" spans="2:12" hidden="1">
      <c r="B479" s="63"/>
      <c r="C479" s="1004" t="s">
        <v>20</v>
      </c>
      <c r="D479" s="1004"/>
      <c r="E479" s="1004"/>
      <c r="F479" s="64" t="s">
        <v>22</v>
      </c>
      <c r="G479" s="65" t="s">
        <v>111</v>
      </c>
      <c r="H479" s="64" t="s">
        <v>112</v>
      </c>
      <c r="I479" s="65" t="s">
        <v>113</v>
      </c>
      <c r="J479" s="65" t="s">
        <v>114</v>
      </c>
      <c r="K479" s="66" t="s">
        <v>25</v>
      </c>
      <c r="L479" s="67"/>
    </row>
    <row r="480" spans="2:12" hidden="1">
      <c r="B480" s="63"/>
      <c r="C480" s="1001" t="s">
        <v>175</v>
      </c>
      <c r="D480" s="1001"/>
      <c r="E480" s="1001"/>
      <c r="F480" s="68">
        <v>12</v>
      </c>
      <c r="G480" s="68">
        <v>0.4</v>
      </c>
      <c r="H480" s="68">
        <v>0.15</v>
      </c>
      <c r="I480" s="68">
        <v>0.15</v>
      </c>
      <c r="J480" s="68"/>
      <c r="K480" s="906">
        <f>TRUNC(G480*H480*F480*I480,2)</f>
        <v>0.1</v>
      </c>
      <c r="L480" s="67"/>
    </row>
    <row r="481" spans="2:12" hidden="1">
      <c r="B481" s="63"/>
      <c r="C481" s="1002" t="s">
        <v>116</v>
      </c>
      <c r="D481" s="1002"/>
      <c r="E481" s="1002"/>
      <c r="F481" s="1002"/>
      <c r="G481" s="1002"/>
      <c r="H481" s="1002"/>
      <c r="I481" s="1002"/>
      <c r="J481" s="1002"/>
      <c r="K481" s="66">
        <f>SUM(K480:K480)</f>
        <v>0.1</v>
      </c>
      <c r="L481" s="67"/>
    </row>
    <row r="482" spans="2:12" hidden="1"/>
    <row r="483" spans="2:12" ht="15" hidden="1" customHeight="1">
      <c r="B483" s="60" t="str">
        <f>'[6]PLANILHA ORÇAMENTÁRIA'!D127</f>
        <v>14.2.4</v>
      </c>
      <c r="C483" s="1003" t="str">
        <f>'[6]PLANILHA ORÇAMENTÁRIA'!E127</f>
        <v>TUBO DE AÇO GALVANIZADO COM COSTURA 2" - FORNECIMENTO E INSTALACAO. - M</v>
      </c>
      <c r="D483" s="1003"/>
      <c r="E483" s="1003"/>
      <c r="F483" s="1003"/>
      <c r="G483" s="1003"/>
      <c r="H483" s="1003"/>
      <c r="I483" s="1003"/>
      <c r="J483" s="1003"/>
      <c r="K483" s="61" t="str">
        <f>'[6]PLANILHA ORÇAMENTÁRIA'!F127</f>
        <v>M</v>
      </c>
      <c r="L483" s="62">
        <f>K488</f>
        <v>19.100000000000001</v>
      </c>
    </row>
    <row r="484" spans="2:12" hidden="1">
      <c r="B484" s="63"/>
      <c r="C484" s="1004" t="s">
        <v>20</v>
      </c>
      <c r="D484" s="1004"/>
      <c r="E484" s="1004"/>
      <c r="F484" s="64" t="s">
        <v>22</v>
      </c>
      <c r="G484" s="65" t="s">
        <v>111</v>
      </c>
      <c r="H484" s="64" t="s">
        <v>112</v>
      </c>
      <c r="I484" s="65" t="s">
        <v>113</v>
      </c>
      <c r="J484" s="65" t="s">
        <v>114</v>
      </c>
      <c r="K484" s="66" t="s">
        <v>25</v>
      </c>
      <c r="L484" s="67"/>
    </row>
    <row r="485" spans="2:12" hidden="1">
      <c r="B485" s="63"/>
      <c r="C485" s="1001" t="s">
        <v>180</v>
      </c>
      <c r="D485" s="1001"/>
      <c r="E485" s="1001"/>
      <c r="F485" s="68">
        <v>2</v>
      </c>
      <c r="G485" s="68"/>
      <c r="H485" s="68"/>
      <c r="I485" s="68">
        <v>3.56</v>
      </c>
      <c r="J485" s="68"/>
      <c r="K485" s="906">
        <f>F485*I485</f>
        <v>7.12</v>
      </c>
      <c r="L485" s="67"/>
    </row>
    <row r="486" spans="2:12" hidden="1">
      <c r="B486" s="63"/>
      <c r="C486" s="1005" t="s">
        <v>181</v>
      </c>
      <c r="D486" s="1006"/>
      <c r="E486" s="1007"/>
      <c r="F486" s="68">
        <v>2</v>
      </c>
      <c r="G486" s="68"/>
      <c r="H486" s="68"/>
      <c r="I486" s="68">
        <v>3.16</v>
      </c>
      <c r="J486" s="68"/>
      <c r="K486" s="906">
        <f>F486*I486</f>
        <v>6.32</v>
      </c>
      <c r="L486" s="67"/>
    </row>
    <row r="487" spans="2:12" hidden="1">
      <c r="B487" s="63"/>
      <c r="C487" s="1005" t="s">
        <v>182</v>
      </c>
      <c r="D487" s="1006"/>
      <c r="E487" s="1007"/>
      <c r="F487" s="68">
        <v>2</v>
      </c>
      <c r="G487" s="68"/>
      <c r="H487" s="68"/>
      <c r="I487" s="68">
        <v>2.83</v>
      </c>
      <c r="J487" s="68"/>
      <c r="K487" s="906">
        <f>F487*I487</f>
        <v>5.66</v>
      </c>
      <c r="L487" s="67"/>
    </row>
    <row r="488" spans="2:12" hidden="1">
      <c r="B488" s="63"/>
      <c r="C488" s="1002" t="s">
        <v>116</v>
      </c>
      <c r="D488" s="1002"/>
      <c r="E488" s="1002"/>
      <c r="F488" s="1002"/>
      <c r="G488" s="1002"/>
      <c r="H488" s="1002"/>
      <c r="I488" s="1002"/>
      <c r="J488" s="1002"/>
      <c r="K488" s="66">
        <f>SUM(K485:K487)</f>
        <v>19.100000000000001</v>
      </c>
      <c r="L488" s="67"/>
    </row>
    <row r="489" spans="2:12" hidden="1">
      <c r="B489" s="63"/>
      <c r="C489" s="71"/>
      <c r="D489" s="71"/>
      <c r="E489" s="71"/>
      <c r="F489" s="71"/>
      <c r="G489" s="71"/>
      <c r="H489" s="71"/>
      <c r="I489" s="71"/>
      <c r="J489" s="71"/>
      <c r="K489" s="73"/>
      <c r="L489" s="67"/>
    </row>
    <row r="490" spans="2:12" ht="15" hidden="1" customHeight="1">
      <c r="B490" s="60" t="str">
        <f>'[6]PLANILHA ORÇAMENTÁRIA'!D128</f>
        <v>14.2.5</v>
      </c>
      <c r="C490" s="1003" t="str">
        <f>'[6]PLANILHA ORÇAMENTÁRIA'!E128</f>
        <v>PINTURA ESMALTE ALTO BRILHO, DUAS DEMAOS, SOBRE SUPERFICIE METALICA</v>
      </c>
      <c r="D490" s="1003"/>
      <c r="E490" s="1003"/>
      <c r="F490" s="1003"/>
      <c r="G490" s="1003"/>
      <c r="H490" s="1003"/>
      <c r="I490" s="1003"/>
      <c r="J490" s="1003"/>
      <c r="K490" s="61" t="str">
        <f>'[6]PLANILHA ORÇAMENTÁRIA'!F128</f>
        <v>M2</v>
      </c>
      <c r="L490" s="62">
        <f>K495</f>
        <v>2.13</v>
      </c>
    </row>
    <row r="491" spans="2:12" hidden="1">
      <c r="B491" s="63"/>
      <c r="C491" s="1004" t="s">
        <v>20</v>
      </c>
      <c r="D491" s="1004"/>
      <c r="E491" s="1004"/>
      <c r="F491" s="64" t="s">
        <v>22</v>
      </c>
      <c r="G491" s="65" t="s">
        <v>111</v>
      </c>
      <c r="H491" s="64" t="s">
        <v>178</v>
      </c>
      <c r="I491" s="65" t="s">
        <v>113</v>
      </c>
      <c r="J491" s="65" t="s">
        <v>114</v>
      </c>
      <c r="K491" s="66" t="s">
        <v>25</v>
      </c>
      <c r="L491" s="67"/>
    </row>
    <row r="492" spans="2:12" hidden="1">
      <c r="B492" s="63"/>
      <c r="C492" s="1001" t="s">
        <v>180</v>
      </c>
      <c r="D492" s="1001"/>
      <c r="E492" s="1001"/>
      <c r="F492" s="68">
        <v>2</v>
      </c>
      <c r="G492" s="68"/>
      <c r="H492" s="75">
        <v>2.5000000000000001E-2</v>
      </c>
      <c r="I492" s="68">
        <f>I485-0.9</f>
        <v>2.66</v>
      </c>
      <c r="J492" s="68"/>
      <c r="K492" s="906">
        <f>TRUNC((2*3.14*H492*I492)*F492,2)</f>
        <v>0.83</v>
      </c>
      <c r="L492" s="67"/>
    </row>
    <row r="493" spans="2:12" hidden="1">
      <c r="B493" s="63"/>
      <c r="C493" s="1005" t="s">
        <v>181</v>
      </c>
      <c r="D493" s="1006"/>
      <c r="E493" s="1007"/>
      <c r="F493" s="68">
        <v>2</v>
      </c>
      <c r="G493" s="68"/>
      <c r="H493" s="75">
        <v>2.5000000000000001E-2</v>
      </c>
      <c r="I493" s="68">
        <f>I486-0.9</f>
        <v>2.2600000000000002</v>
      </c>
      <c r="J493" s="68"/>
      <c r="K493" s="906">
        <f>TRUNC((2*3.14*H493*I493)*F493,2)</f>
        <v>0.7</v>
      </c>
      <c r="L493" s="67"/>
    </row>
    <row r="494" spans="2:12" hidden="1">
      <c r="B494" s="63"/>
      <c r="C494" s="1005" t="s">
        <v>182</v>
      </c>
      <c r="D494" s="1006"/>
      <c r="E494" s="1007"/>
      <c r="F494" s="68">
        <v>2</v>
      </c>
      <c r="G494" s="68"/>
      <c r="H494" s="75">
        <v>2.5000000000000001E-2</v>
      </c>
      <c r="I494" s="68">
        <f>I487-0.9</f>
        <v>1.9300000000000002</v>
      </c>
      <c r="J494" s="68"/>
      <c r="K494" s="906">
        <f>TRUNC((2*3.14*H494*I494)*F494,2)</f>
        <v>0.6</v>
      </c>
      <c r="L494" s="67"/>
    </row>
    <row r="495" spans="2:12" hidden="1">
      <c r="B495" s="63"/>
      <c r="C495" s="1002" t="s">
        <v>116</v>
      </c>
      <c r="D495" s="1002"/>
      <c r="E495" s="1002"/>
      <c r="F495" s="1002"/>
      <c r="G495" s="1002"/>
      <c r="H495" s="1002"/>
      <c r="I495" s="1002"/>
      <c r="J495" s="1002"/>
      <c r="K495" s="66">
        <f>SUM(K492:K494)</f>
        <v>2.13</v>
      </c>
      <c r="L495" s="67"/>
    </row>
    <row r="496" spans="2:12" hidden="1"/>
    <row r="497" spans="2:12" hidden="1">
      <c r="B497" s="58" t="str">
        <f>'[6]PLANILHA ORÇAMENTÁRIA'!D129</f>
        <v>14.3</v>
      </c>
      <c r="C497" s="1000" t="str">
        <f>'[6]PLANILHA ORÇAMENTÁRIA'!E129</f>
        <v>BARRA HORIZONTAL TRIPLA</v>
      </c>
      <c r="D497" s="1000"/>
      <c r="E497" s="1000"/>
      <c r="F497" s="1000"/>
      <c r="G497" s="1000"/>
      <c r="H497" s="1000"/>
      <c r="I497" s="1000"/>
      <c r="J497" s="1000"/>
      <c r="K497" s="59"/>
      <c r="L497" s="59"/>
    </row>
    <row r="498" spans="2:12" ht="15" hidden="1" customHeight="1">
      <c r="B498" s="60" t="str">
        <f>'[6]PLANILHA ORÇAMENTÁRIA'!D130</f>
        <v>14.3.1</v>
      </c>
      <c r="C498" s="1003" t="str">
        <f>'[6]PLANILHA ORÇAMENTÁRIA'!E130</f>
        <v>ESCAVAÇÃO MANUAL DE VALA COM PROFUNDIDADE MENOR OU IGUAL A 1,30 M</v>
      </c>
      <c r="D498" s="1003"/>
      <c r="E498" s="1003"/>
      <c r="F498" s="1003"/>
      <c r="G498" s="1003"/>
      <c r="H498" s="1003"/>
      <c r="I498" s="1003"/>
      <c r="J498" s="1003"/>
      <c r="K498" s="61" t="str">
        <f>'[6]PLANILHA ORÇAMENTÁRIA'!F130</f>
        <v>M3</v>
      </c>
      <c r="L498" s="62">
        <f>K503</f>
        <v>7.5374999999999998E-2</v>
      </c>
    </row>
    <row r="499" spans="2:12" hidden="1">
      <c r="B499" s="63"/>
      <c r="C499" s="1004" t="s">
        <v>20</v>
      </c>
      <c r="D499" s="1004"/>
      <c r="E499" s="1004"/>
      <c r="F499" s="64" t="s">
        <v>22</v>
      </c>
      <c r="G499" s="65" t="s">
        <v>111</v>
      </c>
      <c r="H499" s="64" t="s">
        <v>112</v>
      </c>
      <c r="I499" s="65" t="s">
        <v>113</v>
      </c>
      <c r="J499" s="65" t="s">
        <v>114</v>
      </c>
      <c r="K499" s="66" t="s">
        <v>25</v>
      </c>
      <c r="L499" s="67"/>
    </row>
    <row r="500" spans="2:12" hidden="1">
      <c r="B500" s="63"/>
      <c r="C500" s="1001" t="s">
        <v>183</v>
      </c>
      <c r="D500" s="1001"/>
      <c r="E500" s="1001"/>
      <c r="F500" s="68">
        <v>2</v>
      </c>
      <c r="G500" s="68">
        <v>0.9</v>
      </c>
      <c r="H500" s="68">
        <v>0.15</v>
      </c>
      <c r="I500" s="68">
        <v>0.15</v>
      </c>
      <c r="J500" s="68"/>
      <c r="K500" s="69">
        <f>PRODUCT(F500:I500)</f>
        <v>4.0500000000000001E-2</v>
      </c>
      <c r="L500" s="67"/>
    </row>
    <row r="501" spans="2:12" hidden="1">
      <c r="B501" s="63"/>
      <c r="C501" s="1001" t="s">
        <v>184</v>
      </c>
      <c r="D501" s="1001"/>
      <c r="E501" s="1001"/>
      <c r="F501" s="68">
        <v>1</v>
      </c>
      <c r="G501" s="68">
        <v>0.8</v>
      </c>
      <c r="H501" s="68">
        <v>0.15</v>
      </c>
      <c r="I501" s="68">
        <v>0.15</v>
      </c>
      <c r="J501" s="68"/>
      <c r="K501" s="69">
        <f>PRODUCT(F501:I501)</f>
        <v>1.7999999999999999E-2</v>
      </c>
      <c r="L501" s="67"/>
    </row>
    <row r="502" spans="2:12" hidden="1">
      <c r="B502" s="63"/>
      <c r="C502" s="1001" t="s">
        <v>185</v>
      </c>
      <c r="D502" s="1001"/>
      <c r="E502" s="1001"/>
      <c r="F502" s="68">
        <v>1</v>
      </c>
      <c r="G502" s="68">
        <v>0.75</v>
      </c>
      <c r="H502" s="68">
        <v>0.15</v>
      </c>
      <c r="I502" s="68">
        <v>0.15</v>
      </c>
      <c r="J502" s="68"/>
      <c r="K502" s="69">
        <f>PRODUCT(F502:I502)</f>
        <v>1.6874999999999998E-2</v>
      </c>
      <c r="L502" s="67"/>
    </row>
    <row r="503" spans="2:12" hidden="1">
      <c r="B503" s="63"/>
      <c r="C503" s="1002" t="s">
        <v>116</v>
      </c>
      <c r="D503" s="1002"/>
      <c r="E503" s="1002"/>
      <c r="F503" s="1002"/>
      <c r="G503" s="1002"/>
      <c r="H503" s="1002"/>
      <c r="I503" s="1002"/>
      <c r="J503" s="1002"/>
      <c r="K503" s="70">
        <f>SUM(K500:K502)</f>
        <v>7.5374999999999998E-2</v>
      </c>
      <c r="L503" s="67"/>
    </row>
    <row r="504" spans="2:12" hidden="1">
      <c r="B504" s="63"/>
      <c r="C504" s="71"/>
      <c r="D504" s="71"/>
      <c r="E504" s="71"/>
      <c r="F504" s="71"/>
      <c r="G504" s="71"/>
      <c r="H504" s="71"/>
      <c r="I504" s="71"/>
      <c r="J504" s="71"/>
      <c r="K504" s="72"/>
      <c r="L504" s="67"/>
    </row>
    <row r="505" spans="2:12" ht="15" hidden="1" customHeight="1">
      <c r="B505" s="60" t="str">
        <f>'[6]PLANILHA ORÇAMENTÁRIA'!D131</f>
        <v>14.3.2</v>
      </c>
      <c r="C505" s="1003" t="str">
        <f>'[6]PLANILHA ORÇAMENTÁRIA'!E131</f>
        <v>LASTRO DE CONCRETO MAGRO, APLICADO EM PISOS OU RADIERS, ESPESSURA DE 5CM. AF_07_2016</v>
      </c>
      <c r="D505" s="1003"/>
      <c r="E505" s="1003"/>
      <c r="F505" s="1003"/>
      <c r="G505" s="1003"/>
      <c r="H505" s="1003"/>
      <c r="I505" s="1003"/>
      <c r="J505" s="1003"/>
      <c r="K505" s="61" t="str">
        <f>'[6]PLANILHA ORÇAMENTÁRIA'!F131</f>
        <v>M2</v>
      </c>
      <c r="L505" s="62">
        <f>K508</f>
        <v>0.09</v>
      </c>
    </row>
    <row r="506" spans="2:12" hidden="1">
      <c r="B506" s="63"/>
      <c r="C506" s="1004" t="s">
        <v>20</v>
      </c>
      <c r="D506" s="1004"/>
      <c r="E506" s="1004"/>
      <c r="F506" s="64" t="s">
        <v>22</v>
      </c>
      <c r="G506" s="65" t="s">
        <v>111</v>
      </c>
      <c r="H506" s="64" t="s">
        <v>112</v>
      </c>
      <c r="I506" s="65" t="s">
        <v>113</v>
      </c>
      <c r="J506" s="65" t="s">
        <v>114</v>
      </c>
      <c r="K506" s="66" t="s">
        <v>25</v>
      </c>
      <c r="L506" s="67"/>
    </row>
    <row r="507" spans="2:12" hidden="1">
      <c r="B507" s="63"/>
      <c r="C507" s="1001"/>
      <c r="D507" s="1001"/>
      <c r="E507" s="1001"/>
      <c r="F507" s="68">
        <v>4</v>
      </c>
      <c r="G507" s="68"/>
      <c r="H507" s="68">
        <v>0.15</v>
      </c>
      <c r="I507" s="68">
        <v>0.15</v>
      </c>
      <c r="J507" s="68"/>
      <c r="K507" s="69">
        <f>PRODUCT(F507:I507)</f>
        <v>0.09</v>
      </c>
      <c r="L507" s="67"/>
    </row>
    <row r="508" spans="2:12" hidden="1">
      <c r="B508" s="63"/>
      <c r="C508" s="1002" t="s">
        <v>116</v>
      </c>
      <c r="D508" s="1002"/>
      <c r="E508" s="1002"/>
      <c r="F508" s="1002"/>
      <c r="G508" s="1002"/>
      <c r="H508" s="1002"/>
      <c r="I508" s="1002"/>
      <c r="J508" s="1002"/>
      <c r="K508" s="70">
        <f>SUM(K507:K507)</f>
        <v>0.09</v>
      </c>
      <c r="L508" s="67"/>
    </row>
    <row r="509" spans="2:12" hidden="1">
      <c r="B509" s="63"/>
      <c r="C509" s="71"/>
      <c r="D509" s="71"/>
      <c r="E509" s="71"/>
      <c r="F509" s="71"/>
      <c r="G509" s="71"/>
      <c r="H509" s="71"/>
      <c r="I509" s="71"/>
      <c r="J509" s="71"/>
      <c r="K509" s="72"/>
      <c r="L509" s="67"/>
    </row>
    <row r="510" spans="2:12" ht="27" hidden="1" customHeight="1">
      <c r="B510" s="60" t="str">
        <f>'[6]PLANILHA ORÇAMENTÁRIA'!D132</f>
        <v>14.3.3</v>
      </c>
      <c r="C510" s="1003" t="str">
        <f>'[6]PLANILHA ORÇAMENTÁRIA'!E132</f>
        <v>CONCRETAGEM DE BLOCOS DE COROAMENTO E VIGAS BALDRAMES, FCK 30 MPA, COM USO DE BOMBA LANÇAMENTO, ADENSAMENTO E ACABAMENTO. AF_06/2017</v>
      </c>
      <c r="D510" s="1003"/>
      <c r="E510" s="1003"/>
      <c r="F510" s="1003"/>
      <c r="G510" s="1003"/>
      <c r="H510" s="1003"/>
      <c r="I510" s="1003"/>
      <c r="J510" s="1003"/>
      <c r="K510" s="61" t="str">
        <f>'[6]PLANILHA ORÇAMENTÁRIA'!F132</f>
        <v>M3</v>
      </c>
      <c r="L510" s="62">
        <f>K515</f>
        <v>0.05</v>
      </c>
    </row>
    <row r="511" spans="2:12" hidden="1">
      <c r="B511" s="63"/>
      <c r="C511" s="1004" t="s">
        <v>20</v>
      </c>
      <c r="D511" s="1004"/>
      <c r="E511" s="1004"/>
      <c r="F511" s="64" t="s">
        <v>22</v>
      </c>
      <c r="G511" s="65" t="s">
        <v>111</v>
      </c>
      <c r="H511" s="64" t="s">
        <v>112</v>
      </c>
      <c r="I511" s="65" t="s">
        <v>113</v>
      </c>
      <c r="J511" s="65" t="s">
        <v>114</v>
      </c>
      <c r="K511" s="66" t="s">
        <v>25</v>
      </c>
      <c r="L511" s="67"/>
    </row>
    <row r="512" spans="2:12" hidden="1">
      <c r="B512" s="63"/>
      <c r="C512" s="1001" t="s">
        <v>186</v>
      </c>
      <c r="D512" s="1001"/>
      <c r="E512" s="1001"/>
      <c r="F512" s="68">
        <v>2</v>
      </c>
      <c r="G512" s="68">
        <v>0.75</v>
      </c>
      <c r="H512" s="68">
        <v>0.15</v>
      </c>
      <c r="I512" s="68">
        <v>0.15</v>
      </c>
      <c r="J512" s="68"/>
      <c r="K512" s="906">
        <f>TRUNC(G512*H512*F512*I512,2)</f>
        <v>0.03</v>
      </c>
      <c r="L512" s="67"/>
    </row>
    <row r="513" spans="2:12" hidden="1">
      <c r="B513" s="63"/>
      <c r="C513" s="1001" t="s">
        <v>187</v>
      </c>
      <c r="D513" s="1001"/>
      <c r="E513" s="1001"/>
      <c r="F513" s="68">
        <v>1</v>
      </c>
      <c r="G513" s="68">
        <v>0.65</v>
      </c>
      <c r="H513" s="68">
        <v>0.15</v>
      </c>
      <c r="I513" s="68">
        <v>0.15</v>
      </c>
      <c r="J513" s="68"/>
      <c r="K513" s="906">
        <f>TRUNC(G513*H513*F513*I513,2)</f>
        <v>0.01</v>
      </c>
      <c r="L513" s="67"/>
    </row>
    <row r="514" spans="2:12" hidden="1">
      <c r="B514" s="63"/>
      <c r="C514" s="1001" t="s">
        <v>188</v>
      </c>
      <c r="D514" s="1001"/>
      <c r="E514" s="1001"/>
      <c r="F514" s="68">
        <v>1</v>
      </c>
      <c r="G514" s="68">
        <v>0.6</v>
      </c>
      <c r="H514" s="68">
        <v>0.15</v>
      </c>
      <c r="I514" s="68">
        <v>0.15</v>
      </c>
      <c r="J514" s="68"/>
      <c r="K514" s="906">
        <f>TRUNC(G514*H514*F514*I514,2)</f>
        <v>0.01</v>
      </c>
      <c r="L514" s="67"/>
    </row>
    <row r="515" spans="2:12" hidden="1">
      <c r="B515" s="63"/>
      <c r="C515" s="1002" t="s">
        <v>116</v>
      </c>
      <c r="D515" s="1002"/>
      <c r="E515" s="1002"/>
      <c r="F515" s="1002"/>
      <c r="G515" s="1002"/>
      <c r="H515" s="1002"/>
      <c r="I515" s="1002"/>
      <c r="J515" s="1002"/>
      <c r="K515" s="66">
        <f>SUM(K512:K514)</f>
        <v>0.05</v>
      </c>
      <c r="L515" s="67"/>
    </row>
    <row r="516" spans="2:12" hidden="1"/>
    <row r="517" spans="2:12" ht="15" hidden="1" customHeight="1">
      <c r="B517" s="60" t="str">
        <f>'[6]PLANILHA ORÇAMENTÁRIA'!D133</f>
        <v>14.3.4</v>
      </c>
      <c r="C517" s="1003" t="str">
        <f>'[6]PLANILHA ORÇAMENTÁRIA'!E133</f>
        <v>TUBO DE AÇO GALVANIZADO COM COSTURA 2" - FORNECIMENTO E INSTALACAO. - M</v>
      </c>
      <c r="D517" s="1003"/>
      <c r="E517" s="1003"/>
      <c r="F517" s="1003"/>
      <c r="G517" s="1003"/>
      <c r="H517" s="1003"/>
      <c r="I517" s="1003"/>
      <c r="J517" s="1003"/>
      <c r="K517" s="61" t="str">
        <f>'[6]PLANILHA ORÇAMENTÁRIA'!F133</f>
        <v>M</v>
      </c>
      <c r="L517" s="62">
        <f>K521</f>
        <v>13.2</v>
      </c>
    </row>
    <row r="518" spans="2:12" hidden="1">
      <c r="B518" s="63"/>
      <c r="C518" s="1004" t="s">
        <v>20</v>
      </c>
      <c r="D518" s="1004"/>
      <c r="E518" s="1004"/>
      <c r="F518" s="64" t="s">
        <v>22</v>
      </c>
      <c r="G518" s="65" t="s">
        <v>111</v>
      </c>
      <c r="H518" s="64" t="s">
        <v>112</v>
      </c>
      <c r="I518" s="65" t="s">
        <v>113</v>
      </c>
      <c r="J518" s="65" t="s">
        <v>114</v>
      </c>
      <c r="K518" s="66" t="s">
        <v>25</v>
      </c>
      <c r="L518" s="67"/>
    </row>
    <row r="519" spans="2:12" hidden="1">
      <c r="B519" s="63"/>
      <c r="C519" s="1001" t="s">
        <v>189</v>
      </c>
      <c r="D519" s="1001"/>
      <c r="E519" s="1001"/>
      <c r="F519" s="68">
        <v>1</v>
      </c>
      <c r="G519" s="68"/>
      <c r="H519" s="68"/>
      <c r="I519" s="68">
        <v>10.199999999999999</v>
      </c>
      <c r="J519" s="68"/>
      <c r="K519" s="906">
        <f>F519*I519</f>
        <v>10.199999999999999</v>
      </c>
      <c r="L519" s="67"/>
    </row>
    <row r="520" spans="2:12" hidden="1">
      <c r="B520" s="63"/>
      <c r="C520" s="1005" t="s">
        <v>190</v>
      </c>
      <c r="D520" s="1006"/>
      <c r="E520" s="1007"/>
      <c r="F520" s="68">
        <v>3</v>
      </c>
      <c r="G520" s="68"/>
      <c r="H520" s="68"/>
      <c r="I520" s="68">
        <v>1</v>
      </c>
      <c r="J520" s="68"/>
      <c r="K520" s="906">
        <f>F520*I520</f>
        <v>3</v>
      </c>
      <c r="L520" s="67"/>
    </row>
    <row r="521" spans="2:12" hidden="1">
      <c r="B521" s="63"/>
      <c r="C521" s="1002" t="s">
        <v>116</v>
      </c>
      <c r="D521" s="1002"/>
      <c r="E521" s="1002"/>
      <c r="F521" s="1002"/>
      <c r="G521" s="1002"/>
      <c r="H521" s="1002"/>
      <c r="I521" s="1002"/>
      <c r="J521" s="1002"/>
      <c r="K521" s="66">
        <f>SUM(K519:K520)</f>
        <v>13.2</v>
      </c>
      <c r="L521" s="67"/>
    </row>
    <row r="522" spans="2:12" hidden="1">
      <c r="B522" s="63"/>
      <c r="C522" s="71"/>
      <c r="D522" s="71"/>
      <c r="E522" s="71"/>
      <c r="F522" s="71"/>
      <c r="G522" s="71"/>
      <c r="H522" s="71"/>
      <c r="I522" s="71"/>
      <c r="J522" s="71"/>
      <c r="K522" s="73"/>
      <c r="L522" s="67"/>
    </row>
    <row r="523" spans="2:12" ht="15" hidden="1" customHeight="1">
      <c r="B523" s="60" t="str">
        <f>'[6]PLANILHA ORÇAMENTÁRIA'!D134</f>
        <v>14.3.5</v>
      </c>
      <c r="C523" s="1003" t="str">
        <f>'[6]PLANILHA ORÇAMENTÁRIA'!E134</f>
        <v>PINTURA ESMALTE ALTO BRILHO, DUAS DEMAOS, SOBRE SUPERFICIE METALICA</v>
      </c>
      <c r="D523" s="1003"/>
      <c r="E523" s="1003"/>
      <c r="F523" s="1003"/>
      <c r="G523" s="1003"/>
      <c r="H523" s="1003"/>
      <c r="I523" s="1003"/>
      <c r="J523" s="1003"/>
      <c r="K523" s="61" t="str">
        <f>'[6]PLANILHA ORÇAMENTÁRIA'!F134</f>
        <v>M2</v>
      </c>
      <c r="L523" s="62">
        <f>K527</f>
        <v>1.63</v>
      </c>
    </row>
    <row r="524" spans="2:12" hidden="1">
      <c r="B524" s="63"/>
      <c r="C524" s="1004" t="s">
        <v>20</v>
      </c>
      <c r="D524" s="1004"/>
      <c r="E524" s="1004"/>
      <c r="F524" s="64" t="s">
        <v>22</v>
      </c>
      <c r="G524" s="65" t="s">
        <v>111</v>
      </c>
      <c r="H524" s="64" t="s">
        <v>178</v>
      </c>
      <c r="I524" s="65" t="s">
        <v>113</v>
      </c>
      <c r="J524" s="65" t="s">
        <v>114</v>
      </c>
      <c r="K524" s="66" t="s">
        <v>25</v>
      </c>
      <c r="L524" s="67"/>
    </row>
    <row r="525" spans="2:12" hidden="1">
      <c r="B525" s="63"/>
      <c r="C525" s="1001" t="s">
        <v>189</v>
      </c>
      <c r="D525" s="1001"/>
      <c r="E525" s="1001"/>
      <c r="F525" s="68">
        <v>1</v>
      </c>
      <c r="G525" s="68"/>
      <c r="H525" s="75">
        <v>2.5000000000000001E-2</v>
      </c>
      <c r="I525" s="68">
        <v>7.45</v>
      </c>
      <c r="J525" s="68"/>
      <c r="K525" s="906">
        <f>TRUNC((2*3.14*H525*I525)*F525,2)</f>
        <v>1.1599999999999999</v>
      </c>
      <c r="L525" s="67"/>
    </row>
    <row r="526" spans="2:12" hidden="1">
      <c r="B526" s="63"/>
      <c r="C526" s="1005" t="s">
        <v>190</v>
      </c>
      <c r="D526" s="1006"/>
      <c r="E526" s="1007"/>
      <c r="F526" s="68">
        <v>3</v>
      </c>
      <c r="G526" s="68"/>
      <c r="H526" s="75">
        <v>2.5000000000000001E-2</v>
      </c>
      <c r="I526" s="68">
        <v>1</v>
      </c>
      <c r="J526" s="68"/>
      <c r="K526" s="906">
        <f>TRUNC((2*3.14*H526*I526)*F526,2)</f>
        <v>0.47</v>
      </c>
      <c r="L526" s="67"/>
    </row>
    <row r="527" spans="2:12" hidden="1">
      <c r="B527" s="63"/>
      <c r="C527" s="1002" t="s">
        <v>116</v>
      </c>
      <c r="D527" s="1002"/>
      <c r="E527" s="1002"/>
      <c r="F527" s="1002"/>
      <c r="G527" s="1002"/>
      <c r="H527" s="1002"/>
      <c r="I527" s="1002"/>
      <c r="J527" s="1002"/>
      <c r="K527" s="66">
        <f>SUM(K525:K526)</f>
        <v>1.63</v>
      </c>
      <c r="L527" s="67"/>
    </row>
    <row r="528" spans="2:12" hidden="1"/>
    <row r="529" spans="2:12" hidden="1">
      <c r="B529" s="58" t="str">
        <f>'[6]PLANILHA ORÇAMENTÁRIA'!D135</f>
        <v>14.4</v>
      </c>
      <c r="C529" s="1000" t="str">
        <f>'[6]PLANILHA ORÇAMENTÁRIA'!E135</f>
        <v>ESPALDAR SIMPLES</v>
      </c>
      <c r="D529" s="1000"/>
      <c r="E529" s="1000"/>
      <c r="F529" s="1000"/>
      <c r="G529" s="1000"/>
      <c r="H529" s="1000"/>
      <c r="I529" s="1000"/>
      <c r="J529" s="1000"/>
      <c r="K529" s="59"/>
      <c r="L529" s="59"/>
    </row>
    <row r="530" spans="2:12" ht="15" hidden="1" customHeight="1">
      <c r="B530" s="60" t="str">
        <f>'[6]PLANILHA ORÇAMENTÁRIA'!D136</f>
        <v>14.4.1</v>
      </c>
      <c r="C530" s="1003" t="str">
        <f>'[6]PLANILHA ORÇAMENTÁRIA'!E136</f>
        <v>ESCAVAÇÃO MANUAL DE VALA COM PROFUNDIDADE MENOR OU IGUAL A 1,30 M</v>
      </c>
      <c r="D530" s="1003"/>
      <c r="E530" s="1003"/>
      <c r="F530" s="1003"/>
      <c r="G530" s="1003"/>
      <c r="H530" s="1003"/>
      <c r="I530" s="1003"/>
      <c r="J530" s="1003"/>
      <c r="K530" s="61" t="str">
        <f>'[6]PLANILHA ORÇAMENTÁRIA'!F136</f>
        <v>M3</v>
      </c>
      <c r="L530" s="62">
        <f>K533</f>
        <v>3.5999999999999997E-2</v>
      </c>
    </row>
    <row r="531" spans="2:12" hidden="1">
      <c r="B531" s="63"/>
      <c r="C531" s="1004" t="s">
        <v>20</v>
      </c>
      <c r="D531" s="1004"/>
      <c r="E531" s="1004"/>
      <c r="F531" s="64" t="s">
        <v>22</v>
      </c>
      <c r="G531" s="65" t="s">
        <v>111</v>
      </c>
      <c r="H531" s="64" t="s">
        <v>112</v>
      </c>
      <c r="I531" s="65" t="s">
        <v>113</v>
      </c>
      <c r="J531" s="65" t="s">
        <v>114</v>
      </c>
      <c r="K531" s="66" t="s">
        <v>25</v>
      </c>
      <c r="L531" s="67"/>
    </row>
    <row r="532" spans="2:12" hidden="1">
      <c r="B532" s="63"/>
      <c r="C532" s="1001" t="s">
        <v>174</v>
      </c>
      <c r="D532" s="1001"/>
      <c r="E532" s="1001"/>
      <c r="F532" s="68">
        <v>2</v>
      </c>
      <c r="G532" s="68">
        <v>0.8</v>
      </c>
      <c r="H532" s="68">
        <v>0.15</v>
      </c>
      <c r="I532" s="68">
        <v>0.15</v>
      </c>
      <c r="J532" s="68"/>
      <c r="K532" s="69">
        <f>PRODUCT(F532:I532)</f>
        <v>3.5999999999999997E-2</v>
      </c>
      <c r="L532" s="67"/>
    </row>
    <row r="533" spans="2:12" hidden="1">
      <c r="B533" s="63"/>
      <c r="C533" s="1002" t="s">
        <v>116</v>
      </c>
      <c r="D533" s="1002"/>
      <c r="E533" s="1002"/>
      <c r="F533" s="1002"/>
      <c r="G533" s="1002"/>
      <c r="H533" s="1002"/>
      <c r="I533" s="1002"/>
      <c r="J533" s="1002"/>
      <c r="K533" s="70">
        <f>SUM(K532:K532)</f>
        <v>3.5999999999999997E-2</v>
      </c>
      <c r="L533" s="67"/>
    </row>
    <row r="534" spans="2:12" hidden="1">
      <c r="B534" s="63"/>
      <c r="C534" s="71"/>
      <c r="D534" s="71"/>
      <c r="E534" s="71"/>
      <c r="F534" s="71"/>
      <c r="G534" s="71"/>
      <c r="H534" s="71"/>
      <c r="I534" s="71"/>
      <c r="J534" s="71"/>
      <c r="K534" s="72"/>
      <c r="L534" s="67"/>
    </row>
    <row r="535" spans="2:12" ht="15" hidden="1" customHeight="1">
      <c r="B535" s="60" t="str">
        <f>'[6]PLANILHA ORÇAMENTÁRIA'!D137</f>
        <v>14.4.2</v>
      </c>
      <c r="C535" s="1003" t="str">
        <f>'[6]PLANILHA ORÇAMENTÁRIA'!E137</f>
        <v>LASTRO DE CONCRETO MAGRO, APLICADO EM PISOS OU RADIERS, ESPESSURA DE 5CM. AF_07_2016</v>
      </c>
      <c r="D535" s="1003"/>
      <c r="E535" s="1003"/>
      <c r="F535" s="1003"/>
      <c r="G535" s="1003"/>
      <c r="H535" s="1003"/>
      <c r="I535" s="1003"/>
      <c r="J535" s="1003"/>
      <c r="K535" s="61" t="str">
        <f>'[6]PLANILHA ORÇAMENTÁRIA'!F137</f>
        <v>M2</v>
      </c>
      <c r="L535" s="62">
        <f>K538</f>
        <v>4.4999999999999998E-2</v>
      </c>
    </row>
    <row r="536" spans="2:12" hidden="1">
      <c r="B536" s="63"/>
      <c r="C536" s="1004" t="s">
        <v>20</v>
      </c>
      <c r="D536" s="1004"/>
      <c r="E536" s="1004"/>
      <c r="F536" s="64" t="s">
        <v>22</v>
      </c>
      <c r="G536" s="65" t="s">
        <v>111</v>
      </c>
      <c r="H536" s="64" t="s">
        <v>112</v>
      </c>
      <c r="I536" s="65" t="s">
        <v>113</v>
      </c>
      <c r="J536" s="65" t="s">
        <v>114</v>
      </c>
      <c r="K536" s="66" t="s">
        <v>25</v>
      </c>
      <c r="L536" s="67"/>
    </row>
    <row r="537" spans="2:12" hidden="1">
      <c r="B537" s="63"/>
      <c r="C537" s="1001"/>
      <c r="D537" s="1001"/>
      <c r="E537" s="1001"/>
      <c r="F537" s="68">
        <v>2</v>
      </c>
      <c r="G537" s="68"/>
      <c r="H537" s="68">
        <v>0.15</v>
      </c>
      <c r="I537" s="68">
        <v>0.15</v>
      </c>
      <c r="J537" s="68"/>
      <c r="K537" s="69">
        <f>PRODUCT(F537:I537)</f>
        <v>4.4999999999999998E-2</v>
      </c>
      <c r="L537" s="67"/>
    </row>
    <row r="538" spans="2:12" hidden="1">
      <c r="B538" s="63"/>
      <c r="C538" s="1002" t="s">
        <v>116</v>
      </c>
      <c r="D538" s="1002"/>
      <c r="E538" s="1002"/>
      <c r="F538" s="1002"/>
      <c r="G538" s="1002"/>
      <c r="H538" s="1002"/>
      <c r="I538" s="1002"/>
      <c r="J538" s="1002"/>
      <c r="K538" s="70">
        <f>SUM(K537:K537)</f>
        <v>4.4999999999999998E-2</v>
      </c>
      <c r="L538" s="67"/>
    </row>
    <row r="539" spans="2:12" hidden="1">
      <c r="B539" s="63"/>
      <c r="C539" s="71"/>
      <c r="D539" s="71"/>
      <c r="E539" s="71"/>
      <c r="F539" s="71"/>
      <c r="G539" s="71"/>
      <c r="H539" s="71"/>
      <c r="I539" s="71"/>
      <c r="J539" s="71"/>
      <c r="K539" s="72"/>
      <c r="L539" s="67"/>
    </row>
    <row r="540" spans="2:12" ht="21.75" hidden="1" customHeight="1">
      <c r="B540" s="60" t="str">
        <f>'[6]PLANILHA ORÇAMENTÁRIA'!D138</f>
        <v>14.4.3</v>
      </c>
      <c r="C540" s="1003" t="str">
        <f>'[6]PLANILHA ORÇAMENTÁRIA'!E138</f>
        <v>CONCRETAGEM DE BLOCOS DE COROAMENTO E VIGAS BALDRAMES, FCK 30 MPA, COM USO DE BOMBA LANÇAMENTO, ADENSAMENTO E ACABAMENTO. AF_06/2017</v>
      </c>
      <c r="D540" s="1003"/>
      <c r="E540" s="1003"/>
      <c r="F540" s="1003"/>
      <c r="G540" s="1003"/>
      <c r="H540" s="1003"/>
      <c r="I540" s="1003"/>
      <c r="J540" s="1003"/>
      <c r="K540" s="61" t="str">
        <f>'[6]PLANILHA ORÇAMENTÁRIA'!F138</f>
        <v>M3</v>
      </c>
      <c r="L540" s="62">
        <f>K543</f>
        <v>0.02</v>
      </c>
    </row>
    <row r="541" spans="2:12" hidden="1">
      <c r="B541" s="63"/>
      <c r="C541" s="1004" t="s">
        <v>20</v>
      </c>
      <c r="D541" s="1004"/>
      <c r="E541" s="1004"/>
      <c r="F541" s="64" t="s">
        <v>22</v>
      </c>
      <c r="G541" s="65" t="s">
        <v>111</v>
      </c>
      <c r="H541" s="64" t="s">
        <v>112</v>
      </c>
      <c r="I541" s="65" t="s">
        <v>113</v>
      </c>
      <c r="J541" s="65" t="s">
        <v>114</v>
      </c>
      <c r="K541" s="66" t="s">
        <v>25</v>
      </c>
      <c r="L541" s="67"/>
    </row>
    <row r="542" spans="2:12" hidden="1">
      <c r="B542" s="63"/>
      <c r="C542" s="1001" t="s">
        <v>191</v>
      </c>
      <c r="D542" s="1001"/>
      <c r="E542" s="1001"/>
      <c r="F542" s="68">
        <v>2</v>
      </c>
      <c r="G542" s="68">
        <v>0.65</v>
      </c>
      <c r="H542" s="68">
        <v>0.15</v>
      </c>
      <c r="I542" s="68">
        <v>0.15</v>
      </c>
      <c r="J542" s="68"/>
      <c r="K542" s="906">
        <f>TRUNC(G542*H542*F542*I542,2)</f>
        <v>0.02</v>
      </c>
      <c r="L542" s="67"/>
    </row>
    <row r="543" spans="2:12" hidden="1">
      <c r="B543" s="63"/>
      <c r="C543" s="1002" t="s">
        <v>116</v>
      </c>
      <c r="D543" s="1002"/>
      <c r="E543" s="1002"/>
      <c r="F543" s="1002"/>
      <c r="G543" s="1002"/>
      <c r="H543" s="1002"/>
      <c r="I543" s="1002"/>
      <c r="J543" s="1002"/>
      <c r="K543" s="66">
        <f>SUM(K542:K542)</f>
        <v>0.02</v>
      </c>
      <c r="L543" s="67"/>
    </row>
    <row r="544" spans="2:12" hidden="1"/>
    <row r="545" spans="2:12" ht="15" hidden="1" customHeight="1">
      <c r="B545" s="60" t="str">
        <f>'[6]PLANILHA ORÇAMENTÁRIA'!D139</f>
        <v>14.4.4</v>
      </c>
      <c r="C545" s="1003" t="str">
        <f>'[6]PLANILHA ORÇAMENTÁRIA'!E139</f>
        <v>TUBO DE AÇO GALVANIZADO COM COSTURA 2" - FORNECIMENTO E INSTALACAO. - M</v>
      </c>
      <c r="D545" s="1003"/>
      <c r="E545" s="1003"/>
      <c r="F545" s="1003"/>
      <c r="G545" s="1003"/>
      <c r="H545" s="1003"/>
      <c r="I545" s="1003"/>
      <c r="J545" s="1003"/>
      <c r="K545" s="61" t="str">
        <f>'[6]PLANILHA ORÇAMENTÁRIA'!F139</f>
        <v>M</v>
      </c>
      <c r="L545" s="62">
        <f>K549</f>
        <v>12.2</v>
      </c>
    </row>
    <row r="546" spans="2:12" hidden="1">
      <c r="B546" s="63"/>
      <c r="C546" s="1004" t="s">
        <v>20</v>
      </c>
      <c r="D546" s="1004"/>
      <c r="E546" s="1004"/>
      <c r="F546" s="64" t="s">
        <v>22</v>
      </c>
      <c r="G546" s="65" t="s">
        <v>111</v>
      </c>
      <c r="H546" s="64" t="s">
        <v>112</v>
      </c>
      <c r="I546" s="65" t="s">
        <v>113</v>
      </c>
      <c r="J546" s="65" t="s">
        <v>114</v>
      </c>
      <c r="K546" s="66" t="s">
        <v>25</v>
      </c>
      <c r="L546" s="67"/>
    </row>
    <row r="547" spans="2:12" hidden="1">
      <c r="B547" s="63"/>
      <c r="C547" s="1001" t="s">
        <v>189</v>
      </c>
      <c r="D547" s="1001"/>
      <c r="E547" s="1001"/>
      <c r="F547" s="68">
        <v>2</v>
      </c>
      <c r="G547" s="68"/>
      <c r="H547" s="68"/>
      <c r="I547" s="68">
        <v>2.6</v>
      </c>
      <c r="J547" s="68"/>
      <c r="K547" s="906">
        <f>F547*I547</f>
        <v>5.2</v>
      </c>
      <c r="L547" s="67"/>
    </row>
    <row r="548" spans="2:12" hidden="1">
      <c r="B548" s="63"/>
      <c r="C548" s="1005" t="s">
        <v>190</v>
      </c>
      <c r="D548" s="1006"/>
      <c r="E548" s="1007"/>
      <c r="F548" s="68">
        <v>7</v>
      </c>
      <c r="G548" s="68"/>
      <c r="H548" s="68"/>
      <c r="I548" s="68">
        <v>1</v>
      </c>
      <c r="J548" s="68"/>
      <c r="K548" s="906">
        <f>F548*I548</f>
        <v>7</v>
      </c>
      <c r="L548" s="67"/>
    </row>
    <row r="549" spans="2:12" hidden="1">
      <c r="B549" s="63"/>
      <c r="C549" s="1002" t="s">
        <v>116</v>
      </c>
      <c r="D549" s="1002"/>
      <c r="E549" s="1002"/>
      <c r="F549" s="1002"/>
      <c r="G549" s="1002"/>
      <c r="H549" s="1002"/>
      <c r="I549" s="1002"/>
      <c r="J549" s="1002"/>
      <c r="K549" s="66">
        <f>SUM(K547:K548)</f>
        <v>12.2</v>
      </c>
      <c r="L549" s="67"/>
    </row>
    <row r="550" spans="2:12" hidden="1">
      <c r="B550" s="63"/>
      <c r="C550" s="71"/>
      <c r="D550" s="71"/>
      <c r="E550" s="71"/>
      <c r="F550" s="71"/>
      <c r="G550" s="71"/>
      <c r="H550" s="71"/>
      <c r="I550" s="71"/>
      <c r="J550" s="71"/>
      <c r="K550" s="73"/>
      <c r="L550" s="67"/>
    </row>
    <row r="551" spans="2:12" ht="15" hidden="1" customHeight="1">
      <c r="B551" s="60" t="str">
        <f>'[6]PLANILHA ORÇAMENTÁRIA'!D140</f>
        <v>14.4.5</v>
      </c>
      <c r="C551" s="1003" t="str">
        <f>'[6]PLANILHA ORÇAMENTÁRIA'!E140</f>
        <v>PINTURA ESMALTE ALTO BRILHO, DUAS DEMAOS, SOBRE SUPERFICIE METALICA</v>
      </c>
      <c r="D551" s="1003"/>
      <c r="E551" s="1003"/>
      <c r="F551" s="1003"/>
      <c r="G551" s="1003"/>
      <c r="H551" s="1003"/>
      <c r="I551" s="1003"/>
      <c r="J551" s="1003"/>
      <c r="K551" s="61" t="str">
        <f>'[6]PLANILHA ORÇAMENTÁRIA'!F140</f>
        <v>M2</v>
      </c>
      <c r="L551" s="62">
        <f>K555</f>
        <v>1.7000000000000002</v>
      </c>
    </row>
    <row r="552" spans="2:12" hidden="1">
      <c r="B552" s="63"/>
      <c r="C552" s="1004" t="s">
        <v>20</v>
      </c>
      <c r="D552" s="1004"/>
      <c r="E552" s="1004"/>
      <c r="F552" s="64" t="s">
        <v>22</v>
      </c>
      <c r="G552" s="65" t="s">
        <v>111</v>
      </c>
      <c r="H552" s="64" t="s">
        <v>178</v>
      </c>
      <c r="I552" s="65" t="s">
        <v>113</v>
      </c>
      <c r="J552" s="65" t="s">
        <v>114</v>
      </c>
      <c r="K552" s="66" t="s">
        <v>25</v>
      </c>
      <c r="L552" s="67"/>
    </row>
    <row r="553" spans="2:12" hidden="1">
      <c r="B553" s="63"/>
      <c r="C553" s="1001" t="s">
        <v>189</v>
      </c>
      <c r="D553" s="1001"/>
      <c r="E553" s="1001"/>
      <c r="F553" s="68">
        <v>2</v>
      </c>
      <c r="G553" s="68"/>
      <c r="H553" s="75">
        <v>2.5000000000000001E-2</v>
      </c>
      <c r="I553" s="68">
        <v>1.95</v>
      </c>
      <c r="J553" s="68"/>
      <c r="K553" s="906">
        <f>TRUNC((2*3.14*H553*I553)*F553,2)</f>
        <v>0.61</v>
      </c>
      <c r="L553" s="67"/>
    </row>
    <row r="554" spans="2:12" hidden="1">
      <c r="B554" s="63"/>
      <c r="C554" s="1005" t="s">
        <v>190</v>
      </c>
      <c r="D554" s="1006"/>
      <c r="E554" s="1007"/>
      <c r="F554" s="68">
        <v>7</v>
      </c>
      <c r="G554" s="68"/>
      <c r="H554" s="75">
        <v>2.5000000000000001E-2</v>
      </c>
      <c r="I554" s="68">
        <v>1</v>
      </c>
      <c r="J554" s="68"/>
      <c r="K554" s="906">
        <f>TRUNC((2*3.14*H554*I554)*F554,2)</f>
        <v>1.0900000000000001</v>
      </c>
      <c r="L554" s="67"/>
    </row>
    <row r="555" spans="2:12" hidden="1">
      <c r="B555" s="63"/>
      <c r="C555" s="1002" t="s">
        <v>116</v>
      </c>
      <c r="D555" s="1002"/>
      <c r="E555" s="1002"/>
      <c r="F555" s="1002"/>
      <c r="G555" s="1002"/>
      <c r="H555" s="1002"/>
      <c r="I555" s="1002"/>
      <c r="J555" s="1002"/>
      <c r="K555" s="66">
        <f>SUM(K553:K554)</f>
        <v>1.7000000000000002</v>
      </c>
      <c r="L555" s="67"/>
    </row>
    <row r="556" spans="2:12" hidden="1"/>
    <row r="557" spans="2:12" hidden="1">
      <c r="B557" s="58" t="str">
        <f>'[6]PLANILHA ORÇAMENTÁRIA'!D141</f>
        <v>14.5</v>
      </c>
      <c r="C557" s="1000" t="str">
        <f>'[6]PLANILHA ORÇAMENTÁRIA'!E141</f>
        <v>BARRA DE APOIO</v>
      </c>
      <c r="D557" s="1000"/>
      <c r="E557" s="1000"/>
      <c r="F557" s="1000"/>
      <c r="G557" s="1000"/>
      <c r="H557" s="1000"/>
      <c r="I557" s="1000"/>
      <c r="J557" s="1000"/>
      <c r="K557" s="59"/>
      <c r="L557" s="59"/>
    </row>
    <row r="558" spans="2:12" ht="15" hidden="1" customHeight="1">
      <c r="B558" s="60" t="str">
        <f>'[6]PLANILHA ORÇAMENTÁRIA'!D142</f>
        <v>14.5.1</v>
      </c>
      <c r="C558" s="1003" t="str">
        <f>'[6]PLANILHA ORÇAMENTÁRIA'!E142</f>
        <v>ESCAVAÇÃO MANUAL DE VALA COM PROFUNDIDADE MENOR OU IGUAL A 1,30 M</v>
      </c>
      <c r="D558" s="1003"/>
      <c r="E558" s="1003"/>
      <c r="F558" s="1003"/>
      <c r="G558" s="1003"/>
      <c r="H558" s="1003"/>
      <c r="I558" s="1003"/>
      <c r="J558" s="1003"/>
      <c r="K558" s="61" t="str">
        <f>'[6]PLANILHA ORÇAMENTÁRIA'!F142</f>
        <v>M3</v>
      </c>
      <c r="L558" s="62">
        <f>K561</f>
        <v>4.9500000000000002E-2</v>
      </c>
    </row>
    <row r="559" spans="2:12" hidden="1">
      <c r="B559" s="63"/>
      <c r="C559" s="1004" t="s">
        <v>20</v>
      </c>
      <c r="D559" s="1004"/>
      <c r="E559" s="1004"/>
      <c r="F559" s="64" t="s">
        <v>22</v>
      </c>
      <c r="G559" s="65" t="s">
        <v>111</v>
      </c>
      <c r="H559" s="64" t="s">
        <v>112</v>
      </c>
      <c r="I559" s="65" t="s">
        <v>113</v>
      </c>
      <c r="J559" s="65" t="s">
        <v>114</v>
      </c>
      <c r="K559" s="66" t="s">
        <v>25</v>
      </c>
      <c r="L559" s="67"/>
    </row>
    <row r="560" spans="2:12" hidden="1">
      <c r="B560" s="63"/>
      <c r="C560" s="1001" t="s">
        <v>174</v>
      </c>
      <c r="D560" s="1001"/>
      <c r="E560" s="1001"/>
      <c r="F560" s="68">
        <v>4</v>
      </c>
      <c r="G560" s="68">
        <v>0.55000000000000004</v>
      </c>
      <c r="H560" s="68">
        <v>0.15</v>
      </c>
      <c r="I560" s="68">
        <v>0.15</v>
      </c>
      <c r="J560" s="68"/>
      <c r="K560" s="69">
        <f>PRODUCT(F560:I560)</f>
        <v>4.9500000000000002E-2</v>
      </c>
      <c r="L560" s="67"/>
    </row>
    <row r="561" spans="2:12" hidden="1">
      <c r="B561" s="63"/>
      <c r="C561" s="1002" t="s">
        <v>116</v>
      </c>
      <c r="D561" s="1002"/>
      <c r="E561" s="1002"/>
      <c r="F561" s="1002"/>
      <c r="G561" s="1002"/>
      <c r="H561" s="1002"/>
      <c r="I561" s="1002"/>
      <c r="J561" s="1002"/>
      <c r="K561" s="70">
        <f>SUM(K560:K560)</f>
        <v>4.9500000000000002E-2</v>
      </c>
      <c r="L561" s="67"/>
    </row>
    <row r="562" spans="2:12" hidden="1">
      <c r="B562" s="63"/>
      <c r="C562" s="71"/>
      <c r="D562" s="71"/>
      <c r="E562" s="71"/>
      <c r="F562" s="71"/>
      <c r="G562" s="71"/>
      <c r="H562" s="71"/>
      <c r="I562" s="71"/>
      <c r="J562" s="71"/>
      <c r="K562" s="72"/>
      <c r="L562" s="67"/>
    </row>
    <row r="563" spans="2:12" ht="15" hidden="1" customHeight="1">
      <c r="B563" s="60" t="str">
        <f>'[6]PLANILHA ORÇAMENTÁRIA'!D143</f>
        <v>14.5.2</v>
      </c>
      <c r="C563" s="1003" t="str">
        <f>'[6]PLANILHA ORÇAMENTÁRIA'!E143</f>
        <v>LASTRO DE CONCRETO MAGRO, APLICADO EM PISOS OU RADIERS, ESPESSURA DE 5CM. AF_07_2016</v>
      </c>
      <c r="D563" s="1003"/>
      <c r="E563" s="1003"/>
      <c r="F563" s="1003"/>
      <c r="G563" s="1003"/>
      <c r="H563" s="1003"/>
      <c r="I563" s="1003"/>
      <c r="J563" s="1003"/>
      <c r="K563" s="61" t="str">
        <f>'[6]PLANILHA ORÇAMENTÁRIA'!F143</f>
        <v>M2</v>
      </c>
      <c r="L563" s="62">
        <f>K566</f>
        <v>0.09</v>
      </c>
    </row>
    <row r="564" spans="2:12" hidden="1">
      <c r="B564" s="63"/>
      <c r="C564" s="1004" t="s">
        <v>20</v>
      </c>
      <c r="D564" s="1004"/>
      <c r="E564" s="1004"/>
      <c r="F564" s="64" t="s">
        <v>22</v>
      </c>
      <c r="G564" s="65" t="s">
        <v>111</v>
      </c>
      <c r="H564" s="64" t="s">
        <v>112</v>
      </c>
      <c r="I564" s="65" t="s">
        <v>113</v>
      </c>
      <c r="J564" s="65" t="s">
        <v>114</v>
      </c>
      <c r="K564" s="66" t="s">
        <v>25</v>
      </c>
      <c r="L564" s="67"/>
    </row>
    <row r="565" spans="2:12" hidden="1">
      <c r="B565" s="63"/>
      <c r="C565" s="1001"/>
      <c r="D565" s="1001"/>
      <c r="E565" s="1001"/>
      <c r="F565" s="68">
        <v>4</v>
      </c>
      <c r="G565" s="68"/>
      <c r="H565" s="68">
        <v>0.15</v>
      </c>
      <c r="I565" s="68">
        <v>0.15</v>
      </c>
      <c r="J565" s="68"/>
      <c r="K565" s="69">
        <f>PRODUCT(F565:I565)</f>
        <v>0.09</v>
      </c>
      <c r="L565" s="67"/>
    </row>
    <row r="566" spans="2:12" hidden="1">
      <c r="B566" s="63"/>
      <c r="C566" s="1002" t="s">
        <v>116</v>
      </c>
      <c r="D566" s="1002"/>
      <c r="E566" s="1002"/>
      <c r="F566" s="1002"/>
      <c r="G566" s="1002"/>
      <c r="H566" s="1002"/>
      <c r="I566" s="1002"/>
      <c r="J566" s="1002"/>
      <c r="K566" s="70">
        <f>SUM(K565:K565)</f>
        <v>0.09</v>
      </c>
      <c r="L566" s="67"/>
    </row>
    <row r="567" spans="2:12" ht="17.25" hidden="1" customHeight="1">
      <c r="B567" s="63"/>
      <c r="C567" s="71"/>
      <c r="D567" s="71"/>
      <c r="E567" s="71"/>
      <c r="F567" s="71"/>
      <c r="G567" s="71"/>
      <c r="H567" s="71"/>
      <c r="I567" s="71"/>
      <c r="J567" s="71"/>
      <c r="K567" s="72"/>
      <c r="L567" s="67"/>
    </row>
    <row r="568" spans="2:12" ht="22.5" hidden="1" customHeight="1">
      <c r="B568" s="60" t="str">
        <f>'[6]PLANILHA ORÇAMENTÁRIA'!D144</f>
        <v>14.5.3</v>
      </c>
      <c r="C568" s="1003" t="str">
        <f>'[6]PLANILHA ORÇAMENTÁRIA'!E144</f>
        <v>CONCRETAGEM DE BLOCOS DE COROAMENTO E VIGAS BALDRAMES, FCK 30 MPA, COM USO DE BOMBA LANÇAMENTO, ADENSAMENTO E ACABAMENTO. AF_06/2017</v>
      </c>
      <c r="D568" s="1003"/>
      <c r="E568" s="1003"/>
      <c r="F568" s="1003"/>
      <c r="G568" s="1003"/>
      <c r="H568" s="1003"/>
      <c r="I568" s="1003"/>
      <c r="J568" s="1003"/>
      <c r="K568" s="61" t="str">
        <f>'[6]PLANILHA ORÇAMENTÁRIA'!F144</f>
        <v>M3</v>
      </c>
      <c r="L568" s="62">
        <f>K571</f>
        <v>0.03</v>
      </c>
    </row>
    <row r="569" spans="2:12" hidden="1">
      <c r="B569" s="63"/>
      <c r="C569" s="1004" t="s">
        <v>20</v>
      </c>
      <c r="D569" s="1004"/>
      <c r="E569" s="1004"/>
      <c r="F569" s="64" t="s">
        <v>22</v>
      </c>
      <c r="G569" s="65" t="s">
        <v>111</v>
      </c>
      <c r="H569" s="64" t="s">
        <v>112</v>
      </c>
      <c r="I569" s="65" t="s">
        <v>113</v>
      </c>
      <c r="J569" s="65" t="s">
        <v>114</v>
      </c>
      <c r="K569" s="66" t="s">
        <v>25</v>
      </c>
      <c r="L569" s="67"/>
    </row>
    <row r="570" spans="2:12" hidden="1">
      <c r="B570" s="63"/>
      <c r="C570" s="1001" t="s">
        <v>191</v>
      </c>
      <c r="D570" s="1001"/>
      <c r="E570" s="1001"/>
      <c r="F570" s="68">
        <v>4</v>
      </c>
      <c r="G570" s="68">
        <v>0.4</v>
      </c>
      <c r="H570" s="68">
        <v>0.15</v>
      </c>
      <c r="I570" s="68">
        <v>0.15</v>
      </c>
      <c r="J570" s="68"/>
      <c r="K570" s="906">
        <f>TRUNC(G570*H570*F570*I570,2)</f>
        <v>0.03</v>
      </c>
      <c r="L570" s="67"/>
    </row>
    <row r="571" spans="2:12" hidden="1">
      <c r="B571" s="63"/>
      <c r="C571" s="1002" t="s">
        <v>116</v>
      </c>
      <c r="D571" s="1002"/>
      <c r="E571" s="1002"/>
      <c r="F571" s="1002"/>
      <c r="G571" s="1002"/>
      <c r="H571" s="1002"/>
      <c r="I571" s="1002"/>
      <c r="J571" s="1002"/>
      <c r="K571" s="66">
        <f>SUM(K570:K570)</f>
        <v>0.03</v>
      </c>
      <c r="L571" s="67"/>
    </row>
    <row r="572" spans="2:12" ht="18" hidden="1" customHeight="1"/>
    <row r="573" spans="2:12" ht="15" hidden="1" customHeight="1">
      <c r="B573" s="60" t="str">
        <f>'[6]PLANILHA ORÇAMENTÁRIA'!D145</f>
        <v>14.5.4</v>
      </c>
      <c r="C573" s="1003" t="str">
        <f>'[6]PLANILHA ORÇAMENTÁRIA'!E145</f>
        <v>TUBO DE AÇO GALVANIZADO COM COSTURA 2" - FORNECIMENTO E INSTALACAO. - M</v>
      </c>
      <c r="D573" s="1003"/>
      <c r="E573" s="1003"/>
      <c r="F573" s="1003"/>
      <c r="G573" s="1003"/>
      <c r="H573" s="1003"/>
      <c r="I573" s="1003"/>
      <c r="J573" s="1003"/>
      <c r="K573" s="61" t="str">
        <f>'[6]PLANILHA ORÇAMENTÁRIA'!F145</f>
        <v>M</v>
      </c>
      <c r="L573" s="62">
        <f>K577</f>
        <v>14</v>
      </c>
    </row>
    <row r="574" spans="2:12" hidden="1">
      <c r="B574" s="63"/>
      <c r="C574" s="1004" t="s">
        <v>20</v>
      </c>
      <c r="D574" s="1004"/>
      <c r="E574" s="1004"/>
      <c r="F574" s="64" t="s">
        <v>22</v>
      </c>
      <c r="G574" s="65" t="s">
        <v>111</v>
      </c>
      <c r="H574" s="64" t="s">
        <v>112</v>
      </c>
      <c r="I574" s="65" t="s">
        <v>113</v>
      </c>
      <c r="J574" s="65" t="s">
        <v>114</v>
      </c>
      <c r="K574" s="66" t="s">
        <v>25</v>
      </c>
      <c r="L574" s="67"/>
    </row>
    <row r="575" spans="2:12" hidden="1">
      <c r="B575" s="63"/>
      <c r="C575" s="1001" t="s">
        <v>189</v>
      </c>
      <c r="D575" s="1001"/>
      <c r="E575" s="1001"/>
      <c r="F575" s="68">
        <v>4</v>
      </c>
      <c r="G575" s="68"/>
      <c r="H575" s="68"/>
      <c r="I575" s="68">
        <v>1.6</v>
      </c>
      <c r="J575" s="68"/>
      <c r="K575" s="906">
        <f>F575*I575</f>
        <v>6.4</v>
      </c>
      <c r="L575" s="67"/>
    </row>
    <row r="576" spans="2:12" hidden="1">
      <c r="B576" s="63"/>
      <c r="C576" s="1005" t="s">
        <v>190</v>
      </c>
      <c r="D576" s="1006"/>
      <c r="E576" s="1007"/>
      <c r="F576" s="68">
        <v>4</v>
      </c>
      <c r="G576" s="68"/>
      <c r="H576" s="68"/>
      <c r="I576" s="68">
        <v>1.9</v>
      </c>
      <c r="J576" s="68"/>
      <c r="K576" s="906">
        <f>F576*I576</f>
        <v>7.6</v>
      </c>
      <c r="L576" s="67"/>
    </row>
    <row r="577" spans="2:12" hidden="1">
      <c r="B577" s="63"/>
      <c r="C577" s="1002" t="s">
        <v>116</v>
      </c>
      <c r="D577" s="1002"/>
      <c r="E577" s="1002"/>
      <c r="F577" s="1002"/>
      <c r="G577" s="1002"/>
      <c r="H577" s="1002"/>
      <c r="I577" s="1002"/>
      <c r="J577" s="1002"/>
      <c r="K577" s="66">
        <f>SUM(K575:K576)</f>
        <v>14</v>
      </c>
      <c r="L577" s="67"/>
    </row>
    <row r="578" spans="2:12" hidden="1">
      <c r="B578" s="63"/>
      <c r="C578" s="71"/>
      <c r="D578" s="71"/>
      <c r="E578" s="71"/>
      <c r="F578" s="71"/>
      <c r="G578" s="71"/>
      <c r="H578" s="71"/>
      <c r="I578" s="71"/>
      <c r="J578" s="71"/>
      <c r="K578" s="73"/>
      <c r="L578" s="67"/>
    </row>
    <row r="579" spans="2:12" ht="15" hidden="1" customHeight="1">
      <c r="B579" s="60" t="str">
        <f>'[6]PLANILHA ORÇAMENTÁRIA'!D146</f>
        <v>14.5.5</v>
      </c>
      <c r="C579" s="1003" t="str">
        <f>'[6]PLANILHA ORÇAMENTÁRIA'!E146</f>
        <v>PINTURA ESMALTE ALTO BRILHO, DUAS DEMAOS, SOBRE SUPERFICIE METALICA</v>
      </c>
      <c r="D579" s="1003"/>
      <c r="E579" s="1003"/>
      <c r="F579" s="1003"/>
      <c r="G579" s="1003"/>
      <c r="H579" s="1003"/>
      <c r="I579" s="1003"/>
      <c r="J579" s="1003"/>
      <c r="K579" s="61" t="str">
        <f>'[6]PLANILHA ORÇAMENTÁRIA'!F146</f>
        <v>M2</v>
      </c>
      <c r="L579" s="62">
        <f>K583</f>
        <v>1.94</v>
      </c>
    </row>
    <row r="580" spans="2:12" hidden="1">
      <c r="B580" s="63"/>
      <c r="C580" s="1004" t="s">
        <v>20</v>
      </c>
      <c r="D580" s="1004"/>
      <c r="E580" s="1004"/>
      <c r="F580" s="64" t="s">
        <v>22</v>
      </c>
      <c r="G580" s="65" t="s">
        <v>111</v>
      </c>
      <c r="H580" s="64" t="s">
        <v>178</v>
      </c>
      <c r="I580" s="65" t="s">
        <v>113</v>
      </c>
      <c r="J580" s="65" t="s">
        <v>114</v>
      </c>
      <c r="K580" s="66" t="s">
        <v>25</v>
      </c>
      <c r="L580" s="67"/>
    </row>
    <row r="581" spans="2:12" hidden="1">
      <c r="B581" s="63"/>
      <c r="C581" s="1001" t="s">
        <v>189</v>
      </c>
      <c r="D581" s="1001"/>
      <c r="E581" s="1001"/>
      <c r="F581" s="68">
        <v>4</v>
      </c>
      <c r="G581" s="68"/>
      <c r="H581" s="75">
        <v>2.5000000000000001E-2</v>
      </c>
      <c r="I581" s="68">
        <v>1.2</v>
      </c>
      <c r="J581" s="68"/>
      <c r="K581" s="906">
        <f>TRUNC((2*3.14*H581*I581)*F581,2)</f>
        <v>0.75</v>
      </c>
      <c r="L581" s="67"/>
    </row>
    <row r="582" spans="2:12" hidden="1">
      <c r="B582" s="63"/>
      <c r="C582" s="1005" t="s">
        <v>190</v>
      </c>
      <c r="D582" s="1006"/>
      <c r="E582" s="1007"/>
      <c r="F582" s="68">
        <v>4</v>
      </c>
      <c r="G582" s="68"/>
      <c r="H582" s="75">
        <v>2.5000000000000001E-2</v>
      </c>
      <c r="I582" s="68">
        <v>1.9</v>
      </c>
      <c r="J582" s="68"/>
      <c r="K582" s="906">
        <f>TRUNC((2*3.14*H582*I582)*F582,2)</f>
        <v>1.19</v>
      </c>
      <c r="L582" s="67"/>
    </row>
    <row r="583" spans="2:12" hidden="1">
      <c r="B583" s="63"/>
      <c r="C583" s="1002" t="s">
        <v>116</v>
      </c>
      <c r="D583" s="1002"/>
      <c r="E583" s="1002"/>
      <c r="F583" s="1002"/>
      <c r="G583" s="1002"/>
      <c r="H583" s="1002"/>
      <c r="I583" s="1002"/>
      <c r="J583" s="1002"/>
      <c r="K583" s="66">
        <f>SUM(K581:K582)</f>
        <v>1.94</v>
      </c>
      <c r="L583" s="67"/>
    </row>
    <row r="584" spans="2:12" hidden="1"/>
    <row r="585" spans="2:12" hidden="1">
      <c r="B585" s="58" t="str">
        <f>'[6]PLANILHA ORÇAMENTÁRIA'!D147</f>
        <v>14.6</v>
      </c>
      <c r="C585" s="1000" t="str">
        <f>'[6]PLANILHA ORÇAMENTÁRIA'!E147</f>
        <v>BANCOS DE APOIO</v>
      </c>
      <c r="D585" s="1000"/>
      <c r="E585" s="1000"/>
      <c r="F585" s="1000"/>
      <c r="G585" s="1000"/>
      <c r="H585" s="1000"/>
      <c r="I585" s="1000"/>
      <c r="J585" s="1000"/>
      <c r="K585" s="59"/>
      <c r="L585" s="59"/>
    </row>
    <row r="586" spans="2:12" ht="15" hidden="1" customHeight="1">
      <c r="B586" s="60" t="str">
        <f>'[6]PLANILHA ORÇAMENTÁRIA'!D148</f>
        <v>14.6.1</v>
      </c>
      <c r="C586" s="1003" t="str">
        <f>'[6]PLANILHA ORÇAMENTÁRIA'!E148</f>
        <v>CONJUNTO DE BANCOS, TAMPO EM CONCRETO SIMPLES, DESEMPOLADA H=5OCM, 40CM E 30CM</v>
      </c>
      <c r="D586" s="1003"/>
      <c r="E586" s="1003"/>
      <c r="F586" s="1003"/>
      <c r="G586" s="1003"/>
      <c r="H586" s="1003"/>
      <c r="I586" s="1003"/>
      <c r="J586" s="1003"/>
      <c r="K586" s="61" t="str">
        <f>'[6]PLANILHA ORÇAMENTÁRIA'!F148</f>
        <v>CJ</v>
      </c>
      <c r="L586" s="62">
        <f>K589</f>
        <v>1</v>
      </c>
    </row>
    <row r="587" spans="2:12" hidden="1">
      <c r="B587" s="63"/>
      <c r="C587" s="1004" t="s">
        <v>20</v>
      </c>
      <c r="D587" s="1004"/>
      <c r="E587" s="1004"/>
      <c r="F587" s="64" t="s">
        <v>22</v>
      </c>
      <c r="G587" s="65" t="s">
        <v>111</v>
      </c>
      <c r="H587" s="64" t="s">
        <v>112</v>
      </c>
      <c r="I587" s="65" t="s">
        <v>113</v>
      </c>
      <c r="J587" s="65" t="s">
        <v>114</v>
      </c>
      <c r="K587" s="66" t="s">
        <v>25</v>
      </c>
      <c r="L587" s="67"/>
    </row>
    <row r="588" spans="2:12" hidden="1">
      <c r="B588" s="63"/>
      <c r="C588" s="1001" t="s">
        <v>192</v>
      </c>
      <c r="D588" s="1001"/>
      <c r="E588" s="1001"/>
      <c r="F588" s="68">
        <v>1</v>
      </c>
      <c r="G588" s="68"/>
      <c r="H588" s="68"/>
      <c r="I588" s="68"/>
      <c r="J588" s="68"/>
      <c r="K588" s="69">
        <f>PRODUCT(F588:I588)</f>
        <v>1</v>
      </c>
      <c r="L588" s="67"/>
    </row>
    <row r="589" spans="2:12" hidden="1">
      <c r="B589" s="63"/>
      <c r="C589" s="1002" t="s">
        <v>116</v>
      </c>
      <c r="D589" s="1002"/>
      <c r="E589" s="1002"/>
      <c r="F589" s="1002"/>
      <c r="G589" s="1002"/>
      <c r="H589" s="1002"/>
      <c r="I589" s="1002"/>
      <c r="J589" s="1002"/>
      <c r="K589" s="70">
        <f>SUM(K588:K588)</f>
        <v>1</v>
      </c>
      <c r="L589" s="67"/>
    </row>
    <row r="590" spans="2:12" ht="15" hidden="1" customHeight="1"/>
    <row r="591" spans="2:12" hidden="1">
      <c r="B591" s="58" t="str">
        <f>'[6]PLANILHA ORÇAMENTÁRIA'!D149</f>
        <v>14.7</v>
      </c>
      <c r="C591" s="1000" t="str">
        <f>'[6]PLANILHA ORÇAMENTÁRIA'!E149</f>
        <v>PRANCHAS PARA EXERCICIOS ABDOMINAIS</v>
      </c>
      <c r="D591" s="1000"/>
      <c r="E591" s="1000"/>
      <c r="F591" s="1000"/>
      <c r="G591" s="1000"/>
      <c r="H591" s="1000"/>
      <c r="I591" s="1000"/>
      <c r="J591" s="1000"/>
      <c r="K591" s="59"/>
      <c r="L591" s="59"/>
    </row>
    <row r="592" spans="2:12" ht="26.25" hidden="1" customHeight="1">
      <c r="B592" s="60" t="str">
        <f>'[6]PLANILHA ORÇAMENTÁRIA'!D150</f>
        <v>14.7.1</v>
      </c>
      <c r="C592" s="1003" t="str">
        <f>'[6]PLANILHA ORÇAMENTÁRIA'!E150</f>
        <v>CONJUNTO DE PRANCHAS P/ EXERCICIOS ABDOMINAIS, TAMPO EM CONCRETO SIMPLES, DESEMPOLADA H=80CM, H=5OCM E 40CM</v>
      </c>
      <c r="D592" s="1003"/>
      <c r="E592" s="1003"/>
      <c r="F592" s="1003"/>
      <c r="G592" s="1003"/>
      <c r="H592" s="1003"/>
      <c r="I592" s="1003"/>
      <c r="J592" s="1003"/>
      <c r="K592" s="61" t="str">
        <f>'[6]PLANILHA ORÇAMENTÁRIA'!F150</f>
        <v>CJ</v>
      </c>
      <c r="L592" s="62">
        <f>K595</f>
        <v>1</v>
      </c>
    </row>
    <row r="593" spans="2:12" hidden="1">
      <c r="B593" s="63"/>
      <c r="C593" s="1004" t="s">
        <v>20</v>
      </c>
      <c r="D593" s="1004"/>
      <c r="E593" s="1004"/>
      <c r="F593" s="64" t="s">
        <v>22</v>
      </c>
      <c r="G593" s="65" t="s">
        <v>111</v>
      </c>
      <c r="H593" s="64" t="s">
        <v>112</v>
      </c>
      <c r="I593" s="65" t="s">
        <v>113</v>
      </c>
      <c r="J593" s="65" t="s">
        <v>114</v>
      </c>
      <c r="K593" s="66" t="s">
        <v>25</v>
      </c>
      <c r="L593" s="67"/>
    </row>
    <row r="594" spans="2:12" hidden="1">
      <c r="B594" s="63"/>
      <c r="C594" s="1001" t="s">
        <v>193</v>
      </c>
      <c r="D594" s="1001"/>
      <c r="E594" s="1001"/>
      <c r="F594" s="68">
        <v>1</v>
      </c>
      <c r="G594" s="68"/>
      <c r="H594" s="68"/>
      <c r="I594" s="68"/>
      <c r="J594" s="68"/>
      <c r="K594" s="69">
        <f>PRODUCT(F594:I594)</f>
        <v>1</v>
      </c>
      <c r="L594" s="67"/>
    </row>
    <row r="595" spans="2:12" hidden="1">
      <c r="B595" s="63"/>
      <c r="C595" s="1002" t="s">
        <v>116</v>
      </c>
      <c r="D595" s="1002"/>
      <c r="E595" s="1002"/>
      <c r="F595" s="1002"/>
      <c r="G595" s="1002"/>
      <c r="H595" s="1002"/>
      <c r="I595" s="1002"/>
      <c r="J595" s="1002"/>
      <c r="K595" s="70">
        <f>SUM(K594:K594)</f>
        <v>1</v>
      </c>
      <c r="L595" s="67"/>
    </row>
    <row r="596" spans="2:12" hidden="1">
      <c r="B596" s="63"/>
      <c r="C596" s="71"/>
      <c r="D596" s="71"/>
      <c r="E596" s="71"/>
      <c r="F596" s="71"/>
      <c r="G596" s="71"/>
      <c r="H596" s="71"/>
      <c r="I596" s="71"/>
      <c r="J596" s="71"/>
      <c r="K596" s="72"/>
      <c r="L596" s="67"/>
    </row>
    <row r="597" spans="2:12" hidden="1">
      <c r="B597" s="63"/>
      <c r="C597" s="71"/>
      <c r="D597" s="71"/>
      <c r="E597" s="71"/>
      <c r="F597" s="71"/>
      <c r="G597" s="71"/>
      <c r="H597" s="71"/>
      <c r="I597" s="71"/>
      <c r="J597" s="71"/>
      <c r="K597" s="73"/>
      <c r="L597" s="67"/>
    </row>
    <row r="598" spans="2:12" ht="15" hidden="1" customHeight="1">
      <c r="B598" s="60" t="str">
        <f>'[6]PLANILHA ORÇAMENTÁRIA'!D153</f>
        <v>15.2</v>
      </c>
      <c r="C598" s="1003" t="str">
        <f>'[6]PLANILHA ORÇAMENTÁRIA'!E153</f>
        <v>BARRA DE APOIO RETA, EM ACO INOX POLIDO, COMPRIMENTO 60CM, DIAMETRO MINIMO 3CM</v>
      </c>
      <c r="D598" s="1003"/>
      <c r="E598" s="1003"/>
      <c r="F598" s="1003"/>
      <c r="G598" s="1003"/>
      <c r="H598" s="1003"/>
      <c r="I598" s="1003"/>
      <c r="J598" s="1003"/>
      <c r="K598" s="61" t="str">
        <f>'[6]PLANILHA ORÇAMENTÁRIA'!F153</f>
        <v>UND</v>
      </c>
      <c r="L598" s="62">
        <f>K602</f>
        <v>2</v>
      </c>
    </row>
    <row r="599" spans="2:12" hidden="1">
      <c r="B599" s="63"/>
      <c r="C599" s="1011" t="s">
        <v>20</v>
      </c>
      <c r="D599" s="1012"/>
      <c r="E599" s="1013"/>
      <c r="F599" s="64" t="s">
        <v>22</v>
      </c>
      <c r="G599" s="65" t="s">
        <v>111</v>
      </c>
      <c r="H599" s="65" t="s">
        <v>114</v>
      </c>
      <c r="I599" s="65" t="s">
        <v>113</v>
      </c>
      <c r="J599" s="65" t="s">
        <v>136</v>
      </c>
      <c r="K599" s="66" t="s">
        <v>25</v>
      </c>
      <c r="L599" s="67"/>
    </row>
    <row r="600" spans="2:12" ht="15" hidden="1" customHeight="1">
      <c r="B600" s="63"/>
      <c r="C600" s="1005" t="s">
        <v>170</v>
      </c>
      <c r="D600" s="1006"/>
      <c r="E600" s="1007"/>
      <c r="F600" s="68">
        <v>1</v>
      </c>
      <c r="G600" s="68"/>
      <c r="H600" s="68"/>
      <c r="I600" s="68"/>
      <c r="J600" s="68"/>
      <c r="K600" s="906">
        <f>F600</f>
        <v>1</v>
      </c>
      <c r="L600" s="67"/>
    </row>
    <row r="601" spans="2:12" ht="15" hidden="1" customHeight="1">
      <c r="B601" s="63"/>
      <c r="C601" s="1005" t="s">
        <v>194</v>
      </c>
      <c r="D601" s="1006"/>
      <c r="E601" s="1007"/>
      <c r="F601" s="68">
        <v>1</v>
      </c>
      <c r="G601" s="68"/>
      <c r="H601" s="68"/>
      <c r="I601" s="68"/>
      <c r="J601" s="68"/>
      <c r="K601" s="906">
        <f>F601</f>
        <v>1</v>
      </c>
      <c r="L601" s="67"/>
    </row>
    <row r="602" spans="2:12" hidden="1">
      <c r="B602" s="63"/>
      <c r="C602" s="1008" t="s">
        <v>116</v>
      </c>
      <c r="D602" s="1009"/>
      <c r="E602" s="1009"/>
      <c r="F602" s="1009"/>
      <c r="G602" s="1009"/>
      <c r="H602" s="1009"/>
      <c r="I602" s="1009"/>
      <c r="J602" s="1010"/>
      <c r="K602" s="66">
        <f>SUM(K600:K601)</f>
        <v>2</v>
      </c>
      <c r="L602" s="67"/>
    </row>
    <row r="603" spans="2:12" hidden="1">
      <c r="B603" s="63"/>
      <c r="C603" s="71"/>
      <c r="D603" s="71"/>
      <c r="E603" s="71"/>
      <c r="F603" s="71"/>
      <c r="G603" s="71"/>
      <c r="H603" s="71"/>
      <c r="I603" s="71"/>
      <c r="J603" s="71"/>
      <c r="K603" s="73"/>
      <c r="L603" s="67"/>
    </row>
    <row r="604" spans="2:12" ht="15" hidden="1" customHeight="1">
      <c r="B604" s="60" t="str">
        <f>'[6]PLANILHA ORÇAMENTÁRIA'!D154</f>
        <v>15.3</v>
      </c>
      <c r="C604" s="1003" t="str">
        <f>'[6]PLANILHA ORÇAMENTÁRIA'!E154</f>
        <v>PRATELEIRA EM CONCRETO ARMADO, LARGURA = 40CM, ESP= 5CM, REVESTIDA COM CERAMICA.</v>
      </c>
      <c r="D604" s="1003"/>
      <c r="E604" s="1003"/>
      <c r="F604" s="1003"/>
      <c r="G604" s="1003"/>
      <c r="H604" s="1003"/>
      <c r="I604" s="1003"/>
      <c r="J604" s="1003"/>
      <c r="K604" s="61" t="str">
        <f>'[6]PLANILHA ORÇAMENTÁRIA'!F154</f>
        <v>M</v>
      </c>
      <c r="L604" s="62">
        <f>K607</f>
        <v>12.6</v>
      </c>
    </row>
    <row r="605" spans="2:12" hidden="1">
      <c r="B605" s="63"/>
      <c r="C605" s="1011" t="s">
        <v>20</v>
      </c>
      <c r="D605" s="1012"/>
      <c r="E605" s="1013"/>
      <c r="F605" s="64" t="s">
        <v>22</v>
      </c>
      <c r="G605" s="65" t="s">
        <v>111</v>
      </c>
      <c r="H605" s="65" t="s">
        <v>114</v>
      </c>
      <c r="I605" s="65" t="s">
        <v>113</v>
      </c>
      <c r="J605" s="65" t="s">
        <v>136</v>
      </c>
      <c r="K605" s="66" t="s">
        <v>25</v>
      </c>
      <c r="L605" s="67"/>
    </row>
    <row r="606" spans="2:12" hidden="1">
      <c r="B606" s="63"/>
      <c r="C606" s="1005" t="s">
        <v>167</v>
      </c>
      <c r="D606" s="1006"/>
      <c r="E606" s="1007"/>
      <c r="F606" s="68">
        <v>3</v>
      </c>
      <c r="G606" s="68"/>
      <c r="H606" s="68"/>
      <c r="I606" s="68">
        <v>4.2</v>
      </c>
      <c r="J606" s="68"/>
      <c r="K606" s="906">
        <f>TRUNC((I606*F606),2)</f>
        <v>12.6</v>
      </c>
      <c r="L606" s="67"/>
    </row>
    <row r="607" spans="2:12" hidden="1">
      <c r="B607" s="63"/>
      <c r="C607" s="1008" t="s">
        <v>116</v>
      </c>
      <c r="D607" s="1009"/>
      <c r="E607" s="1009"/>
      <c r="F607" s="1009"/>
      <c r="G607" s="1009"/>
      <c r="H607" s="1009"/>
      <c r="I607" s="1009"/>
      <c r="J607" s="1010"/>
      <c r="K607" s="66">
        <f>SUM(K606:K606)</f>
        <v>12.6</v>
      </c>
      <c r="L607" s="67"/>
    </row>
    <row r="608" spans="2:12" hidden="1">
      <c r="B608" s="63"/>
      <c r="C608" s="71"/>
      <c r="D608" s="71"/>
      <c r="E608" s="71"/>
      <c r="F608" s="71"/>
      <c r="G608" s="71"/>
      <c r="H608" s="71"/>
      <c r="I608" s="71"/>
      <c r="J608" s="71"/>
      <c r="K608" s="73"/>
      <c r="L608" s="67"/>
    </row>
    <row r="609" spans="2:12">
      <c r="B609" s="63"/>
      <c r="C609" s="71"/>
      <c r="D609" s="71"/>
      <c r="E609" s="71"/>
      <c r="F609" s="71"/>
      <c r="G609" s="71"/>
      <c r="H609" s="71"/>
      <c r="I609" s="71"/>
      <c r="J609" s="71"/>
      <c r="K609" s="73"/>
      <c r="L609" s="67"/>
    </row>
    <row r="610" spans="2:12">
      <c r="B610" s="76" t="s">
        <v>32</v>
      </c>
      <c r="C610" s="988" t="s">
        <v>34</v>
      </c>
      <c r="D610" s="988"/>
      <c r="E610" s="988"/>
      <c r="F610" s="988"/>
      <c r="G610" s="988"/>
      <c r="H610" s="988"/>
      <c r="I610" s="988"/>
      <c r="J610" s="988"/>
      <c r="K610" s="77"/>
      <c r="L610" s="77"/>
    </row>
    <row r="612" spans="2:12" ht="26.25" customHeight="1">
      <c r="B612" s="78" t="s">
        <v>12</v>
      </c>
      <c r="C612" s="976" t="str">
        <f>'ESC. MUN. ANDRE VIDAL'!C23</f>
        <v>APLICAÇÃO MANUAL DE PINTURA COM TINTA LÁTEX ACRÍLICA EM PAREDES, DUAS DEMÃOS. AF_06/2014</v>
      </c>
      <c r="D612" s="977"/>
      <c r="E612" s="977"/>
      <c r="F612" s="977"/>
      <c r="G612" s="977"/>
      <c r="H612" s="977"/>
      <c r="I612" s="977"/>
      <c r="J612" s="978"/>
      <c r="K612" s="97" t="s">
        <v>7</v>
      </c>
      <c r="L612" s="97">
        <f>K636</f>
        <v>375.19999999999993</v>
      </c>
    </row>
    <row r="613" spans="2:12">
      <c r="B613" s="78"/>
      <c r="C613" s="992" t="s">
        <v>20</v>
      </c>
      <c r="D613" s="992"/>
      <c r="E613" s="992"/>
      <c r="F613" s="79" t="s">
        <v>22</v>
      </c>
      <c r="G613" s="80" t="s">
        <v>111</v>
      </c>
      <c r="H613" s="79" t="s">
        <v>112</v>
      </c>
      <c r="I613" s="80" t="s">
        <v>113</v>
      </c>
      <c r="J613" s="80" t="s">
        <v>114</v>
      </c>
      <c r="K613" s="81" t="s">
        <v>25</v>
      </c>
      <c r="L613" s="82"/>
    </row>
    <row r="614" spans="2:12">
      <c r="B614" s="78"/>
      <c r="C614" s="976" t="s">
        <v>235</v>
      </c>
      <c r="D614" s="977"/>
      <c r="E614" s="978"/>
      <c r="F614" s="83">
        <v>1</v>
      </c>
      <c r="G614" s="83">
        <v>1.5</v>
      </c>
      <c r="H614" s="83">
        <v>1</v>
      </c>
      <c r="I614" s="83">
        <v>28</v>
      </c>
      <c r="J614" s="83">
        <v>10.08</v>
      </c>
      <c r="K614" s="84">
        <f>(I614*H614*G614*F614)-J614</f>
        <v>31.92</v>
      </c>
      <c r="L614" s="82"/>
    </row>
    <row r="615" spans="2:12">
      <c r="B615" s="78"/>
      <c r="C615" s="976" t="s">
        <v>236</v>
      </c>
      <c r="D615" s="977"/>
      <c r="E615" s="978"/>
      <c r="F615" s="83">
        <v>1</v>
      </c>
      <c r="G615" s="83">
        <v>1.5</v>
      </c>
      <c r="H615" s="83">
        <v>1</v>
      </c>
      <c r="I615" s="83">
        <v>19.05</v>
      </c>
      <c r="J615" s="83">
        <v>4.2</v>
      </c>
      <c r="K615" s="84">
        <f t="shared" ref="K615:K635" si="3">(I615*H615*G615*F615)-J615</f>
        <v>24.375000000000004</v>
      </c>
      <c r="L615" s="82"/>
    </row>
    <row r="616" spans="2:12">
      <c r="B616" s="78"/>
      <c r="C616" s="976" t="s">
        <v>237</v>
      </c>
      <c r="D616" s="977"/>
      <c r="E616" s="978"/>
      <c r="F616" s="83">
        <v>1</v>
      </c>
      <c r="G616" s="83">
        <v>1.5</v>
      </c>
      <c r="H616" s="83">
        <v>1</v>
      </c>
      <c r="I616" s="83">
        <v>8.5</v>
      </c>
      <c r="J616" s="83">
        <v>2.1</v>
      </c>
      <c r="K616" s="84">
        <f t="shared" si="3"/>
        <v>10.65</v>
      </c>
      <c r="L616" s="82"/>
    </row>
    <row r="617" spans="2:12">
      <c r="B617" s="78"/>
      <c r="C617" s="976" t="s">
        <v>237</v>
      </c>
      <c r="D617" s="977"/>
      <c r="E617" s="978"/>
      <c r="F617" s="83">
        <v>1</v>
      </c>
      <c r="G617" s="83">
        <v>1.5</v>
      </c>
      <c r="H617" s="83">
        <v>1.43</v>
      </c>
      <c r="I617" s="83">
        <v>1</v>
      </c>
      <c r="J617" s="83">
        <v>0</v>
      </c>
      <c r="K617" s="84">
        <f t="shared" si="3"/>
        <v>2.145</v>
      </c>
      <c r="L617" s="82"/>
    </row>
    <row r="618" spans="2:12">
      <c r="B618" s="78"/>
      <c r="C618" s="976" t="s">
        <v>237</v>
      </c>
      <c r="D618" s="977"/>
      <c r="E618" s="978"/>
      <c r="F618" s="83">
        <v>2</v>
      </c>
      <c r="G618" s="83">
        <v>1.5</v>
      </c>
      <c r="H618" s="83">
        <v>2.4</v>
      </c>
      <c r="I618" s="83">
        <v>1</v>
      </c>
      <c r="J618" s="83">
        <v>0</v>
      </c>
      <c r="K618" s="84">
        <f t="shared" si="3"/>
        <v>7.1999999999999993</v>
      </c>
      <c r="L618" s="82"/>
    </row>
    <row r="619" spans="2:12">
      <c r="B619" s="78"/>
      <c r="C619" s="976" t="s">
        <v>237</v>
      </c>
      <c r="D619" s="977"/>
      <c r="E619" s="978"/>
      <c r="F619" s="83">
        <v>1</v>
      </c>
      <c r="G619" s="83">
        <v>1.5</v>
      </c>
      <c r="H619" s="83">
        <v>2.5499999999999998</v>
      </c>
      <c r="I619" s="83">
        <v>1</v>
      </c>
      <c r="J619" s="83">
        <v>0</v>
      </c>
      <c r="K619" s="84">
        <f t="shared" si="3"/>
        <v>3.8249999999999997</v>
      </c>
      <c r="L619" s="82"/>
    </row>
    <row r="620" spans="2:12">
      <c r="B620" s="78"/>
      <c r="C620" s="976" t="s">
        <v>237</v>
      </c>
      <c r="D620" s="977"/>
      <c r="E620" s="978"/>
      <c r="F620" s="83">
        <v>2</v>
      </c>
      <c r="G620" s="83">
        <v>1.5</v>
      </c>
      <c r="H620" s="83">
        <v>3.75</v>
      </c>
      <c r="I620" s="83">
        <v>1</v>
      </c>
      <c r="J620" s="83">
        <v>1.68</v>
      </c>
      <c r="K620" s="84">
        <f t="shared" si="3"/>
        <v>9.57</v>
      </c>
      <c r="L620" s="82"/>
    </row>
    <row r="621" spans="2:12">
      <c r="B621" s="78"/>
      <c r="C621" s="976" t="s">
        <v>237</v>
      </c>
      <c r="D621" s="977"/>
      <c r="E621" s="978"/>
      <c r="F621" s="83">
        <v>2</v>
      </c>
      <c r="G621" s="83">
        <v>1.5</v>
      </c>
      <c r="H621" s="83">
        <v>2.4</v>
      </c>
      <c r="I621" s="83">
        <v>1</v>
      </c>
      <c r="J621" s="83">
        <v>0</v>
      </c>
      <c r="K621" s="84">
        <f t="shared" si="3"/>
        <v>7.1999999999999993</v>
      </c>
      <c r="L621" s="82"/>
    </row>
    <row r="622" spans="2:12">
      <c r="B622" s="78"/>
      <c r="C622" s="976" t="s">
        <v>237</v>
      </c>
      <c r="D622" s="977"/>
      <c r="E622" s="978"/>
      <c r="F622" s="83">
        <v>2</v>
      </c>
      <c r="G622" s="83">
        <v>1.5</v>
      </c>
      <c r="H622" s="83">
        <v>2.35</v>
      </c>
      <c r="I622" s="83">
        <v>1</v>
      </c>
      <c r="J622" s="83">
        <v>1.68</v>
      </c>
      <c r="K622" s="84">
        <f t="shared" si="3"/>
        <v>5.370000000000001</v>
      </c>
      <c r="L622" s="82"/>
    </row>
    <row r="623" spans="2:12">
      <c r="B623" s="78"/>
      <c r="C623" s="976" t="s">
        <v>237</v>
      </c>
      <c r="D623" s="977"/>
      <c r="E623" s="978"/>
      <c r="F623" s="83">
        <v>2</v>
      </c>
      <c r="G623" s="83">
        <v>1.5</v>
      </c>
      <c r="H623" s="83">
        <v>2.4</v>
      </c>
      <c r="I623" s="83">
        <v>1</v>
      </c>
      <c r="J623" s="83">
        <v>0</v>
      </c>
      <c r="K623" s="84">
        <f t="shared" si="3"/>
        <v>7.1999999999999993</v>
      </c>
      <c r="L623" s="82"/>
    </row>
    <row r="624" spans="2:12">
      <c r="B624" s="78"/>
      <c r="C624" s="976" t="s">
        <v>418</v>
      </c>
      <c r="D624" s="977"/>
      <c r="E624" s="978"/>
      <c r="F624" s="83">
        <v>1</v>
      </c>
      <c r="G624" s="83">
        <v>1.5</v>
      </c>
      <c r="H624" s="83">
        <v>1.1000000000000001</v>
      </c>
      <c r="I624" s="83">
        <v>1</v>
      </c>
      <c r="J624" s="83">
        <v>0</v>
      </c>
      <c r="K624" s="84">
        <f t="shared" si="3"/>
        <v>1.6500000000000001</v>
      </c>
      <c r="L624" s="82"/>
    </row>
    <row r="625" spans="2:12">
      <c r="B625" s="78"/>
      <c r="C625" s="976" t="s">
        <v>418</v>
      </c>
      <c r="D625" s="977"/>
      <c r="E625" s="978"/>
      <c r="F625" s="83">
        <v>1</v>
      </c>
      <c r="G625" s="83">
        <v>1.5</v>
      </c>
      <c r="H625" s="83">
        <v>2.5499999999999998</v>
      </c>
      <c r="I625" s="83">
        <v>1</v>
      </c>
      <c r="J625" s="83">
        <v>0</v>
      </c>
      <c r="K625" s="84">
        <f t="shared" si="3"/>
        <v>3.8249999999999997</v>
      </c>
      <c r="L625" s="82"/>
    </row>
    <row r="626" spans="2:12">
      <c r="B626" s="78"/>
      <c r="C626" s="976" t="s">
        <v>238</v>
      </c>
      <c r="D626" s="977"/>
      <c r="E626" s="978"/>
      <c r="F626" s="83">
        <v>1</v>
      </c>
      <c r="G626" s="83">
        <v>1.5</v>
      </c>
      <c r="H626" s="83">
        <v>1</v>
      </c>
      <c r="I626" s="83">
        <v>27.86</v>
      </c>
      <c r="J626" s="83">
        <v>4.0999999999999996</v>
      </c>
      <c r="K626" s="84">
        <f t="shared" si="3"/>
        <v>37.69</v>
      </c>
      <c r="L626" s="82"/>
    </row>
    <row r="627" spans="2:12">
      <c r="B627" s="78"/>
      <c r="C627" s="976" t="s">
        <v>240</v>
      </c>
      <c r="D627" s="977"/>
      <c r="E627" s="978"/>
      <c r="F627" s="83">
        <v>1</v>
      </c>
      <c r="G627" s="83">
        <v>1.5</v>
      </c>
      <c r="H627" s="83">
        <v>1</v>
      </c>
      <c r="I627" s="83">
        <v>17</v>
      </c>
      <c r="J627" s="83">
        <v>1.68</v>
      </c>
      <c r="K627" s="84">
        <f t="shared" si="3"/>
        <v>23.82</v>
      </c>
      <c r="L627" s="82"/>
    </row>
    <row r="628" spans="2:12">
      <c r="B628" s="78"/>
      <c r="C628" s="976" t="s">
        <v>239</v>
      </c>
      <c r="D628" s="977"/>
      <c r="E628" s="978"/>
      <c r="F628" s="83">
        <v>1</v>
      </c>
      <c r="G628" s="83">
        <v>1.5</v>
      </c>
      <c r="H628" s="83">
        <v>1</v>
      </c>
      <c r="I628" s="83">
        <v>27.08</v>
      </c>
      <c r="J628" s="83">
        <v>4.9800000000000004</v>
      </c>
      <c r="K628" s="84">
        <f t="shared" si="3"/>
        <v>35.64</v>
      </c>
      <c r="L628" s="82"/>
    </row>
    <row r="629" spans="2:12">
      <c r="B629" s="78"/>
      <c r="C629" s="976" t="s">
        <v>241</v>
      </c>
      <c r="D629" s="977"/>
      <c r="E629" s="978"/>
      <c r="F629" s="83">
        <v>1</v>
      </c>
      <c r="G629" s="83">
        <v>1.5</v>
      </c>
      <c r="H629" s="83">
        <v>1</v>
      </c>
      <c r="I629" s="83">
        <v>27.86</v>
      </c>
      <c r="J629" s="83">
        <v>2.1</v>
      </c>
      <c r="K629" s="84">
        <f t="shared" si="3"/>
        <v>39.69</v>
      </c>
      <c r="L629" s="82"/>
    </row>
    <row r="630" spans="2:12">
      <c r="B630" s="78"/>
      <c r="C630" s="976" t="s">
        <v>242</v>
      </c>
      <c r="D630" s="977"/>
      <c r="E630" s="978"/>
      <c r="F630" s="83">
        <v>1</v>
      </c>
      <c r="G630" s="83">
        <v>1.5</v>
      </c>
      <c r="H630" s="83">
        <v>1</v>
      </c>
      <c r="I630" s="83">
        <v>12.84</v>
      </c>
      <c r="J630" s="83">
        <v>1.83</v>
      </c>
      <c r="K630" s="84">
        <f t="shared" si="3"/>
        <v>17.43</v>
      </c>
      <c r="L630" s="82"/>
    </row>
    <row r="631" spans="2:12">
      <c r="B631" s="78"/>
      <c r="C631" s="976" t="s">
        <v>243</v>
      </c>
      <c r="D631" s="977"/>
      <c r="E631" s="978"/>
      <c r="F631" s="83">
        <v>1</v>
      </c>
      <c r="G631" s="83">
        <v>1.5</v>
      </c>
      <c r="H631" s="83">
        <v>1</v>
      </c>
      <c r="I631" s="83">
        <v>13.72</v>
      </c>
      <c r="J631" s="83">
        <v>3.57</v>
      </c>
      <c r="K631" s="84">
        <f t="shared" si="3"/>
        <v>17.010000000000002</v>
      </c>
      <c r="L631" s="82"/>
    </row>
    <row r="632" spans="2:12">
      <c r="B632" s="78"/>
      <c r="C632" s="976" t="s">
        <v>244</v>
      </c>
      <c r="D632" s="977"/>
      <c r="E632" s="978"/>
      <c r="F632" s="83">
        <v>1</v>
      </c>
      <c r="G632" s="83">
        <v>1.5</v>
      </c>
      <c r="H632" s="83">
        <v>1</v>
      </c>
      <c r="I632" s="83">
        <v>6.5</v>
      </c>
      <c r="J632" s="83">
        <v>1.26</v>
      </c>
      <c r="K632" s="84">
        <f t="shared" si="3"/>
        <v>8.49</v>
      </c>
      <c r="L632" s="82"/>
    </row>
    <row r="633" spans="2:12">
      <c r="B633" s="78"/>
      <c r="C633" s="976" t="s">
        <v>245</v>
      </c>
      <c r="D633" s="977"/>
      <c r="E633" s="978"/>
      <c r="F633" s="83">
        <v>1</v>
      </c>
      <c r="G633" s="83">
        <v>1.5</v>
      </c>
      <c r="H633" s="83">
        <v>1</v>
      </c>
      <c r="I633" s="83">
        <v>24.8</v>
      </c>
      <c r="J633" s="83">
        <v>12.68</v>
      </c>
      <c r="K633" s="84">
        <f t="shared" si="3"/>
        <v>24.520000000000003</v>
      </c>
      <c r="L633" s="82"/>
    </row>
    <row r="634" spans="2:12">
      <c r="B634" s="78"/>
      <c r="C634" s="976" t="s">
        <v>246</v>
      </c>
      <c r="D634" s="977"/>
      <c r="E634" s="978"/>
      <c r="F634" s="83">
        <v>1</v>
      </c>
      <c r="G634" s="83">
        <v>1.5</v>
      </c>
      <c r="H634" s="83">
        <v>1</v>
      </c>
      <c r="I634" s="83">
        <v>26.4</v>
      </c>
      <c r="J634" s="83">
        <v>8.5</v>
      </c>
      <c r="K634" s="84">
        <f t="shared" si="3"/>
        <v>31.099999999999994</v>
      </c>
      <c r="L634" s="82"/>
    </row>
    <row r="635" spans="2:12">
      <c r="B635" s="78"/>
      <c r="C635" s="976" t="s">
        <v>247</v>
      </c>
      <c r="D635" s="977"/>
      <c r="E635" s="978"/>
      <c r="F635" s="83">
        <v>1</v>
      </c>
      <c r="G635" s="83">
        <v>1.5</v>
      </c>
      <c r="H635" s="83">
        <v>1</v>
      </c>
      <c r="I635" s="83">
        <v>25.04</v>
      </c>
      <c r="J635" s="83">
        <v>12.68</v>
      </c>
      <c r="K635" s="84">
        <f t="shared" si="3"/>
        <v>24.880000000000003</v>
      </c>
      <c r="L635" s="82"/>
    </row>
    <row r="636" spans="2:12">
      <c r="B636" s="78"/>
      <c r="C636" s="979" t="s">
        <v>116</v>
      </c>
      <c r="D636" s="979"/>
      <c r="E636" s="979"/>
      <c r="F636" s="979"/>
      <c r="G636" s="979"/>
      <c r="H636" s="979"/>
      <c r="I636" s="979"/>
      <c r="J636" s="979"/>
      <c r="K636" s="81">
        <f>SUM(K614:K635)</f>
        <v>375.19999999999993</v>
      </c>
      <c r="L636" s="82"/>
    </row>
    <row r="638" spans="2:12" ht="25.5" customHeight="1">
      <c r="B638" s="78" t="s">
        <v>435</v>
      </c>
      <c r="C638" s="989" t="str">
        <f>'ESC. MUN. ANDRE VIDAL'!C24</f>
        <v>APLICAÇÃO MANUAL DE TINTA LÁTEX ACRÍLICA EM PAREDE EXTERNAS DE CASAS, DUAS DEMÃOS. AF_11/2016</v>
      </c>
      <c r="D638" s="990"/>
      <c r="E638" s="990"/>
      <c r="F638" s="990"/>
      <c r="G638" s="990"/>
      <c r="H638" s="990"/>
      <c r="I638" s="990"/>
      <c r="J638" s="991"/>
      <c r="K638" s="97" t="s">
        <v>7</v>
      </c>
      <c r="L638" s="97">
        <f>K665</f>
        <v>1290.7699999999998</v>
      </c>
    </row>
    <row r="639" spans="2:12">
      <c r="B639" s="78"/>
      <c r="C639" s="992" t="s">
        <v>20</v>
      </c>
      <c r="D639" s="992"/>
      <c r="E639" s="992"/>
      <c r="F639" s="79" t="s">
        <v>22</v>
      </c>
      <c r="G639" s="80" t="s">
        <v>111</v>
      </c>
      <c r="H639" s="79" t="s">
        <v>112</v>
      </c>
      <c r="I639" s="80" t="s">
        <v>113</v>
      </c>
      <c r="J639" s="80" t="s">
        <v>114</v>
      </c>
      <c r="K639" s="81" t="s">
        <v>25</v>
      </c>
      <c r="L639" s="82"/>
    </row>
    <row r="640" spans="2:12">
      <c r="B640" s="78"/>
      <c r="C640" s="976" t="s">
        <v>222</v>
      </c>
      <c r="D640" s="977"/>
      <c r="E640" s="978"/>
      <c r="F640" s="83">
        <v>1</v>
      </c>
      <c r="G640" s="83">
        <v>2.1</v>
      </c>
      <c r="H640" s="83">
        <v>1</v>
      </c>
      <c r="I640" s="83">
        <v>148</v>
      </c>
      <c r="J640" s="83">
        <v>2.2999999999999998</v>
      </c>
      <c r="K640" s="84">
        <f>(H640*I640*G640*F640)-J640</f>
        <v>308.5</v>
      </c>
      <c r="L640" s="82"/>
    </row>
    <row r="641" spans="2:12">
      <c r="B641" s="78"/>
      <c r="C641" s="976" t="s">
        <v>223</v>
      </c>
      <c r="D641" s="977"/>
      <c r="E641" s="978"/>
      <c r="F641" s="83">
        <v>1</v>
      </c>
      <c r="G641" s="83">
        <v>4</v>
      </c>
      <c r="H641" s="83">
        <v>1</v>
      </c>
      <c r="I641" s="83">
        <v>22</v>
      </c>
      <c r="J641" s="83">
        <v>15</v>
      </c>
      <c r="K641" s="84">
        <f>(H641*I641*G641*F641)-J641</f>
        <v>73</v>
      </c>
      <c r="L641" s="82"/>
    </row>
    <row r="642" spans="2:12">
      <c r="B642" s="78"/>
      <c r="C642" s="976" t="s">
        <v>224</v>
      </c>
      <c r="D642" s="977"/>
      <c r="E642" s="978"/>
      <c r="F642" s="83">
        <v>1</v>
      </c>
      <c r="G642" s="83">
        <v>4.3</v>
      </c>
      <c r="H642" s="83">
        <v>1</v>
      </c>
      <c r="I642" s="83">
        <v>21.8</v>
      </c>
      <c r="J642" s="83">
        <v>8.18</v>
      </c>
      <c r="K642" s="84">
        <f>(H642*I642*G642*F642)-J642</f>
        <v>85.56</v>
      </c>
      <c r="L642" s="82"/>
    </row>
    <row r="643" spans="2:12">
      <c r="B643" s="78"/>
      <c r="C643" s="976" t="s">
        <v>225</v>
      </c>
      <c r="D643" s="977"/>
      <c r="E643" s="978"/>
      <c r="F643" s="83">
        <v>1</v>
      </c>
      <c r="G643" s="83">
        <v>5</v>
      </c>
      <c r="H643" s="83">
        <v>1</v>
      </c>
      <c r="I643" s="83">
        <v>18</v>
      </c>
      <c r="J643" s="83">
        <v>0</v>
      </c>
      <c r="K643" s="84">
        <f>(H643*I643*G643*F643)-J643+9</f>
        <v>99</v>
      </c>
      <c r="L643" s="82"/>
    </row>
    <row r="644" spans="2:12">
      <c r="B644" s="78"/>
      <c r="C644" s="976" t="s">
        <v>226</v>
      </c>
      <c r="D644" s="977"/>
      <c r="E644" s="978"/>
      <c r="F644" s="83">
        <v>1</v>
      </c>
      <c r="G644" s="83">
        <v>3</v>
      </c>
      <c r="H644" s="83">
        <v>1</v>
      </c>
      <c r="I644" s="83">
        <v>17</v>
      </c>
      <c r="J644" s="83">
        <v>0</v>
      </c>
      <c r="K644" s="84">
        <f>(H644*I644*G644*F644)-J644</f>
        <v>51</v>
      </c>
      <c r="L644" s="82"/>
    </row>
    <row r="645" spans="2:12" ht="30" customHeight="1">
      <c r="B645" s="78"/>
      <c r="C645" s="976" t="s">
        <v>227</v>
      </c>
      <c r="D645" s="977"/>
      <c r="E645" s="978"/>
      <c r="F645" s="83">
        <v>2</v>
      </c>
      <c r="G645" s="83">
        <v>4</v>
      </c>
      <c r="H645" s="83">
        <v>1</v>
      </c>
      <c r="I645" s="83">
        <v>6.5</v>
      </c>
      <c r="J645" s="83">
        <v>0</v>
      </c>
      <c r="K645" s="84">
        <f>(H645*I645*G645*F645)-J645</f>
        <v>52</v>
      </c>
      <c r="L645" s="82"/>
    </row>
    <row r="646" spans="2:12" ht="30.75" customHeight="1">
      <c r="B646" s="78"/>
      <c r="C646" s="976" t="s">
        <v>229</v>
      </c>
      <c r="D646" s="977"/>
      <c r="E646" s="978"/>
      <c r="F646" s="83">
        <v>2</v>
      </c>
      <c r="G646" s="83">
        <v>3.45</v>
      </c>
      <c r="H646" s="83">
        <v>1</v>
      </c>
      <c r="I646" s="83">
        <v>20.61</v>
      </c>
      <c r="J646" s="83">
        <v>0</v>
      </c>
      <c r="K646" s="84">
        <f>(H646*I646*G646*F646)-J646</f>
        <v>142.209</v>
      </c>
      <c r="L646" s="82"/>
    </row>
    <row r="647" spans="2:12">
      <c r="B647" s="78"/>
      <c r="C647" s="976" t="s">
        <v>228</v>
      </c>
      <c r="D647" s="977"/>
      <c r="E647" s="978"/>
      <c r="F647" s="83">
        <v>2</v>
      </c>
      <c r="G647" s="83">
        <v>3.65</v>
      </c>
      <c r="H647" s="83">
        <v>1</v>
      </c>
      <c r="I647" s="83">
        <v>2.7</v>
      </c>
      <c r="J647" s="83">
        <v>0</v>
      </c>
      <c r="K647" s="84">
        <f>(H647*I647*G647*F647)-J647</f>
        <v>19.71</v>
      </c>
      <c r="L647" s="82"/>
    </row>
    <row r="648" spans="2:12">
      <c r="B648" s="78"/>
      <c r="C648" s="976" t="s">
        <v>230</v>
      </c>
      <c r="D648" s="977"/>
      <c r="E648" s="978"/>
      <c r="F648" s="83">
        <v>1</v>
      </c>
      <c r="G648" s="83">
        <v>3.12</v>
      </c>
      <c r="H648" s="83">
        <v>1</v>
      </c>
      <c r="I648" s="83">
        <v>10.5</v>
      </c>
      <c r="J648" s="83">
        <v>1.2</v>
      </c>
      <c r="K648" s="84">
        <f>(H648*I648*G648*F648)-J648</f>
        <v>31.56</v>
      </c>
      <c r="L648" s="82"/>
    </row>
    <row r="649" spans="2:12">
      <c r="B649" s="78"/>
      <c r="C649" s="976" t="s">
        <v>231</v>
      </c>
      <c r="D649" s="977"/>
      <c r="E649" s="978"/>
      <c r="F649" s="83">
        <v>1</v>
      </c>
      <c r="G649" s="83">
        <v>2.6</v>
      </c>
      <c r="H649" s="83">
        <v>1</v>
      </c>
      <c r="I649" s="83">
        <v>1.5</v>
      </c>
      <c r="J649" s="83">
        <v>0</v>
      </c>
      <c r="K649" s="84">
        <f>(H649*I649*G649*F649)-J649+8.3</f>
        <v>12.200000000000001</v>
      </c>
      <c r="L649" s="82"/>
    </row>
    <row r="650" spans="2:12">
      <c r="B650" s="78"/>
      <c r="C650" s="976" t="s">
        <v>232</v>
      </c>
      <c r="D650" s="977"/>
      <c r="E650" s="978"/>
      <c r="F650" s="83">
        <v>3</v>
      </c>
      <c r="G650" s="83">
        <v>2.8</v>
      </c>
      <c r="H650" s="83">
        <v>0.3</v>
      </c>
      <c r="I650" s="83">
        <v>4</v>
      </c>
      <c r="J650" s="83">
        <v>0</v>
      </c>
      <c r="K650" s="84">
        <f>I650*H650*G650*F650</f>
        <v>10.08</v>
      </c>
      <c r="L650" s="82"/>
    </row>
    <row r="651" spans="2:12">
      <c r="B651" s="78"/>
      <c r="C651" s="976" t="s">
        <v>233</v>
      </c>
      <c r="D651" s="977"/>
      <c r="E651" s="978"/>
      <c r="F651" s="83">
        <v>2</v>
      </c>
      <c r="G651" s="83">
        <v>3.74</v>
      </c>
      <c r="H651" s="83">
        <v>0.3</v>
      </c>
      <c r="I651" s="83">
        <v>4</v>
      </c>
      <c r="J651" s="83">
        <v>0</v>
      </c>
      <c r="K651" s="84">
        <f>I651*H651*G651*F651</f>
        <v>8.9760000000000009</v>
      </c>
      <c r="L651" s="82"/>
    </row>
    <row r="652" spans="2:12">
      <c r="B652" s="78"/>
      <c r="C652" s="976" t="s">
        <v>235</v>
      </c>
      <c r="D652" s="977"/>
      <c r="E652" s="978"/>
      <c r="F652" s="83">
        <v>1</v>
      </c>
      <c r="G652" s="83">
        <v>1.5</v>
      </c>
      <c r="H652" s="83">
        <v>1</v>
      </c>
      <c r="I652" s="83">
        <v>28</v>
      </c>
      <c r="J652" s="83">
        <v>10.08</v>
      </c>
      <c r="K652" s="84">
        <f t="shared" ref="K652:K664" si="4">I652*H652*G652*F652</f>
        <v>42</v>
      </c>
      <c r="L652" s="82"/>
    </row>
    <row r="653" spans="2:12">
      <c r="B653" s="78"/>
      <c r="C653" s="976" t="s">
        <v>236</v>
      </c>
      <c r="D653" s="977"/>
      <c r="E653" s="978"/>
      <c r="F653" s="83">
        <v>1</v>
      </c>
      <c r="G653" s="83">
        <v>1.5</v>
      </c>
      <c r="H653" s="83">
        <v>1</v>
      </c>
      <c r="I653" s="83">
        <v>19.05</v>
      </c>
      <c r="J653" s="83">
        <v>4.2</v>
      </c>
      <c r="K653" s="84">
        <f t="shared" si="4"/>
        <v>28.575000000000003</v>
      </c>
      <c r="L653" s="82"/>
    </row>
    <row r="654" spans="2:12">
      <c r="B654" s="78"/>
      <c r="C654" s="976" t="s">
        <v>237</v>
      </c>
      <c r="D654" s="977"/>
      <c r="E654" s="978"/>
      <c r="F654" s="83">
        <v>1</v>
      </c>
      <c r="G654" s="83">
        <v>1.5</v>
      </c>
      <c r="H654" s="83">
        <v>1</v>
      </c>
      <c r="I654" s="83">
        <v>8.5</v>
      </c>
      <c r="J654" s="83">
        <v>2.1</v>
      </c>
      <c r="K654" s="84">
        <f t="shared" si="4"/>
        <v>12.75</v>
      </c>
      <c r="L654" s="82"/>
    </row>
    <row r="655" spans="2:12">
      <c r="B655" s="78"/>
      <c r="C655" s="976" t="s">
        <v>238</v>
      </c>
      <c r="D655" s="977"/>
      <c r="E655" s="978"/>
      <c r="F655" s="83">
        <v>1</v>
      </c>
      <c r="G655" s="83">
        <v>1.5</v>
      </c>
      <c r="H655" s="83">
        <v>1</v>
      </c>
      <c r="I655" s="83">
        <v>27.86</v>
      </c>
      <c r="J655" s="83">
        <v>4.0999999999999996</v>
      </c>
      <c r="K655" s="84">
        <f t="shared" si="4"/>
        <v>41.79</v>
      </c>
      <c r="L655" s="82"/>
    </row>
    <row r="656" spans="2:12">
      <c r="B656" s="78"/>
      <c r="C656" s="976" t="s">
        <v>240</v>
      </c>
      <c r="D656" s="977"/>
      <c r="E656" s="978"/>
      <c r="F656" s="83">
        <v>1</v>
      </c>
      <c r="G656" s="83">
        <v>1.5</v>
      </c>
      <c r="H656" s="83">
        <v>1</v>
      </c>
      <c r="I656" s="83">
        <v>17</v>
      </c>
      <c r="J656" s="83">
        <v>1.68</v>
      </c>
      <c r="K656" s="84">
        <f t="shared" si="4"/>
        <v>25.5</v>
      </c>
      <c r="L656" s="82"/>
    </row>
    <row r="657" spans="2:12">
      <c r="B657" s="78"/>
      <c r="C657" s="976" t="s">
        <v>239</v>
      </c>
      <c r="D657" s="977"/>
      <c r="E657" s="978"/>
      <c r="F657" s="83">
        <v>1</v>
      </c>
      <c r="G657" s="83">
        <v>1.5</v>
      </c>
      <c r="H657" s="83">
        <v>1</v>
      </c>
      <c r="I657" s="83">
        <v>27.08</v>
      </c>
      <c r="J657" s="83">
        <v>4.9800000000000004</v>
      </c>
      <c r="K657" s="84">
        <f t="shared" si="4"/>
        <v>40.619999999999997</v>
      </c>
      <c r="L657" s="82"/>
    </row>
    <row r="658" spans="2:12">
      <c r="B658" s="78"/>
      <c r="C658" s="976" t="s">
        <v>241</v>
      </c>
      <c r="D658" s="977"/>
      <c r="E658" s="978"/>
      <c r="F658" s="83">
        <v>1</v>
      </c>
      <c r="G658" s="83">
        <v>1.5</v>
      </c>
      <c r="H658" s="83">
        <v>1</v>
      </c>
      <c r="I658" s="83">
        <v>27.86</v>
      </c>
      <c r="J658" s="83">
        <v>2.1</v>
      </c>
      <c r="K658" s="84">
        <f t="shared" si="4"/>
        <v>41.79</v>
      </c>
      <c r="L658" s="82"/>
    </row>
    <row r="659" spans="2:12">
      <c r="B659" s="78"/>
      <c r="C659" s="976" t="s">
        <v>242</v>
      </c>
      <c r="D659" s="977"/>
      <c r="E659" s="978"/>
      <c r="F659" s="83">
        <v>1</v>
      </c>
      <c r="G659" s="83">
        <v>1.5</v>
      </c>
      <c r="H659" s="83">
        <v>1</v>
      </c>
      <c r="I659" s="83">
        <v>12.84</v>
      </c>
      <c r="J659" s="83">
        <v>1.83</v>
      </c>
      <c r="K659" s="84">
        <f t="shared" si="4"/>
        <v>19.259999999999998</v>
      </c>
      <c r="L659" s="82"/>
    </row>
    <row r="660" spans="2:12">
      <c r="B660" s="78"/>
      <c r="C660" s="976" t="s">
        <v>243</v>
      </c>
      <c r="D660" s="977"/>
      <c r="E660" s="978"/>
      <c r="F660" s="83">
        <v>1</v>
      </c>
      <c r="G660" s="83">
        <v>1.5</v>
      </c>
      <c r="H660" s="83">
        <v>1</v>
      </c>
      <c r="I660" s="83">
        <v>13.72</v>
      </c>
      <c r="J660" s="83">
        <v>3.57</v>
      </c>
      <c r="K660" s="84">
        <f t="shared" si="4"/>
        <v>20.580000000000002</v>
      </c>
      <c r="L660" s="82"/>
    </row>
    <row r="661" spans="2:12">
      <c r="B661" s="78"/>
      <c r="C661" s="976" t="s">
        <v>244</v>
      </c>
      <c r="D661" s="977"/>
      <c r="E661" s="978"/>
      <c r="F661" s="83">
        <v>1</v>
      </c>
      <c r="G661" s="83">
        <v>1.5</v>
      </c>
      <c r="H661" s="83">
        <v>1</v>
      </c>
      <c r="I661" s="83">
        <v>6.5</v>
      </c>
      <c r="J661" s="83">
        <v>1.26</v>
      </c>
      <c r="K661" s="84">
        <f t="shared" si="4"/>
        <v>9.75</v>
      </c>
      <c r="L661" s="82"/>
    </row>
    <row r="662" spans="2:12">
      <c r="B662" s="78"/>
      <c r="C662" s="976" t="s">
        <v>245</v>
      </c>
      <c r="D662" s="977"/>
      <c r="E662" s="978"/>
      <c r="F662" s="83">
        <v>1</v>
      </c>
      <c r="G662" s="83">
        <v>1.5</v>
      </c>
      <c r="H662" s="83">
        <v>1</v>
      </c>
      <c r="I662" s="83">
        <v>24.8</v>
      </c>
      <c r="J662" s="83">
        <v>12.68</v>
      </c>
      <c r="K662" s="84">
        <f t="shared" si="4"/>
        <v>37.200000000000003</v>
      </c>
      <c r="L662" s="82"/>
    </row>
    <row r="663" spans="2:12">
      <c r="B663" s="78"/>
      <c r="C663" s="976" t="s">
        <v>246</v>
      </c>
      <c r="D663" s="977"/>
      <c r="E663" s="978"/>
      <c r="F663" s="83">
        <v>1</v>
      </c>
      <c r="G663" s="83">
        <v>1.5</v>
      </c>
      <c r="H663" s="83">
        <v>1</v>
      </c>
      <c r="I663" s="83">
        <v>26.4</v>
      </c>
      <c r="J663" s="83">
        <v>8.5</v>
      </c>
      <c r="K663" s="84">
        <f t="shared" si="4"/>
        <v>39.599999999999994</v>
      </c>
      <c r="L663" s="82"/>
    </row>
    <row r="664" spans="2:12">
      <c r="B664" s="78"/>
      <c r="C664" s="976" t="s">
        <v>247</v>
      </c>
      <c r="D664" s="977"/>
      <c r="E664" s="978"/>
      <c r="F664" s="83">
        <v>1</v>
      </c>
      <c r="G664" s="83">
        <v>1.5</v>
      </c>
      <c r="H664" s="83">
        <v>1</v>
      </c>
      <c r="I664" s="83">
        <v>25.04</v>
      </c>
      <c r="J664" s="83">
        <v>12.68</v>
      </c>
      <c r="K664" s="84">
        <f t="shared" si="4"/>
        <v>37.56</v>
      </c>
      <c r="L664" s="82"/>
    </row>
    <row r="665" spans="2:12">
      <c r="B665" s="78"/>
      <c r="C665" s="979" t="s">
        <v>116</v>
      </c>
      <c r="D665" s="979"/>
      <c r="E665" s="979"/>
      <c r="F665" s="979"/>
      <c r="G665" s="979"/>
      <c r="H665" s="979"/>
      <c r="I665" s="979"/>
      <c r="J665" s="979"/>
      <c r="K665" s="81">
        <f>SUM(K640:K664)</f>
        <v>1290.7699999999998</v>
      </c>
      <c r="L665" s="82"/>
    </row>
    <row r="666" spans="2:12">
      <c r="B666" s="351"/>
      <c r="C666" s="180"/>
      <c r="D666" s="180"/>
      <c r="E666" s="180"/>
      <c r="F666" s="180"/>
      <c r="G666" s="180"/>
      <c r="H666" s="180"/>
      <c r="I666" s="180"/>
      <c r="J666" s="180"/>
      <c r="K666" s="181"/>
      <c r="L666" s="82"/>
    </row>
    <row r="667" spans="2:12" ht="31.5" customHeight="1">
      <c r="B667" s="351" t="s">
        <v>436</v>
      </c>
      <c r="C667" s="989" t="s">
        <v>666</v>
      </c>
      <c r="D667" s="990"/>
      <c r="E667" s="990"/>
      <c r="F667" s="990"/>
      <c r="G667" s="990"/>
      <c r="H667" s="990"/>
      <c r="I667" s="990"/>
      <c r="J667" s="991"/>
      <c r="K667" s="97" t="s">
        <v>7</v>
      </c>
      <c r="L667" s="97">
        <f>K694</f>
        <v>645.38499999999988</v>
      </c>
    </row>
    <row r="668" spans="2:12">
      <c r="B668" s="351"/>
      <c r="C668" s="992" t="s">
        <v>20</v>
      </c>
      <c r="D668" s="992"/>
      <c r="E668" s="992"/>
      <c r="F668" s="79" t="s">
        <v>22</v>
      </c>
      <c r="G668" s="350" t="s">
        <v>111</v>
      </c>
      <c r="H668" s="79" t="s">
        <v>112</v>
      </c>
      <c r="I668" s="350" t="s">
        <v>113</v>
      </c>
      <c r="J668" s="350" t="s">
        <v>114</v>
      </c>
      <c r="K668" s="81" t="s">
        <v>25</v>
      </c>
      <c r="L668" s="82"/>
    </row>
    <row r="669" spans="2:12">
      <c r="B669" s="351"/>
      <c r="C669" s="976" t="s">
        <v>222</v>
      </c>
      <c r="D669" s="977"/>
      <c r="E669" s="978"/>
      <c r="F669" s="83">
        <v>1</v>
      </c>
      <c r="G669" s="83">
        <v>2.1</v>
      </c>
      <c r="H669" s="83">
        <v>1</v>
      </c>
      <c r="I669" s="83">
        <v>148</v>
      </c>
      <c r="J669" s="83">
        <v>2.2999999999999998</v>
      </c>
      <c r="K669" s="84">
        <f>(H669*I669*G669*F669)-J669</f>
        <v>308.5</v>
      </c>
      <c r="L669" s="82"/>
    </row>
    <row r="670" spans="2:12">
      <c r="B670" s="351"/>
      <c r="C670" s="976" t="s">
        <v>223</v>
      </c>
      <c r="D670" s="977"/>
      <c r="E670" s="978"/>
      <c r="F670" s="83">
        <v>1</v>
      </c>
      <c r="G670" s="83">
        <v>4</v>
      </c>
      <c r="H670" s="83">
        <v>1</v>
      </c>
      <c r="I670" s="83">
        <v>22</v>
      </c>
      <c r="J670" s="83">
        <v>15</v>
      </c>
      <c r="K670" s="84">
        <f>(H670*I670*G670*F670)-J670</f>
        <v>73</v>
      </c>
      <c r="L670" s="82"/>
    </row>
    <row r="671" spans="2:12">
      <c r="B671" s="351"/>
      <c r="C671" s="976" t="s">
        <v>224</v>
      </c>
      <c r="D671" s="977"/>
      <c r="E671" s="978"/>
      <c r="F671" s="83">
        <v>1</v>
      </c>
      <c r="G671" s="83">
        <v>4.3</v>
      </c>
      <c r="H671" s="83">
        <v>1</v>
      </c>
      <c r="I671" s="83">
        <v>21.8</v>
      </c>
      <c r="J671" s="83">
        <v>8.18</v>
      </c>
      <c r="K671" s="84">
        <f>(H671*I671*G671*F671)-J671</f>
        <v>85.56</v>
      </c>
      <c r="L671" s="82"/>
    </row>
    <row r="672" spans="2:12">
      <c r="B672" s="351"/>
      <c r="C672" s="976" t="s">
        <v>225</v>
      </c>
      <c r="D672" s="977"/>
      <c r="E672" s="978"/>
      <c r="F672" s="83">
        <v>1</v>
      </c>
      <c r="G672" s="83">
        <v>5</v>
      </c>
      <c r="H672" s="83">
        <v>1</v>
      </c>
      <c r="I672" s="83">
        <v>18</v>
      </c>
      <c r="J672" s="83">
        <v>0</v>
      </c>
      <c r="K672" s="84">
        <f>(H672*I672*G672*F672)-J672+9</f>
        <v>99</v>
      </c>
      <c r="L672" s="82"/>
    </row>
    <row r="673" spans="2:12">
      <c r="B673" s="351"/>
      <c r="C673" s="976" t="s">
        <v>226</v>
      </c>
      <c r="D673" s="977"/>
      <c r="E673" s="978"/>
      <c r="F673" s="83">
        <v>1</v>
      </c>
      <c r="G673" s="83">
        <v>3</v>
      </c>
      <c r="H673" s="83">
        <v>1</v>
      </c>
      <c r="I673" s="83">
        <v>17</v>
      </c>
      <c r="J673" s="83">
        <v>0</v>
      </c>
      <c r="K673" s="84">
        <f>(H673*I673*G673*F673)-J673</f>
        <v>51</v>
      </c>
      <c r="L673" s="82"/>
    </row>
    <row r="674" spans="2:12">
      <c r="B674" s="351"/>
      <c r="C674" s="976" t="s">
        <v>227</v>
      </c>
      <c r="D674" s="977"/>
      <c r="E674" s="978"/>
      <c r="F674" s="83">
        <v>2</v>
      </c>
      <c r="G674" s="83">
        <v>4</v>
      </c>
      <c r="H674" s="83">
        <v>1</v>
      </c>
      <c r="I674" s="83">
        <v>6.5</v>
      </c>
      <c r="J674" s="83">
        <v>0</v>
      </c>
      <c r="K674" s="84">
        <f>(H674*I674*G674*F674)-J674</f>
        <v>52</v>
      </c>
      <c r="L674" s="82"/>
    </row>
    <row r="675" spans="2:12">
      <c r="B675" s="351"/>
      <c r="C675" s="976" t="s">
        <v>229</v>
      </c>
      <c r="D675" s="977"/>
      <c r="E675" s="978"/>
      <c r="F675" s="83">
        <v>2</v>
      </c>
      <c r="G675" s="83">
        <v>3.45</v>
      </c>
      <c r="H675" s="83">
        <v>1</v>
      </c>
      <c r="I675" s="83">
        <v>20.61</v>
      </c>
      <c r="J675" s="83">
        <v>0</v>
      </c>
      <c r="K675" s="84">
        <f>(H675*I675*G675*F675)-J675</f>
        <v>142.209</v>
      </c>
      <c r="L675" s="82"/>
    </row>
    <row r="676" spans="2:12">
      <c r="B676" s="351"/>
      <c r="C676" s="976" t="s">
        <v>228</v>
      </c>
      <c r="D676" s="977"/>
      <c r="E676" s="978"/>
      <c r="F676" s="83">
        <v>2</v>
      </c>
      <c r="G676" s="83">
        <v>3.65</v>
      </c>
      <c r="H676" s="83">
        <v>1</v>
      </c>
      <c r="I676" s="83">
        <v>2.7</v>
      </c>
      <c r="J676" s="83">
        <v>0</v>
      </c>
      <c r="K676" s="84">
        <f>(H676*I676*G676*F676)-J676</f>
        <v>19.71</v>
      </c>
      <c r="L676" s="82"/>
    </row>
    <row r="677" spans="2:12">
      <c r="B677" s="351"/>
      <c r="C677" s="976" t="s">
        <v>230</v>
      </c>
      <c r="D677" s="977"/>
      <c r="E677" s="978"/>
      <c r="F677" s="83">
        <v>1</v>
      </c>
      <c r="G677" s="83">
        <v>3.12</v>
      </c>
      <c r="H677" s="83">
        <v>1</v>
      </c>
      <c r="I677" s="83">
        <v>10.5</v>
      </c>
      <c r="J677" s="83">
        <v>1.2</v>
      </c>
      <c r="K677" s="84">
        <f>(H677*I677*G677*F677)-J677</f>
        <v>31.56</v>
      </c>
      <c r="L677" s="82"/>
    </row>
    <row r="678" spans="2:12">
      <c r="B678" s="351"/>
      <c r="C678" s="976" t="s">
        <v>231</v>
      </c>
      <c r="D678" s="977"/>
      <c r="E678" s="978"/>
      <c r="F678" s="83">
        <v>1</v>
      </c>
      <c r="G678" s="83">
        <v>2.6</v>
      </c>
      <c r="H678" s="83">
        <v>1</v>
      </c>
      <c r="I678" s="83">
        <v>1.5</v>
      </c>
      <c r="J678" s="83">
        <v>0</v>
      </c>
      <c r="K678" s="84">
        <f>(H678*I678*G678*F678)-J678+8.3</f>
        <v>12.200000000000001</v>
      </c>
      <c r="L678" s="82"/>
    </row>
    <row r="679" spans="2:12">
      <c r="B679" s="351"/>
      <c r="C679" s="976" t="s">
        <v>232</v>
      </c>
      <c r="D679" s="977"/>
      <c r="E679" s="978"/>
      <c r="F679" s="83">
        <v>3</v>
      </c>
      <c r="G679" s="83">
        <v>2.8</v>
      </c>
      <c r="H679" s="83">
        <v>0.3</v>
      </c>
      <c r="I679" s="83">
        <v>4</v>
      </c>
      <c r="J679" s="83">
        <v>0</v>
      </c>
      <c r="K679" s="84">
        <f>I679*H679*G679*F679</f>
        <v>10.08</v>
      </c>
      <c r="L679" s="82"/>
    </row>
    <row r="680" spans="2:12">
      <c r="B680" s="351"/>
      <c r="C680" s="976" t="s">
        <v>233</v>
      </c>
      <c r="D680" s="977"/>
      <c r="E680" s="978"/>
      <c r="F680" s="83">
        <v>2</v>
      </c>
      <c r="G680" s="83">
        <v>3.74</v>
      </c>
      <c r="H680" s="83">
        <v>0.3</v>
      </c>
      <c r="I680" s="83">
        <v>4</v>
      </c>
      <c r="J680" s="83">
        <v>0</v>
      </c>
      <c r="K680" s="84">
        <f>I680*H680*G680*F680</f>
        <v>8.9760000000000009</v>
      </c>
      <c r="L680" s="82"/>
    </row>
    <row r="681" spans="2:12">
      <c r="B681" s="351"/>
      <c r="C681" s="976" t="s">
        <v>235</v>
      </c>
      <c r="D681" s="977"/>
      <c r="E681" s="978"/>
      <c r="F681" s="83">
        <v>1</v>
      </c>
      <c r="G681" s="83">
        <v>1.5</v>
      </c>
      <c r="H681" s="83">
        <v>1</v>
      </c>
      <c r="I681" s="83">
        <v>28</v>
      </c>
      <c r="J681" s="83">
        <v>10.08</v>
      </c>
      <c r="K681" s="84">
        <f t="shared" ref="K681:K693" si="5">I681*H681*G681*F681</f>
        <v>42</v>
      </c>
      <c r="L681" s="82"/>
    </row>
    <row r="682" spans="2:12">
      <c r="B682" s="351"/>
      <c r="C682" s="976" t="s">
        <v>236</v>
      </c>
      <c r="D682" s="977"/>
      <c r="E682" s="978"/>
      <c r="F682" s="83">
        <v>1</v>
      </c>
      <c r="G682" s="83">
        <v>1.5</v>
      </c>
      <c r="H682" s="83">
        <v>1</v>
      </c>
      <c r="I682" s="83">
        <v>19.05</v>
      </c>
      <c r="J682" s="83">
        <v>4.2</v>
      </c>
      <c r="K682" s="84">
        <f t="shared" si="5"/>
        <v>28.575000000000003</v>
      </c>
      <c r="L682" s="82"/>
    </row>
    <row r="683" spans="2:12">
      <c r="B683" s="351"/>
      <c r="C683" s="976" t="s">
        <v>237</v>
      </c>
      <c r="D683" s="977"/>
      <c r="E683" s="978"/>
      <c r="F683" s="83">
        <v>1</v>
      </c>
      <c r="G683" s="83">
        <v>1.5</v>
      </c>
      <c r="H683" s="83">
        <v>1</v>
      </c>
      <c r="I683" s="83">
        <v>8.5</v>
      </c>
      <c r="J683" s="83">
        <v>2.1</v>
      </c>
      <c r="K683" s="84">
        <f t="shared" si="5"/>
        <v>12.75</v>
      </c>
      <c r="L683" s="82"/>
    </row>
    <row r="684" spans="2:12">
      <c r="B684" s="351"/>
      <c r="C684" s="976" t="s">
        <v>238</v>
      </c>
      <c r="D684" s="977"/>
      <c r="E684" s="978"/>
      <c r="F684" s="83">
        <v>1</v>
      </c>
      <c r="G684" s="83">
        <v>1.5</v>
      </c>
      <c r="H684" s="83">
        <v>1</v>
      </c>
      <c r="I684" s="83">
        <v>27.86</v>
      </c>
      <c r="J684" s="83">
        <v>4.0999999999999996</v>
      </c>
      <c r="K684" s="84">
        <f t="shared" si="5"/>
        <v>41.79</v>
      </c>
      <c r="L684" s="82"/>
    </row>
    <row r="685" spans="2:12">
      <c r="B685" s="351"/>
      <c r="C685" s="976" t="s">
        <v>240</v>
      </c>
      <c r="D685" s="977"/>
      <c r="E685" s="978"/>
      <c r="F685" s="83">
        <v>1</v>
      </c>
      <c r="G685" s="83">
        <v>1.5</v>
      </c>
      <c r="H685" s="83">
        <v>1</v>
      </c>
      <c r="I685" s="83">
        <v>17</v>
      </c>
      <c r="J685" s="83">
        <v>1.68</v>
      </c>
      <c r="K685" s="84">
        <f t="shared" si="5"/>
        <v>25.5</v>
      </c>
      <c r="L685" s="82"/>
    </row>
    <row r="686" spans="2:12">
      <c r="B686" s="351"/>
      <c r="C686" s="976" t="s">
        <v>239</v>
      </c>
      <c r="D686" s="977"/>
      <c r="E686" s="978"/>
      <c r="F686" s="83">
        <v>1</v>
      </c>
      <c r="G686" s="83">
        <v>1.5</v>
      </c>
      <c r="H686" s="83">
        <v>1</v>
      </c>
      <c r="I686" s="83">
        <v>27.08</v>
      </c>
      <c r="J686" s="83">
        <v>4.9800000000000004</v>
      </c>
      <c r="K686" s="84">
        <f t="shared" si="5"/>
        <v>40.619999999999997</v>
      </c>
      <c r="L686" s="82"/>
    </row>
    <row r="687" spans="2:12">
      <c r="B687" s="351"/>
      <c r="C687" s="976" t="s">
        <v>241</v>
      </c>
      <c r="D687" s="977"/>
      <c r="E687" s="978"/>
      <c r="F687" s="83">
        <v>1</v>
      </c>
      <c r="G687" s="83">
        <v>1.5</v>
      </c>
      <c r="H687" s="83">
        <v>1</v>
      </c>
      <c r="I687" s="83">
        <v>27.86</v>
      </c>
      <c r="J687" s="83">
        <v>2.1</v>
      </c>
      <c r="K687" s="84">
        <f t="shared" si="5"/>
        <v>41.79</v>
      </c>
      <c r="L687" s="82"/>
    </row>
    <row r="688" spans="2:12">
      <c r="B688" s="351"/>
      <c r="C688" s="976" t="s">
        <v>242</v>
      </c>
      <c r="D688" s="977"/>
      <c r="E688" s="978"/>
      <c r="F688" s="83">
        <v>1</v>
      </c>
      <c r="G688" s="83">
        <v>1.5</v>
      </c>
      <c r="H688" s="83">
        <v>1</v>
      </c>
      <c r="I688" s="83">
        <v>12.84</v>
      </c>
      <c r="J688" s="83">
        <v>1.83</v>
      </c>
      <c r="K688" s="84">
        <f t="shared" si="5"/>
        <v>19.259999999999998</v>
      </c>
      <c r="L688" s="82"/>
    </row>
    <row r="689" spans="2:12">
      <c r="B689" s="351"/>
      <c r="C689" s="976" t="s">
        <v>243</v>
      </c>
      <c r="D689" s="977"/>
      <c r="E689" s="978"/>
      <c r="F689" s="83">
        <v>1</v>
      </c>
      <c r="G689" s="83">
        <v>1.5</v>
      </c>
      <c r="H689" s="83">
        <v>1</v>
      </c>
      <c r="I689" s="83">
        <v>13.72</v>
      </c>
      <c r="J689" s="83">
        <v>3.57</v>
      </c>
      <c r="K689" s="84">
        <f t="shared" si="5"/>
        <v>20.580000000000002</v>
      </c>
      <c r="L689" s="82"/>
    </row>
    <row r="690" spans="2:12">
      <c r="B690" s="351"/>
      <c r="C690" s="976" t="s">
        <v>244</v>
      </c>
      <c r="D690" s="977"/>
      <c r="E690" s="978"/>
      <c r="F690" s="83">
        <v>1</v>
      </c>
      <c r="G690" s="83">
        <v>1.5</v>
      </c>
      <c r="H690" s="83">
        <v>1</v>
      </c>
      <c r="I690" s="83">
        <v>6.5</v>
      </c>
      <c r="J690" s="83">
        <v>1.26</v>
      </c>
      <c r="K690" s="84">
        <f t="shared" si="5"/>
        <v>9.75</v>
      </c>
      <c r="L690" s="82"/>
    </row>
    <row r="691" spans="2:12">
      <c r="B691" s="351"/>
      <c r="C691" s="976" t="s">
        <v>245</v>
      </c>
      <c r="D691" s="977"/>
      <c r="E691" s="978"/>
      <c r="F691" s="83">
        <v>1</v>
      </c>
      <c r="G691" s="83">
        <v>1.5</v>
      </c>
      <c r="H691" s="83">
        <v>1</v>
      </c>
      <c r="I691" s="83">
        <v>24.8</v>
      </c>
      <c r="J691" s="83">
        <v>12.68</v>
      </c>
      <c r="K691" s="84">
        <f t="shared" si="5"/>
        <v>37.200000000000003</v>
      </c>
      <c r="L691" s="82"/>
    </row>
    <row r="692" spans="2:12">
      <c r="B692" s="351"/>
      <c r="C692" s="976" t="s">
        <v>246</v>
      </c>
      <c r="D692" s="977"/>
      <c r="E692" s="978"/>
      <c r="F692" s="83">
        <v>1</v>
      </c>
      <c r="G692" s="83">
        <v>1.5</v>
      </c>
      <c r="H692" s="83">
        <v>1</v>
      </c>
      <c r="I692" s="83">
        <v>26.4</v>
      </c>
      <c r="J692" s="83">
        <v>8.5</v>
      </c>
      <c r="K692" s="84">
        <f t="shared" si="5"/>
        <v>39.599999999999994</v>
      </c>
      <c r="L692" s="82"/>
    </row>
    <row r="693" spans="2:12">
      <c r="B693" s="351"/>
      <c r="C693" s="976" t="s">
        <v>247</v>
      </c>
      <c r="D693" s="977"/>
      <c r="E693" s="978"/>
      <c r="F693" s="83">
        <v>1</v>
      </c>
      <c r="G693" s="83">
        <v>1.5</v>
      </c>
      <c r="H693" s="83">
        <v>1</v>
      </c>
      <c r="I693" s="83">
        <v>25.04</v>
      </c>
      <c r="J693" s="83">
        <v>12.68</v>
      </c>
      <c r="K693" s="84">
        <f t="shared" si="5"/>
        <v>37.56</v>
      </c>
      <c r="L693" s="82"/>
    </row>
    <row r="694" spans="2:12">
      <c r="B694" s="351"/>
      <c r="C694" s="979" t="s">
        <v>116</v>
      </c>
      <c r="D694" s="979"/>
      <c r="E694" s="979"/>
      <c r="F694" s="979"/>
      <c r="G694" s="979"/>
      <c r="H694" s="979"/>
      <c r="I694" s="979"/>
      <c r="J694" s="979"/>
      <c r="K694" s="81">
        <f>SUM(K669:K693)/2</f>
        <v>645.38499999999988</v>
      </c>
      <c r="L694" s="82"/>
    </row>
    <row r="695" spans="2:12">
      <c r="B695" s="351"/>
      <c r="C695" s="180"/>
      <c r="D695" s="180"/>
      <c r="E695" s="180"/>
      <c r="F695" s="180"/>
      <c r="G695" s="180"/>
      <c r="H695" s="180"/>
      <c r="I695" s="180"/>
      <c r="J695" s="180"/>
      <c r="K695" s="181"/>
      <c r="L695" s="82"/>
    </row>
    <row r="696" spans="2:12">
      <c r="B696" s="82"/>
      <c r="C696" s="82"/>
      <c r="D696" s="82"/>
      <c r="E696" s="82"/>
      <c r="F696" s="82"/>
      <c r="G696" s="82"/>
      <c r="H696" s="82"/>
      <c r="I696" s="82"/>
      <c r="J696" s="82"/>
      <c r="K696" s="82"/>
      <c r="L696" s="82"/>
    </row>
    <row r="697" spans="2:12" ht="15" customHeight="1">
      <c r="B697" s="78" t="s">
        <v>437</v>
      </c>
      <c r="C697" s="989" t="s">
        <v>40</v>
      </c>
      <c r="D697" s="990"/>
      <c r="E697" s="990"/>
      <c r="F697" s="990"/>
      <c r="G697" s="990"/>
      <c r="H697" s="990"/>
      <c r="I697" s="990"/>
      <c r="J697" s="991"/>
      <c r="K697" s="97" t="s">
        <v>7</v>
      </c>
      <c r="L697" s="97">
        <f>K705</f>
        <v>95.449500000000015</v>
      </c>
    </row>
    <row r="698" spans="2:12">
      <c r="B698" s="78"/>
      <c r="C698" s="992" t="s">
        <v>20</v>
      </c>
      <c r="D698" s="992"/>
      <c r="E698" s="992"/>
      <c r="F698" s="79" t="s">
        <v>22</v>
      </c>
      <c r="G698" s="80" t="s">
        <v>111</v>
      </c>
      <c r="H698" s="79" t="s">
        <v>112</v>
      </c>
      <c r="I698" s="80" t="s">
        <v>113</v>
      </c>
      <c r="J698" s="80" t="s">
        <v>114</v>
      </c>
      <c r="K698" s="81" t="s">
        <v>25</v>
      </c>
      <c r="L698" s="82"/>
    </row>
    <row r="699" spans="2:12">
      <c r="B699" s="78"/>
      <c r="C699" s="976" t="s">
        <v>338</v>
      </c>
      <c r="D699" s="977"/>
      <c r="E699" s="978"/>
      <c r="F699" s="83">
        <v>1</v>
      </c>
      <c r="G699" s="83"/>
      <c r="H699" s="83">
        <v>6.2</v>
      </c>
      <c r="I699" s="83">
        <v>4.03</v>
      </c>
      <c r="J699" s="83"/>
      <c r="K699" s="84">
        <f t="shared" ref="K699:K704" si="6">H699*I699</f>
        <v>24.986000000000001</v>
      </c>
      <c r="L699" s="82"/>
    </row>
    <row r="700" spans="2:12">
      <c r="B700" s="78"/>
      <c r="C700" s="976" t="s">
        <v>339</v>
      </c>
      <c r="D700" s="977"/>
      <c r="E700" s="978"/>
      <c r="F700" s="83">
        <v>1</v>
      </c>
      <c r="G700" s="83"/>
      <c r="H700" s="83">
        <v>3.72</v>
      </c>
      <c r="I700" s="83">
        <v>6.2</v>
      </c>
      <c r="J700" s="83"/>
      <c r="K700" s="84">
        <f t="shared" si="6"/>
        <v>23.064000000000004</v>
      </c>
      <c r="L700" s="82"/>
    </row>
    <row r="701" spans="2:12">
      <c r="B701" s="78"/>
      <c r="C701" s="976" t="s">
        <v>340</v>
      </c>
      <c r="D701" s="977"/>
      <c r="E701" s="978"/>
      <c r="F701" s="83">
        <v>1</v>
      </c>
      <c r="G701" s="83"/>
      <c r="H701" s="83">
        <v>3.35</v>
      </c>
      <c r="I701" s="83">
        <v>6.41</v>
      </c>
      <c r="J701" s="83"/>
      <c r="K701" s="84">
        <f t="shared" si="6"/>
        <v>21.473500000000001</v>
      </c>
      <c r="L701" s="82"/>
    </row>
    <row r="702" spans="2:12">
      <c r="B702" s="78"/>
      <c r="C702" s="976" t="s">
        <v>341</v>
      </c>
      <c r="D702" s="977"/>
      <c r="E702" s="978"/>
      <c r="F702" s="83">
        <v>1</v>
      </c>
      <c r="G702" s="83"/>
      <c r="H702" s="83">
        <v>3</v>
      </c>
      <c r="I702" s="83">
        <v>1.25</v>
      </c>
      <c r="J702" s="83"/>
      <c r="K702" s="84">
        <f t="shared" si="6"/>
        <v>3.75</v>
      </c>
      <c r="L702" s="82"/>
    </row>
    <row r="703" spans="2:12">
      <c r="B703" s="78"/>
      <c r="C703" s="976" t="s">
        <v>340</v>
      </c>
      <c r="D703" s="977"/>
      <c r="E703" s="978"/>
      <c r="F703" s="83">
        <v>1</v>
      </c>
      <c r="G703" s="83"/>
      <c r="H703" s="83">
        <v>3.34</v>
      </c>
      <c r="I703" s="83">
        <v>3.6</v>
      </c>
      <c r="J703" s="83"/>
      <c r="K703" s="84">
        <f t="shared" si="6"/>
        <v>12.023999999999999</v>
      </c>
      <c r="L703" s="82"/>
    </row>
    <row r="704" spans="2:12">
      <c r="B704" s="78"/>
      <c r="C704" s="976" t="s">
        <v>242</v>
      </c>
      <c r="D704" s="977"/>
      <c r="E704" s="978"/>
      <c r="F704" s="83">
        <v>1</v>
      </c>
      <c r="G704" s="83"/>
      <c r="H704" s="83">
        <v>3.6</v>
      </c>
      <c r="I704" s="83">
        <v>2.82</v>
      </c>
      <c r="J704" s="83"/>
      <c r="K704" s="84">
        <f t="shared" si="6"/>
        <v>10.151999999999999</v>
      </c>
      <c r="L704" s="82"/>
    </row>
    <row r="705" spans="2:12">
      <c r="B705" s="78"/>
      <c r="C705" s="979" t="s">
        <v>116</v>
      </c>
      <c r="D705" s="979"/>
      <c r="E705" s="979"/>
      <c r="F705" s="979"/>
      <c r="G705" s="979"/>
      <c r="H705" s="979"/>
      <c r="I705" s="979"/>
      <c r="J705" s="979"/>
      <c r="K705" s="81">
        <f>SUM(K699:K704)</f>
        <v>95.449500000000015</v>
      </c>
      <c r="L705" s="82"/>
    </row>
    <row r="707" spans="2:12" ht="33" customHeight="1">
      <c r="B707" s="78" t="s">
        <v>438</v>
      </c>
      <c r="C707" s="989" t="s">
        <v>41</v>
      </c>
      <c r="D707" s="990"/>
      <c r="E707" s="990"/>
      <c r="F707" s="990"/>
      <c r="G707" s="990"/>
      <c r="H707" s="990"/>
      <c r="I707" s="990"/>
      <c r="J707" s="991"/>
      <c r="K707" s="97" t="s">
        <v>7</v>
      </c>
      <c r="L707" s="97">
        <f>K715</f>
        <v>46.7</v>
      </c>
    </row>
    <row r="708" spans="2:12">
      <c r="B708" s="78"/>
      <c r="C708" s="992" t="s">
        <v>20</v>
      </c>
      <c r="D708" s="992"/>
      <c r="E708" s="992"/>
      <c r="F708" s="79" t="s">
        <v>22</v>
      </c>
      <c r="G708" s="80" t="s">
        <v>111</v>
      </c>
      <c r="H708" s="79" t="s">
        <v>112</v>
      </c>
      <c r="I708" s="80" t="s">
        <v>113</v>
      </c>
      <c r="J708" s="80" t="s">
        <v>114</v>
      </c>
      <c r="K708" s="81" t="s">
        <v>25</v>
      </c>
      <c r="L708" s="82"/>
    </row>
    <row r="709" spans="2:12">
      <c r="B709" s="78"/>
      <c r="C709" s="976" t="s">
        <v>342</v>
      </c>
      <c r="D709" s="977"/>
      <c r="E709" s="978"/>
      <c r="F709" s="83">
        <v>7</v>
      </c>
      <c r="G709" s="83">
        <v>1.1000000000000001</v>
      </c>
      <c r="H709" s="83">
        <v>1</v>
      </c>
      <c r="I709" s="83">
        <v>1</v>
      </c>
      <c r="J709" s="83">
        <v>0</v>
      </c>
      <c r="K709" s="84">
        <f t="shared" ref="K709:K714" si="7">(F709*G709*H709*I709)-J709</f>
        <v>7.7000000000000011</v>
      </c>
      <c r="L709" s="82"/>
    </row>
    <row r="710" spans="2:12">
      <c r="B710" s="78"/>
      <c r="C710" s="976" t="s">
        <v>342</v>
      </c>
      <c r="D710" s="977"/>
      <c r="E710" s="978"/>
      <c r="F710" s="83">
        <v>1</v>
      </c>
      <c r="G710" s="83">
        <v>2.1</v>
      </c>
      <c r="H710" s="83">
        <v>1</v>
      </c>
      <c r="I710" s="83">
        <v>1</v>
      </c>
      <c r="J710" s="83">
        <v>0</v>
      </c>
      <c r="K710" s="84">
        <f t="shared" si="7"/>
        <v>2.1</v>
      </c>
      <c r="L710" s="82"/>
    </row>
    <row r="711" spans="2:12">
      <c r="B711" s="78"/>
      <c r="C711" s="976" t="s">
        <v>342</v>
      </c>
      <c r="D711" s="977"/>
      <c r="E711" s="978"/>
      <c r="F711" s="83">
        <v>5</v>
      </c>
      <c r="G711" s="83">
        <v>1</v>
      </c>
      <c r="H711" s="83">
        <v>1</v>
      </c>
      <c r="I711" s="83">
        <v>1</v>
      </c>
      <c r="J711" s="83">
        <v>0</v>
      </c>
      <c r="K711" s="84">
        <f t="shared" si="7"/>
        <v>5</v>
      </c>
      <c r="L711" s="82"/>
    </row>
    <row r="712" spans="2:12">
      <c r="B712" s="78"/>
      <c r="C712" s="976" t="s">
        <v>342</v>
      </c>
      <c r="D712" s="977"/>
      <c r="E712" s="978"/>
      <c r="F712" s="83">
        <v>2</v>
      </c>
      <c r="G712" s="83">
        <v>1</v>
      </c>
      <c r="H712" s="83">
        <v>1.2</v>
      </c>
      <c r="I712" s="83">
        <v>1</v>
      </c>
      <c r="J712" s="83">
        <v>0</v>
      </c>
      <c r="K712" s="84">
        <f t="shared" si="7"/>
        <v>2.4</v>
      </c>
      <c r="L712" s="82"/>
    </row>
    <row r="713" spans="2:12">
      <c r="B713" s="78"/>
      <c r="C713" s="976" t="s">
        <v>342</v>
      </c>
      <c r="D713" s="977"/>
      <c r="E713" s="978"/>
      <c r="F713" s="83">
        <v>1</v>
      </c>
      <c r="G713" s="83">
        <v>1</v>
      </c>
      <c r="H713" s="83">
        <v>1.5</v>
      </c>
      <c r="I713" s="83">
        <v>1</v>
      </c>
      <c r="J713" s="83">
        <v>0</v>
      </c>
      <c r="K713" s="84">
        <f t="shared" si="7"/>
        <v>1.5</v>
      </c>
      <c r="L713" s="82"/>
    </row>
    <row r="714" spans="2:12">
      <c r="B714" s="78"/>
      <c r="C714" s="976" t="s">
        <v>342</v>
      </c>
      <c r="D714" s="977"/>
      <c r="E714" s="978"/>
      <c r="F714" s="83">
        <v>14</v>
      </c>
      <c r="G714" s="83">
        <v>2</v>
      </c>
      <c r="H714" s="83">
        <v>1</v>
      </c>
      <c r="I714" s="83">
        <v>1</v>
      </c>
      <c r="J714" s="83">
        <v>0</v>
      </c>
      <c r="K714" s="84">
        <f t="shared" si="7"/>
        <v>28</v>
      </c>
      <c r="L714" s="82"/>
    </row>
    <row r="715" spans="2:12">
      <c r="B715" s="78"/>
      <c r="C715" s="979" t="s">
        <v>116</v>
      </c>
      <c r="D715" s="979"/>
      <c r="E715" s="979"/>
      <c r="F715" s="979"/>
      <c r="G715" s="979"/>
      <c r="H715" s="979"/>
      <c r="I715" s="979"/>
      <c r="J715" s="979"/>
      <c r="K715" s="81">
        <f>SUM(K709:K714)</f>
        <v>46.7</v>
      </c>
      <c r="L715" s="82"/>
    </row>
    <row r="716" spans="2:12">
      <c r="B716" s="78"/>
      <c r="C716" s="180"/>
      <c r="D716" s="180"/>
      <c r="E716" s="180"/>
      <c r="F716" s="180"/>
      <c r="G716" s="180"/>
      <c r="H716" s="180"/>
      <c r="I716" s="180"/>
      <c r="J716" s="180"/>
      <c r="K716" s="181"/>
      <c r="L716" s="82"/>
    </row>
    <row r="717" spans="2:12">
      <c r="B717" s="78" t="s">
        <v>588</v>
      </c>
      <c r="C717" s="989" t="s">
        <v>343</v>
      </c>
      <c r="D717" s="990"/>
      <c r="E717" s="990"/>
      <c r="F717" s="990"/>
      <c r="G717" s="990"/>
      <c r="H717" s="990"/>
      <c r="I717" s="990"/>
      <c r="J717" s="991"/>
      <c r="K717" s="97" t="s">
        <v>7</v>
      </c>
      <c r="L717" s="97">
        <f>K720</f>
        <v>1761.4194999999995</v>
      </c>
    </row>
    <row r="718" spans="2:12">
      <c r="B718" s="78"/>
      <c r="C718" s="992" t="s">
        <v>20</v>
      </c>
      <c r="D718" s="992"/>
      <c r="E718" s="992"/>
      <c r="F718" s="79" t="s">
        <v>22</v>
      </c>
      <c r="G718" s="178" t="s">
        <v>111</v>
      </c>
      <c r="H718" s="79" t="s">
        <v>112</v>
      </c>
      <c r="I718" s="178" t="s">
        <v>113</v>
      </c>
      <c r="J718" s="178" t="s">
        <v>114</v>
      </c>
      <c r="K718" s="81" t="s">
        <v>25</v>
      </c>
      <c r="L718" s="82"/>
    </row>
    <row r="719" spans="2:12">
      <c r="B719" s="78"/>
      <c r="C719" s="976" t="s">
        <v>344</v>
      </c>
      <c r="D719" s="977"/>
      <c r="E719" s="978"/>
      <c r="F719" s="83">
        <v>1</v>
      </c>
      <c r="G719" s="83">
        <v>1</v>
      </c>
      <c r="H719" s="83">
        <v>1</v>
      </c>
      <c r="I719" s="83">
        <v>1</v>
      </c>
      <c r="J719" s="83">
        <v>0</v>
      </c>
      <c r="K719" s="84">
        <f>(F719*G719*H719*I719)-J719</f>
        <v>1</v>
      </c>
      <c r="L719" s="82"/>
    </row>
    <row r="720" spans="2:12">
      <c r="B720" s="78"/>
      <c r="C720" s="979" t="s">
        <v>116</v>
      </c>
      <c r="D720" s="979"/>
      <c r="E720" s="979"/>
      <c r="F720" s="979"/>
      <c r="G720" s="979"/>
      <c r="H720" s="979"/>
      <c r="I720" s="979"/>
      <c r="J720" s="979"/>
      <c r="K720" s="81">
        <f>SUM(L697,L638,L612)</f>
        <v>1761.4194999999995</v>
      </c>
      <c r="L720" s="82"/>
    </row>
    <row r="721" spans="2:12">
      <c r="B721" s="263"/>
      <c r="C721" s="180"/>
      <c r="D721" s="180"/>
      <c r="E721" s="180"/>
      <c r="F721" s="180"/>
      <c r="G721" s="180"/>
      <c r="H721" s="180"/>
      <c r="I721" s="180"/>
      <c r="J721" s="180"/>
      <c r="K721" s="181"/>
      <c r="L721" s="82"/>
    </row>
    <row r="722" spans="2:12">
      <c r="B722" s="263"/>
      <c r="C722" s="180"/>
      <c r="D722" s="180"/>
      <c r="E722" s="180"/>
      <c r="F722" s="180"/>
      <c r="G722" s="180"/>
      <c r="H722" s="180"/>
      <c r="I722" s="180"/>
      <c r="J722" s="180"/>
      <c r="K722" s="181"/>
      <c r="L722" s="82"/>
    </row>
    <row r="723" spans="2:12" ht="33.75" customHeight="1">
      <c r="B723" s="263" t="s">
        <v>696</v>
      </c>
      <c r="C723" s="989" t="s">
        <v>589</v>
      </c>
      <c r="D723" s="990"/>
      <c r="E723" s="990"/>
      <c r="F723" s="990"/>
      <c r="G723" s="990"/>
      <c r="H723" s="990"/>
      <c r="I723" s="990"/>
      <c r="J723" s="991"/>
      <c r="K723" s="97" t="s">
        <v>7</v>
      </c>
      <c r="L723" s="97">
        <f>K726</f>
        <v>84</v>
      </c>
    </row>
    <row r="724" spans="2:12">
      <c r="B724" s="263"/>
      <c r="C724" s="992" t="s">
        <v>20</v>
      </c>
      <c r="D724" s="992"/>
      <c r="E724" s="992"/>
      <c r="F724" s="79" t="s">
        <v>22</v>
      </c>
      <c r="G724" s="261" t="s">
        <v>111</v>
      </c>
      <c r="H724" s="79" t="s">
        <v>112</v>
      </c>
      <c r="I724" s="261" t="s">
        <v>113</v>
      </c>
      <c r="J724" s="261" t="s">
        <v>114</v>
      </c>
      <c r="K724" s="81" t="s">
        <v>25</v>
      </c>
      <c r="L724" s="82"/>
    </row>
    <row r="725" spans="2:12" ht="15" customHeight="1">
      <c r="B725" s="263"/>
      <c r="C725" s="976" t="s">
        <v>210</v>
      </c>
      <c r="D725" s="977"/>
      <c r="E725" s="978"/>
      <c r="F725" s="83">
        <v>50</v>
      </c>
      <c r="G725" s="83">
        <v>1</v>
      </c>
      <c r="H725" s="83">
        <v>0.8</v>
      </c>
      <c r="I725" s="83">
        <v>2.1</v>
      </c>
      <c r="J725" s="83">
        <v>0</v>
      </c>
      <c r="K725" s="84">
        <f>(F725*G725*H725*I725)-J725</f>
        <v>84</v>
      </c>
      <c r="L725" s="82"/>
    </row>
    <row r="726" spans="2:12">
      <c r="B726" s="263"/>
      <c r="C726" s="979" t="s">
        <v>116</v>
      </c>
      <c r="D726" s="979"/>
      <c r="E726" s="979"/>
      <c r="F726" s="979"/>
      <c r="G726" s="979"/>
      <c r="H726" s="979"/>
      <c r="I726" s="979"/>
      <c r="J726" s="979"/>
      <c r="K726" s="81">
        <f>SUM(K725:K725)</f>
        <v>84</v>
      </c>
      <c r="L726" s="82"/>
    </row>
    <row r="727" spans="2:12">
      <c r="B727" s="263"/>
      <c r="C727" s="180"/>
      <c r="D727" s="180"/>
      <c r="E727" s="180"/>
      <c r="F727" s="180"/>
      <c r="G727" s="180"/>
      <c r="H727" s="180"/>
      <c r="I727" s="180"/>
      <c r="J727" s="180"/>
      <c r="K727" s="181"/>
      <c r="L727" s="82"/>
    </row>
    <row r="728" spans="2:12">
      <c r="B728" s="76" t="s">
        <v>33</v>
      </c>
      <c r="C728" s="993" t="s">
        <v>43</v>
      </c>
      <c r="D728" s="993"/>
      <c r="E728" s="993"/>
      <c r="F728" s="993"/>
      <c r="G728" s="993"/>
      <c r="H728" s="993"/>
      <c r="I728" s="993"/>
      <c r="J728" s="993"/>
      <c r="K728" s="77"/>
      <c r="L728" s="77"/>
    </row>
    <row r="729" spans="2:12" ht="26.25" customHeight="1">
      <c r="B729" s="78" t="s">
        <v>14</v>
      </c>
      <c r="C729" s="989" t="s">
        <v>46</v>
      </c>
      <c r="D729" s="990"/>
      <c r="E729" s="990"/>
      <c r="F729" s="990"/>
      <c r="G729" s="990"/>
      <c r="H729" s="990"/>
      <c r="I729" s="990"/>
      <c r="J729" s="991"/>
      <c r="K729" s="97" t="s">
        <v>7</v>
      </c>
      <c r="L729" s="97">
        <f>K736</f>
        <v>81.25</v>
      </c>
    </row>
    <row r="730" spans="2:12">
      <c r="B730" s="78"/>
      <c r="C730" s="992" t="s">
        <v>20</v>
      </c>
      <c r="D730" s="992"/>
      <c r="E730" s="992"/>
      <c r="F730" s="79" t="s">
        <v>22</v>
      </c>
      <c r="G730" s="80" t="s">
        <v>111</v>
      </c>
      <c r="H730" s="79" t="s">
        <v>112</v>
      </c>
      <c r="I730" s="80" t="s">
        <v>113</v>
      </c>
      <c r="J730" s="80" t="s">
        <v>114</v>
      </c>
      <c r="K730" s="81" t="s">
        <v>25</v>
      </c>
      <c r="L730" s="82"/>
    </row>
    <row r="731" spans="2:12">
      <c r="B731" s="78"/>
      <c r="C731" s="976" t="s">
        <v>244</v>
      </c>
      <c r="D731" s="977"/>
      <c r="E731" s="978"/>
      <c r="F731" s="83">
        <v>1</v>
      </c>
      <c r="G731" s="83">
        <v>2.5</v>
      </c>
      <c r="H731" s="83">
        <v>8.1</v>
      </c>
      <c r="I731" s="83">
        <v>1</v>
      </c>
      <c r="J731" s="83">
        <v>0</v>
      </c>
      <c r="K731" s="84">
        <f>F731*G731*H731*I731</f>
        <v>20.25</v>
      </c>
      <c r="L731" s="82"/>
    </row>
    <row r="732" spans="2:12">
      <c r="B732" s="78"/>
      <c r="C732" s="976" t="s">
        <v>208</v>
      </c>
      <c r="D732" s="977"/>
      <c r="E732" s="978"/>
      <c r="F732" s="83">
        <v>1</v>
      </c>
      <c r="G732" s="83">
        <v>2.5</v>
      </c>
      <c r="H732" s="83">
        <v>14.1</v>
      </c>
      <c r="I732" s="83">
        <v>1</v>
      </c>
      <c r="J732" s="83">
        <v>3.4</v>
      </c>
      <c r="K732" s="84">
        <f>F732*G732*H732*I732</f>
        <v>35.25</v>
      </c>
      <c r="L732" s="82"/>
    </row>
    <row r="733" spans="2:12">
      <c r="B733" s="78"/>
      <c r="C733" s="976" t="s">
        <v>208</v>
      </c>
      <c r="D733" s="977"/>
      <c r="E733" s="978"/>
      <c r="F733" s="83">
        <v>1</v>
      </c>
      <c r="G733" s="83">
        <v>2.5</v>
      </c>
      <c r="H733" s="83">
        <v>4.0999999999999996</v>
      </c>
      <c r="I733" s="83">
        <v>1</v>
      </c>
      <c r="J733" s="83">
        <v>0</v>
      </c>
      <c r="K733" s="84">
        <f>F733*G733*H733*I733</f>
        <v>10.25</v>
      </c>
      <c r="L733" s="82"/>
    </row>
    <row r="734" spans="2:12">
      <c r="B734" s="78"/>
      <c r="C734" s="976" t="s">
        <v>208</v>
      </c>
      <c r="D734" s="977"/>
      <c r="E734" s="978"/>
      <c r="F734" s="83">
        <v>1</v>
      </c>
      <c r="G734" s="83">
        <v>2.5</v>
      </c>
      <c r="H734" s="83">
        <v>4.4000000000000004</v>
      </c>
      <c r="I734" s="83">
        <v>1</v>
      </c>
      <c r="J734" s="83">
        <v>0</v>
      </c>
      <c r="K734" s="84">
        <f>F734*G734*H734*I734</f>
        <v>11</v>
      </c>
      <c r="L734" s="82"/>
    </row>
    <row r="735" spans="2:12">
      <c r="B735" s="78"/>
      <c r="C735" s="976" t="s">
        <v>237</v>
      </c>
      <c r="D735" s="977"/>
      <c r="E735" s="978"/>
      <c r="F735" s="83">
        <v>1</v>
      </c>
      <c r="G735" s="83">
        <v>1.5</v>
      </c>
      <c r="H735" s="83">
        <v>3</v>
      </c>
      <c r="I735" s="83">
        <v>1</v>
      </c>
      <c r="J735" s="83">
        <v>0</v>
      </c>
      <c r="K735" s="84">
        <f>F735*G735*H735*I735</f>
        <v>4.5</v>
      </c>
      <c r="L735" s="82"/>
    </row>
    <row r="736" spans="2:12">
      <c r="B736" s="78"/>
      <c r="C736" s="979" t="s">
        <v>116</v>
      </c>
      <c r="D736" s="979"/>
      <c r="E736" s="979"/>
      <c r="F736" s="979"/>
      <c r="G736" s="979"/>
      <c r="H736" s="979"/>
      <c r="I736" s="979"/>
      <c r="J736" s="979"/>
      <c r="K736" s="81">
        <f>SUM(K731:K735)</f>
        <v>81.25</v>
      </c>
      <c r="L736" s="82"/>
    </row>
    <row r="737" spans="1:12">
      <c r="B737" s="82"/>
      <c r="C737" s="82"/>
      <c r="D737" s="82"/>
      <c r="E737" s="82"/>
      <c r="F737" s="82"/>
      <c r="G737" s="82"/>
      <c r="H737" s="82"/>
      <c r="I737" s="82"/>
      <c r="J737" s="82"/>
      <c r="K737" s="82"/>
      <c r="L737" s="82"/>
    </row>
    <row r="738" spans="1:12" ht="37.5" customHeight="1">
      <c r="B738" s="78" t="s">
        <v>35</v>
      </c>
      <c r="C738" s="989" t="s">
        <v>48</v>
      </c>
      <c r="D738" s="990"/>
      <c r="E738" s="990"/>
      <c r="F738" s="990"/>
      <c r="G738" s="990"/>
      <c r="H738" s="990"/>
      <c r="I738" s="990"/>
      <c r="J738" s="991"/>
      <c r="K738" s="97" t="s">
        <v>7</v>
      </c>
      <c r="L738" s="97">
        <f>K744</f>
        <v>57.6</v>
      </c>
    </row>
    <row r="739" spans="1:12">
      <c r="B739" s="78"/>
      <c r="C739" s="992" t="s">
        <v>20</v>
      </c>
      <c r="D739" s="992"/>
      <c r="E739" s="992"/>
      <c r="F739" s="79" t="s">
        <v>22</v>
      </c>
      <c r="G739" s="80" t="s">
        <v>111</v>
      </c>
      <c r="H739" s="79" t="s">
        <v>112</v>
      </c>
      <c r="I739" s="80" t="s">
        <v>113</v>
      </c>
      <c r="J739" s="80" t="s">
        <v>114</v>
      </c>
      <c r="K739" s="81" t="s">
        <v>25</v>
      </c>
      <c r="L739" s="82"/>
    </row>
    <row r="740" spans="1:12">
      <c r="B740" s="78"/>
      <c r="C740" s="976" t="s">
        <v>208</v>
      </c>
      <c r="D740" s="977"/>
      <c r="E740" s="978"/>
      <c r="F740" s="83">
        <v>1</v>
      </c>
      <c r="G740" s="83">
        <v>2.5</v>
      </c>
      <c r="H740" s="83">
        <v>14.1</v>
      </c>
      <c r="I740" s="83">
        <v>1</v>
      </c>
      <c r="J740" s="83">
        <v>3.4</v>
      </c>
      <c r="K740" s="84">
        <f>F740*G740*H740*I740-J740</f>
        <v>31.85</v>
      </c>
      <c r="L740" s="82"/>
    </row>
    <row r="741" spans="1:12">
      <c r="B741" s="78"/>
      <c r="C741" s="976" t="s">
        <v>208</v>
      </c>
      <c r="D741" s="977"/>
      <c r="E741" s="978"/>
      <c r="F741" s="83">
        <v>1</v>
      </c>
      <c r="G741" s="83">
        <v>2.5</v>
      </c>
      <c r="H741" s="83">
        <v>4.0999999999999996</v>
      </c>
      <c r="I741" s="83">
        <v>1</v>
      </c>
      <c r="J741" s="83">
        <v>0</v>
      </c>
      <c r="K741" s="84">
        <f>F741*G741*H741*I741-J741</f>
        <v>10.25</v>
      </c>
      <c r="L741" s="82"/>
    </row>
    <row r="742" spans="1:12">
      <c r="B742" s="78"/>
      <c r="C742" s="976" t="s">
        <v>208</v>
      </c>
      <c r="D742" s="977"/>
      <c r="E742" s="978"/>
      <c r="F742" s="83">
        <v>1</v>
      </c>
      <c r="G742" s="83">
        <v>2.5</v>
      </c>
      <c r="H742" s="83">
        <v>4.4000000000000004</v>
      </c>
      <c r="I742" s="83">
        <v>1</v>
      </c>
      <c r="J742" s="83">
        <v>0</v>
      </c>
      <c r="K742" s="84">
        <f>F742*G742*H742*I742-J742</f>
        <v>11</v>
      </c>
      <c r="L742" s="82"/>
    </row>
    <row r="743" spans="1:12">
      <c r="B743" s="78"/>
      <c r="C743" s="976" t="s">
        <v>237</v>
      </c>
      <c r="D743" s="977"/>
      <c r="E743" s="978"/>
      <c r="F743" s="83">
        <v>1</v>
      </c>
      <c r="G743" s="83">
        <v>1.5</v>
      </c>
      <c r="H743" s="83">
        <v>3</v>
      </c>
      <c r="I743" s="83">
        <v>1</v>
      </c>
      <c r="J743" s="83">
        <v>0</v>
      </c>
      <c r="K743" s="84">
        <f>F743*G743*H743*I743-J743</f>
        <v>4.5</v>
      </c>
      <c r="L743" s="82"/>
    </row>
    <row r="744" spans="1:12">
      <c r="B744" s="78"/>
      <c r="C744" s="979" t="s">
        <v>116</v>
      </c>
      <c r="D744" s="979"/>
      <c r="E744" s="979"/>
      <c r="F744" s="979"/>
      <c r="G744" s="979"/>
      <c r="H744" s="979"/>
      <c r="I744" s="979"/>
      <c r="J744" s="979"/>
      <c r="K744" s="81">
        <f>SUM(K740:K743)</f>
        <v>57.6</v>
      </c>
      <c r="L744" s="82"/>
    </row>
    <row r="745" spans="1:12">
      <c r="A745" s="82"/>
      <c r="B745" s="82"/>
      <c r="C745" s="82"/>
      <c r="D745" s="82"/>
      <c r="E745" s="82"/>
      <c r="F745" s="82"/>
      <c r="G745" s="82"/>
      <c r="H745" s="82"/>
      <c r="I745" s="82"/>
      <c r="J745" s="82"/>
      <c r="K745" s="82"/>
      <c r="L745" s="82"/>
    </row>
    <row r="746" spans="1:12" ht="39.75" customHeight="1">
      <c r="B746" s="78" t="s">
        <v>37</v>
      </c>
      <c r="C746" s="989" t="s">
        <v>51</v>
      </c>
      <c r="D746" s="990"/>
      <c r="E746" s="990"/>
      <c r="F746" s="990"/>
      <c r="G746" s="990"/>
      <c r="H746" s="990"/>
      <c r="I746" s="990"/>
      <c r="J746" s="991"/>
      <c r="K746" s="97" t="s">
        <v>7</v>
      </c>
      <c r="L746" s="97">
        <f>K756</f>
        <v>110.42520000000002</v>
      </c>
    </row>
    <row r="747" spans="1:12">
      <c r="B747" s="78"/>
      <c r="C747" s="992" t="s">
        <v>20</v>
      </c>
      <c r="D747" s="992"/>
      <c r="E747" s="992"/>
      <c r="F747" s="79" t="s">
        <v>22</v>
      </c>
      <c r="G747" s="80" t="s">
        <v>111</v>
      </c>
      <c r="H747" s="79" t="s">
        <v>112</v>
      </c>
      <c r="I747" s="80" t="s">
        <v>113</v>
      </c>
      <c r="J747" s="80" t="s">
        <v>114</v>
      </c>
      <c r="K747" s="81" t="s">
        <v>25</v>
      </c>
      <c r="L747" s="82"/>
    </row>
    <row r="748" spans="1:12">
      <c r="B748" s="78"/>
      <c r="C748" s="1021" t="s">
        <v>97</v>
      </c>
      <c r="D748" s="1022"/>
      <c r="E748" s="1023"/>
      <c r="F748" s="83">
        <v>2</v>
      </c>
      <c r="G748" s="177">
        <v>2.2200000000000002</v>
      </c>
      <c r="H748" s="79">
        <v>2.5099999999999998</v>
      </c>
      <c r="I748" s="177">
        <v>1</v>
      </c>
      <c r="J748" s="177">
        <v>0</v>
      </c>
      <c r="K748" s="84">
        <f>F748*G748*H748*I748-J748</f>
        <v>11.144399999999999</v>
      </c>
      <c r="L748" s="82"/>
    </row>
    <row r="749" spans="1:12">
      <c r="B749" s="78"/>
      <c r="C749" s="1021" t="s">
        <v>97</v>
      </c>
      <c r="D749" s="1022"/>
      <c r="E749" s="1023"/>
      <c r="F749" s="83">
        <v>2</v>
      </c>
      <c r="G749" s="177">
        <v>2.2200000000000002</v>
      </c>
      <c r="H749" s="79">
        <v>5.85</v>
      </c>
      <c r="I749" s="177">
        <v>1</v>
      </c>
      <c r="J749" s="177">
        <v>0</v>
      </c>
      <c r="K749" s="84">
        <f t="shared" ref="K749:K755" si="8">F749*G749*H749*I749-J749</f>
        <v>25.974</v>
      </c>
      <c r="L749" s="82"/>
    </row>
    <row r="750" spans="1:12">
      <c r="B750" s="78"/>
      <c r="C750" s="1021" t="s">
        <v>97</v>
      </c>
      <c r="D750" s="1022"/>
      <c r="E750" s="1023"/>
      <c r="F750" s="83">
        <v>2</v>
      </c>
      <c r="G750" s="177">
        <v>2.2200000000000002</v>
      </c>
      <c r="H750" s="79">
        <v>5</v>
      </c>
      <c r="I750" s="177">
        <v>1</v>
      </c>
      <c r="J750" s="177">
        <v>0</v>
      </c>
      <c r="K750" s="84">
        <f t="shared" si="8"/>
        <v>22.200000000000003</v>
      </c>
      <c r="L750" s="82"/>
    </row>
    <row r="751" spans="1:12">
      <c r="B751" s="78"/>
      <c r="C751" s="1021" t="s">
        <v>97</v>
      </c>
      <c r="D751" s="1022"/>
      <c r="E751" s="1023"/>
      <c r="F751" s="83">
        <v>2</v>
      </c>
      <c r="G751" s="177">
        <v>2.2200000000000002</v>
      </c>
      <c r="H751" s="79">
        <v>1.9</v>
      </c>
      <c r="I751" s="177">
        <v>1</v>
      </c>
      <c r="J751" s="177">
        <v>0</v>
      </c>
      <c r="K751" s="84">
        <f t="shared" si="8"/>
        <v>8.4359999999999999</v>
      </c>
      <c r="L751" s="82"/>
    </row>
    <row r="752" spans="1:12">
      <c r="B752" s="78"/>
      <c r="C752" s="1021" t="s">
        <v>97</v>
      </c>
      <c r="D752" s="1022"/>
      <c r="E752" s="1023"/>
      <c r="F752" s="83">
        <v>2</v>
      </c>
      <c r="G752" s="177">
        <v>2.2200000000000002</v>
      </c>
      <c r="H752" s="79">
        <v>3.07</v>
      </c>
      <c r="I752" s="177">
        <v>1</v>
      </c>
      <c r="J752" s="177">
        <v>0</v>
      </c>
      <c r="K752" s="84">
        <f t="shared" si="8"/>
        <v>13.630800000000001</v>
      </c>
      <c r="L752" s="82"/>
    </row>
    <row r="753" spans="2:12">
      <c r="B753" s="78"/>
      <c r="C753" s="1021" t="s">
        <v>97</v>
      </c>
      <c r="D753" s="1022"/>
      <c r="E753" s="1023"/>
      <c r="F753" s="83">
        <v>2</v>
      </c>
      <c r="G753" s="177">
        <v>2.2200000000000002</v>
      </c>
      <c r="H753" s="79">
        <v>2.4</v>
      </c>
      <c r="I753" s="177">
        <v>1</v>
      </c>
      <c r="J753" s="177">
        <v>0</v>
      </c>
      <c r="K753" s="84">
        <f t="shared" si="8"/>
        <v>10.656000000000001</v>
      </c>
      <c r="L753" s="82"/>
    </row>
    <row r="754" spans="2:12">
      <c r="B754" s="78"/>
      <c r="C754" s="1021" t="s">
        <v>97</v>
      </c>
      <c r="D754" s="1022"/>
      <c r="E754" s="1023"/>
      <c r="F754" s="83">
        <v>2</v>
      </c>
      <c r="G754" s="177">
        <v>2.2200000000000002</v>
      </c>
      <c r="H754" s="79">
        <v>3.6</v>
      </c>
      <c r="I754" s="177">
        <v>1</v>
      </c>
      <c r="J754" s="177">
        <v>0</v>
      </c>
      <c r="K754" s="84">
        <f t="shared" si="8"/>
        <v>15.984000000000002</v>
      </c>
      <c r="L754" s="82"/>
    </row>
    <row r="755" spans="2:12">
      <c r="B755" s="78"/>
      <c r="C755" s="1021" t="s">
        <v>240</v>
      </c>
      <c r="D755" s="1022"/>
      <c r="E755" s="1023"/>
      <c r="F755" s="83">
        <v>2</v>
      </c>
      <c r="G755" s="179">
        <v>1</v>
      </c>
      <c r="H755" s="79">
        <v>0.8</v>
      </c>
      <c r="I755" s="179">
        <v>1.5</v>
      </c>
      <c r="J755" s="179">
        <v>0</v>
      </c>
      <c r="K755" s="84">
        <f t="shared" si="8"/>
        <v>2.4000000000000004</v>
      </c>
      <c r="L755" s="82"/>
    </row>
    <row r="756" spans="2:12">
      <c r="B756" s="78"/>
      <c r="C756" s="979" t="s">
        <v>116</v>
      </c>
      <c r="D756" s="979"/>
      <c r="E756" s="979"/>
      <c r="F756" s="979"/>
      <c r="G756" s="979"/>
      <c r="H756" s="979"/>
      <c r="I756" s="979"/>
      <c r="J756" s="979"/>
      <c r="K756" s="81">
        <f>SUM(K748:K755)</f>
        <v>110.42520000000002</v>
      </c>
      <c r="L756" s="82"/>
    </row>
    <row r="757" spans="2:12">
      <c r="B757" s="263"/>
      <c r="C757" s="180"/>
      <c r="D757" s="180"/>
      <c r="E757" s="180"/>
      <c r="F757" s="180"/>
      <c r="G757" s="180"/>
      <c r="H757" s="180"/>
      <c r="I757" s="180"/>
      <c r="J757" s="180"/>
      <c r="K757" s="181"/>
      <c r="L757" s="82"/>
    </row>
    <row r="758" spans="2:12" ht="29.25" customHeight="1">
      <c r="B758" s="263" t="s">
        <v>39</v>
      </c>
      <c r="C758" s="989" t="s">
        <v>82</v>
      </c>
      <c r="D758" s="990"/>
      <c r="E758" s="990"/>
      <c r="F758" s="990"/>
      <c r="G758" s="990"/>
      <c r="H758" s="990"/>
      <c r="I758" s="990"/>
      <c r="J758" s="991"/>
      <c r="K758" s="97" t="s">
        <v>7</v>
      </c>
      <c r="L758" s="97">
        <f>K762</f>
        <v>157.82999999999998</v>
      </c>
    </row>
    <row r="759" spans="2:12">
      <c r="B759" s="263"/>
      <c r="C759" s="992" t="s">
        <v>20</v>
      </c>
      <c r="D759" s="992"/>
      <c r="E759" s="992"/>
      <c r="F759" s="79" t="s">
        <v>22</v>
      </c>
      <c r="G759" s="261" t="s">
        <v>111</v>
      </c>
      <c r="H759" s="79" t="s">
        <v>112</v>
      </c>
      <c r="I759" s="261" t="s">
        <v>113</v>
      </c>
      <c r="J759" s="261" t="s">
        <v>114</v>
      </c>
      <c r="K759" s="81" t="s">
        <v>25</v>
      </c>
      <c r="L759" s="82"/>
    </row>
    <row r="760" spans="2:12">
      <c r="B760" s="263"/>
      <c r="C760" s="976" t="s">
        <v>207</v>
      </c>
      <c r="D760" s="977"/>
      <c r="E760" s="978"/>
      <c r="F760" s="83">
        <v>2</v>
      </c>
      <c r="G760" s="83">
        <v>1</v>
      </c>
      <c r="H760" s="83">
        <v>5.6</v>
      </c>
      <c r="I760" s="83">
        <v>9.6</v>
      </c>
      <c r="J760" s="83">
        <v>0</v>
      </c>
      <c r="K760" s="84">
        <f>(F760*G760*H760*I760)-J760</f>
        <v>107.52</v>
      </c>
      <c r="L760" s="82"/>
    </row>
    <row r="761" spans="2:12">
      <c r="B761" s="263"/>
      <c r="C761" s="976" t="s">
        <v>337</v>
      </c>
      <c r="D761" s="977"/>
      <c r="E761" s="978"/>
      <c r="F761" s="83">
        <v>2</v>
      </c>
      <c r="G761" s="83">
        <v>1</v>
      </c>
      <c r="H761" s="83">
        <v>3.9</v>
      </c>
      <c r="I761" s="83">
        <v>6.45</v>
      </c>
      <c r="J761" s="83">
        <v>0</v>
      </c>
      <c r="K761" s="84">
        <f>(F761*G761*H761*I761)-J761</f>
        <v>50.31</v>
      </c>
      <c r="L761" s="82"/>
    </row>
    <row r="762" spans="2:12">
      <c r="B762" s="263"/>
      <c r="C762" s="979" t="s">
        <v>116</v>
      </c>
      <c r="D762" s="979"/>
      <c r="E762" s="979"/>
      <c r="F762" s="979"/>
      <c r="G762" s="979"/>
      <c r="H762" s="979"/>
      <c r="I762" s="979"/>
      <c r="J762" s="979"/>
      <c r="K762" s="81">
        <f>SUM(K760:K761)</f>
        <v>157.82999999999998</v>
      </c>
      <c r="L762" s="82"/>
    </row>
    <row r="763" spans="2:12">
      <c r="B763" s="263"/>
      <c r="C763" s="180"/>
      <c r="D763" s="180"/>
      <c r="E763" s="180"/>
      <c r="F763" s="180"/>
      <c r="G763" s="180"/>
      <c r="H763" s="180"/>
      <c r="I763" s="180"/>
      <c r="J763" s="180"/>
      <c r="K763" s="181"/>
      <c r="L763" s="82"/>
    </row>
    <row r="765" spans="2:12">
      <c r="B765" s="76" t="s">
        <v>42</v>
      </c>
      <c r="C765" s="993" t="s">
        <v>53</v>
      </c>
      <c r="D765" s="993"/>
      <c r="E765" s="993"/>
      <c r="F765" s="993"/>
      <c r="G765" s="993"/>
      <c r="H765" s="993"/>
      <c r="I765" s="993"/>
      <c r="J765" s="993"/>
      <c r="K765" s="77"/>
      <c r="L765" s="77"/>
    </row>
    <row r="766" spans="2:12" ht="27" customHeight="1">
      <c r="B766" s="78" t="s">
        <v>45</v>
      </c>
      <c r="C766" s="989" t="s">
        <v>86</v>
      </c>
      <c r="D766" s="990"/>
      <c r="E766" s="990"/>
      <c r="F766" s="990"/>
      <c r="G766" s="990"/>
      <c r="H766" s="990"/>
      <c r="I766" s="990"/>
      <c r="J766" s="991"/>
      <c r="K766" s="97" t="s">
        <v>21</v>
      </c>
      <c r="L766" s="97">
        <f>K769</f>
        <v>10</v>
      </c>
    </row>
    <row r="767" spans="2:12">
      <c r="B767" s="78"/>
      <c r="C767" s="992" t="s">
        <v>20</v>
      </c>
      <c r="D767" s="992"/>
      <c r="E767" s="992"/>
      <c r="F767" s="79" t="s">
        <v>22</v>
      </c>
      <c r="G767" s="80" t="s">
        <v>111</v>
      </c>
      <c r="H767" s="79" t="s">
        <v>112</v>
      </c>
      <c r="I767" s="80" t="s">
        <v>113</v>
      </c>
      <c r="J767" s="80" t="s">
        <v>114</v>
      </c>
      <c r="K767" s="81" t="s">
        <v>25</v>
      </c>
      <c r="L767" s="82"/>
    </row>
    <row r="768" spans="2:12">
      <c r="B768" s="78"/>
      <c r="C768" s="976" t="s">
        <v>209</v>
      </c>
      <c r="D768" s="977"/>
      <c r="E768" s="978"/>
      <c r="F768" s="83">
        <v>10</v>
      </c>
      <c r="G768" s="83"/>
      <c r="H768" s="83">
        <v>1</v>
      </c>
      <c r="I768" s="83">
        <v>1</v>
      </c>
      <c r="J768" s="83"/>
      <c r="K768" s="84">
        <f>I768*H768*F768</f>
        <v>10</v>
      </c>
      <c r="L768" s="82"/>
    </row>
    <row r="769" spans="2:12">
      <c r="B769" s="78"/>
      <c r="C769" s="979" t="s">
        <v>116</v>
      </c>
      <c r="D769" s="979"/>
      <c r="E769" s="979"/>
      <c r="F769" s="979"/>
      <c r="G769" s="979"/>
      <c r="H769" s="979"/>
      <c r="I769" s="979"/>
      <c r="J769" s="979"/>
      <c r="K769" s="81">
        <f>K768</f>
        <v>10</v>
      </c>
      <c r="L769" s="82"/>
    </row>
    <row r="770" spans="2:12">
      <c r="B770" s="82"/>
      <c r="C770" s="82"/>
      <c r="D770" s="82"/>
      <c r="E770" s="82"/>
      <c r="F770" s="82"/>
      <c r="G770" s="82"/>
      <c r="H770" s="82"/>
      <c r="I770" s="82"/>
      <c r="J770" s="82"/>
      <c r="K770" s="82"/>
      <c r="L770" s="82"/>
    </row>
    <row r="771" spans="2:12" ht="31.5" customHeight="1">
      <c r="B771" s="78" t="s">
        <v>198</v>
      </c>
      <c r="C771" s="989" t="s">
        <v>88</v>
      </c>
      <c r="D771" s="990"/>
      <c r="E771" s="990"/>
      <c r="F771" s="990"/>
      <c r="G771" s="990"/>
      <c r="H771" s="990"/>
      <c r="I771" s="990"/>
      <c r="J771" s="991"/>
      <c r="K771" s="97" t="s">
        <v>21</v>
      </c>
      <c r="L771" s="97">
        <f>K774</f>
        <v>6</v>
      </c>
    </row>
    <row r="772" spans="2:12">
      <c r="B772" s="78"/>
      <c r="C772" s="992" t="s">
        <v>20</v>
      </c>
      <c r="D772" s="992"/>
      <c r="E772" s="992"/>
      <c r="F772" s="79" t="s">
        <v>22</v>
      </c>
      <c r="G772" s="80" t="s">
        <v>111</v>
      </c>
      <c r="H772" s="79" t="s">
        <v>112</v>
      </c>
      <c r="I772" s="80" t="s">
        <v>113</v>
      </c>
      <c r="J772" s="80" t="s">
        <v>114</v>
      </c>
      <c r="K772" s="81" t="s">
        <v>25</v>
      </c>
      <c r="L772" s="82"/>
    </row>
    <row r="773" spans="2:12">
      <c r="B773" s="78"/>
      <c r="C773" s="976" t="s">
        <v>210</v>
      </c>
      <c r="D773" s="977"/>
      <c r="E773" s="978"/>
      <c r="F773" s="83">
        <v>6</v>
      </c>
      <c r="G773" s="83"/>
      <c r="H773" s="83">
        <v>1</v>
      </c>
      <c r="I773" s="83">
        <v>1</v>
      </c>
      <c r="J773" s="83"/>
      <c r="K773" s="84">
        <f>I773*H773*F773</f>
        <v>6</v>
      </c>
      <c r="L773" s="82"/>
    </row>
    <row r="774" spans="2:12">
      <c r="B774" s="78"/>
      <c r="C774" s="979" t="s">
        <v>116</v>
      </c>
      <c r="D774" s="979"/>
      <c r="E774" s="979"/>
      <c r="F774" s="979"/>
      <c r="G774" s="979"/>
      <c r="H774" s="979"/>
      <c r="I774" s="979"/>
      <c r="J774" s="979"/>
      <c r="K774" s="81">
        <f>K773</f>
        <v>6</v>
      </c>
      <c r="L774" s="82"/>
    </row>
    <row r="775" spans="2:12">
      <c r="B775" s="82"/>
      <c r="C775" s="82"/>
      <c r="D775" s="82"/>
      <c r="E775" s="82"/>
      <c r="F775" s="82"/>
      <c r="G775" s="82"/>
      <c r="H775" s="82"/>
      <c r="I775" s="82"/>
      <c r="J775" s="82"/>
      <c r="K775" s="82"/>
      <c r="L775" s="82"/>
    </row>
    <row r="776" spans="2:12" ht="18.75" customHeight="1">
      <c r="B776" s="78" t="s">
        <v>50</v>
      </c>
      <c r="C776" s="989" t="s">
        <v>98</v>
      </c>
      <c r="D776" s="990"/>
      <c r="E776" s="990"/>
      <c r="F776" s="990"/>
      <c r="G776" s="990"/>
      <c r="H776" s="990"/>
      <c r="I776" s="990"/>
      <c r="J776" s="991"/>
      <c r="K776" s="97" t="s">
        <v>7</v>
      </c>
      <c r="L776" s="97">
        <f>K780</f>
        <v>26.7</v>
      </c>
    </row>
    <row r="777" spans="2:12">
      <c r="B777" s="78"/>
      <c r="C777" s="992" t="s">
        <v>20</v>
      </c>
      <c r="D777" s="992"/>
      <c r="E777" s="992"/>
      <c r="F777" s="79" t="s">
        <v>22</v>
      </c>
      <c r="G777" s="80" t="s">
        <v>111</v>
      </c>
      <c r="H777" s="79" t="s">
        <v>112</v>
      </c>
      <c r="I777" s="80" t="s">
        <v>113</v>
      </c>
      <c r="J777" s="80" t="s">
        <v>114</v>
      </c>
      <c r="K777" s="81" t="s">
        <v>25</v>
      </c>
      <c r="L777" s="82"/>
    </row>
    <row r="778" spans="2:12">
      <c r="B778" s="78"/>
      <c r="C778" s="976" t="s">
        <v>211</v>
      </c>
      <c r="D778" s="977"/>
      <c r="E778" s="978"/>
      <c r="F778" s="83">
        <v>10</v>
      </c>
      <c r="G778" s="83"/>
      <c r="H778" s="83">
        <v>1</v>
      </c>
      <c r="I778" s="83">
        <v>1.7</v>
      </c>
      <c r="J778" s="83"/>
      <c r="K778" s="84">
        <f>H778*I778</f>
        <v>1.7</v>
      </c>
      <c r="L778" s="82"/>
    </row>
    <row r="779" spans="2:12">
      <c r="B779" s="78"/>
      <c r="C779" s="976" t="s">
        <v>211</v>
      </c>
      <c r="D779" s="977"/>
      <c r="E779" s="978"/>
      <c r="F779" s="83">
        <v>10</v>
      </c>
      <c r="G779" s="83"/>
      <c r="H779" s="83">
        <v>1</v>
      </c>
      <c r="I779" s="83">
        <v>2.5</v>
      </c>
      <c r="J779" s="83"/>
      <c r="K779" s="84">
        <f>I779*H779*F779</f>
        <v>25</v>
      </c>
      <c r="L779" s="82"/>
    </row>
    <row r="780" spans="2:12">
      <c r="B780" s="78"/>
      <c r="C780" s="979" t="s">
        <v>116</v>
      </c>
      <c r="D780" s="979"/>
      <c r="E780" s="979"/>
      <c r="F780" s="979"/>
      <c r="G780" s="979"/>
      <c r="H780" s="979"/>
      <c r="I780" s="979"/>
      <c r="J780" s="979"/>
      <c r="K780" s="81">
        <f>SUM(K778:K779)</f>
        <v>26.7</v>
      </c>
      <c r="L780" s="82"/>
    </row>
    <row r="782" spans="2:12" ht="14.25" customHeight="1">
      <c r="B782" s="78" t="s">
        <v>439</v>
      </c>
      <c r="C782" s="989" t="s">
        <v>99</v>
      </c>
      <c r="D782" s="990"/>
      <c r="E782" s="990"/>
      <c r="F782" s="990"/>
      <c r="G782" s="990"/>
      <c r="H782" s="990"/>
      <c r="I782" s="990"/>
      <c r="J782" s="991"/>
      <c r="K782" s="97" t="s">
        <v>7</v>
      </c>
      <c r="L782" s="97">
        <f>K787</f>
        <v>35.88000000000001</v>
      </c>
    </row>
    <row r="783" spans="2:12">
      <c r="B783" s="78"/>
      <c r="C783" s="992" t="s">
        <v>20</v>
      </c>
      <c r="D783" s="992"/>
      <c r="E783" s="992"/>
      <c r="F783" s="79" t="s">
        <v>22</v>
      </c>
      <c r="G783" s="80" t="s">
        <v>111</v>
      </c>
      <c r="H783" s="79" t="s">
        <v>112</v>
      </c>
      <c r="I783" s="80" t="s">
        <v>113</v>
      </c>
      <c r="J783" s="80" t="s">
        <v>114</v>
      </c>
      <c r="K783" s="81" t="s">
        <v>25</v>
      </c>
      <c r="L783" s="82"/>
    </row>
    <row r="784" spans="2:12">
      <c r="B784" s="78"/>
      <c r="C784" s="976" t="s">
        <v>212</v>
      </c>
      <c r="D784" s="977"/>
      <c r="E784" s="978"/>
      <c r="F784" s="83">
        <v>6</v>
      </c>
      <c r="G784" s="83">
        <v>1</v>
      </c>
      <c r="H784" s="83">
        <v>2</v>
      </c>
      <c r="I784" s="83">
        <v>1.1000000000000001</v>
      </c>
      <c r="J784" s="83">
        <v>0</v>
      </c>
      <c r="K784" s="84">
        <f>H784*I784*F784</f>
        <v>13.200000000000001</v>
      </c>
      <c r="L784" s="82"/>
    </row>
    <row r="785" spans="2:12">
      <c r="B785" s="78"/>
      <c r="C785" s="976" t="s">
        <v>213</v>
      </c>
      <c r="D785" s="977"/>
      <c r="E785" s="978"/>
      <c r="F785" s="83">
        <v>6</v>
      </c>
      <c r="G785" s="83">
        <v>1</v>
      </c>
      <c r="H785" s="83">
        <v>1</v>
      </c>
      <c r="I785" s="83">
        <v>2.1</v>
      </c>
      <c r="J785" s="83">
        <v>0</v>
      </c>
      <c r="K785" s="84">
        <f>I785*H785*F785</f>
        <v>12.600000000000001</v>
      </c>
      <c r="L785" s="82"/>
    </row>
    <row r="786" spans="2:12">
      <c r="B786" s="78"/>
      <c r="C786" s="976" t="s">
        <v>214</v>
      </c>
      <c r="D786" s="977"/>
      <c r="E786" s="978"/>
      <c r="F786" s="83">
        <v>6</v>
      </c>
      <c r="G786" s="83">
        <v>1</v>
      </c>
      <c r="H786" s="83">
        <v>0.8</v>
      </c>
      <c r="I786" s="83">
        <v>2.1</v>
      </c>
      <c r="J786" s="83">
        <v>0</v>
      </c>
      <c r="K786" s="84">
        <f>I786*H786*F786</f>
        <v>10.080000000000002</v>
      </c>
      <c r="L786" s="82"/>
    </row>
    <row r="787" spans="2:12">
      <c r="B787" s="78"/>
      <c r="C787" s="979" t="s">
        <v>116</v>
      </c>
      <c r="D787" s="979"/>
      <c r="E787" s="979"/>
      <c r="F787" s="979"/>
      <c r="G787" s="979"/>
      <c r="H787" s="979"/>
      <c r="I787" s="979"/>
      <c r="J787" s="979"/>
      <c r="K787" s="81">
        <f>SUM(K784:K786)</f>
        <v>35.88000000000001</v>
      </c>
      <c r="L787" s="82"/>
    </row>
    <row r="788" spans="2:12">
      <c r="B788" s="331"/>
      <c r="C788" s="180"/>
      <c r="D788" s="180"/>
      <c r="E788" s="180"/>
      <c r="F788" s="180"/>
      <c r="G788" s="180"/>
      <c r="H788" s="180"/>
      <c r="I788" s="180"/>
      <c r="J788" s="180"/>
      <c r="K788" s="181"/>
      <c r="L788" s="82"/>
    </row>
    <row r="789" spans="2:12" ht="31.5" customHeight="1">
      <c r="B789" s="859" t="s">
        <v>440</v>
      </c>
      <c r="C789" s="989" t="s">
        <v>434</v>
      </c>
      <c r="D789" s="990"/>
      <c r="E789" s="990"/>
      <c r="F789" s="990"/>
      <c r="G789" s="990"/>
      <c r="H789" s="990"/>
      <c r="I789" s="990"/>
      <c r="J789" s="991"/>
      <c r="K789" s="97" t="s">
        <v>21</v>
      </c>
      <c r="L789" s="97">
        <f>K792</f>
        <v>6</v>
      </c>
    </row>
    <row r="790" spans="2:12">
      <c r="B790" s="331"/>
      <c r="C790" s="992" t="s">
        <v>20</v>
      </c>
      <c r="D790" s="992"/>
      <c r="E790" s="992"/>
      <c r="F790" s="79" t="s">
        <v>22</v>
      </c>
      <c r="G790" s="330"/>
      <c r="H790" s="79"/>
      <c r="I790" s="330"/>
      <c r="J790" s="330"/>
      <c r="K790" s="81" t="s">
        <v>25</v>
      </c>
      <c r="L790" s="82"/>
    </row>
    <row r="791" spans="2:12">
      <c r="B791" s="331"/>
      <c r="C791" s="976" t="s">
        <v>1588</v>
      </c>
      <c r="D791" s="977"/>
      <c r="E791" s="978"/>
      <c r="F791" s="83">
        <v>6</v>
      </c>
      <c r="G791" s="83"/>
      <c r="H791" s="83"/>
      <c r="I791" s="83"/>
      <c r="J791" s="83"/>
      <c r="K791" s="84">
        <f>F791</f>
        <v>6</v>
      </c>
      <c r="L791" s="82"/>
    </row>
    <row r="792" spans="2:12">
      <c r="B792" s="331"/>
      <c r="C792" s="979" t="s">
        <v>116</v>
      </c>
      <c r="D792" s="979"/>
      <c r="E792" s="979"/>
      <c r="F792" s="979"/>
      <c r="G792" s="979"/>
      <c r="H792" s="979"/>
      <c r="I792" s="979"/>
      <c r="J792" s="979"/>
      <c r="K792" s="81">
        <f>K791</f>
        <v>6</v>
      </c>
      <c r="L792" s="82"/>
    </row>
    <row r="793" spans="2:12">
      <c r="B793" s="331"/>
      <c r="C793" s="180"/>
      <c r="D793" s="180"/>
      <c r="E793" s="180"/>
      <c r="F793" s="180"/>
      <c r="G793" s="180"/>
      <c r="H793" s="180"/>
      <c r="I793" s="180"/>
      <c r="J793" s="180"/>
      <c r="K793" s="181"/>
      <c r="L793" s="82"/>
    </row>
    <row r="794" spans="2:12">
      <c r="B794" s="76" t="s">
        <v>52</v>
      </c>
      <c r="C794" s="993" t="s">
        <v>57</v>
      </c>
      <c r="D794" s="993"/>
      <c r="E794" s="993"/>
      <c r="F794" s="993"/>
      <c r="G794" s="993"/>
      <c r="H794" s="993"/>
      <c r="I794" s="993"/>
      <c r="J794" s="993"/>
      <c r="K794" s="77"/>
      <c r="L794" s="77"/>
    </row>
    <row r="795" spans="2:12" ht="26.25" customHeight="1">
      <c r="B795" s="78" t="s">
        <v>54</v>
      </c>
      <c r="C795" s="989" t="s">
        <v>60</v>
      </c>
      <c r="D795" s="990"/>
      <c r="E795" s="990"/>
      <c r="F795" s="990"/>
      <c r="G795" s="990"/>
      <c r="H795" s="990"/>
      <c r="I795" s="990"/>
      <c r="J795" s="991"/>
      <c r="K795" s="97" t="s">
        <v>7</v>
      </c>
      <c r="L795" s="97">
        <f>K798</f>
        <v>432</v>
      </c>
    </row>
    <row r="796" spans="2:12">
      <c r="B796" s="78"/>
      <c r="C796" s="992" t="s">
        <v>20</v>
      </c>
      <c r="D796" s="992"/>
      <c r="E796" s="992"/>
      <c r="F796" s="79" t="s">
        <v>22</v>
      </c>
      <c r="G796" s="80" t="s">
        <v>111</v>
      </c>
      <c r="H796" s="79" t="s">
        <v>112</v>
      </c>
      <c r="I796" s="80" t="s">
        <v>113</v>
      </c>
      <c r="J796" s="80" t="s">
        <v>114</v>
      </c>
      <c r="K796" s="81" t="s">
        <v>25</v>
      </c>
      <c r="L796" s="82"/>
    </row>
    <row r="797" spans="2:12">
      <c r="B797" s="78"/>
      <c r="C797" s="976" t="s">
        <v>215</v>
      </c>
      <c r="D797" s="977"/>
      <c r="E797" s="978"/>
      <c r="F797" s="83">
        <v>1</v>
      </c>
      <c r="G797" s="83"/>
      <c r="H797" s="83">
        <v>1</v>
      </c>
      <c r="I797" s="83">
        <v>432</v>
      </c>
      <c r="J797" s="83"/>
      <c r="K797" s="84">
        <f>H797*I797</f>
        <v>432</v>
      </c>
      <c r="L797" s="82"/>
    </row>
    <row r="798" spans="2:12">
      <c r="B798" s="78"/>
      <c r="C798" s="979" t="s">
        <v>116</v>
      </c>
      <c r="D798" s="979"/>
      <c r="E798" s="979"/>
      <c r="F798" s="979"/>
      <c r="G798" s="979"/>
      <c r="H798" s="979"/>
      <c r="I798" s="979"/>
      <c r="J798" s="979"/>
      <c r="K798" s="81">
        <f>K797</f>
        <v>432</v>
      </c>
      <c r="L798" s="82"/>
    </row>
    <row r="800" spans="2:12">
      <c r="B800" s="76" t="s">
        <v>56</v>
      </c>
      <c r="C800" s="993" t="s">
        <v>63</v>
      </c>
      <c r="D800" s="993"/>
      <c r="E800" s="993"/>
      <c r="F800" s="993"/>
      <c r="G800" s="993"/>
      <c r="H800" s="993"/>
      <c r="I800" s="993"/>
      <c r="J800" s="993"/>
      <c r="K800" s="77"/>
      <c r="L800" s="77"/>
    </row>
    <row r="801" spans="2:12" ht="24" customHeight="1">
      <c r="B801" s="78" t="s">
        <v>59</v>
      </c>
      <c r="C801" s="1062" t="s">
        <v>89</v>
      </c>
      <c r="D801" s="1063"/>
      <c r="E801" s="1063"/>
      <c r="F801" s="1063"/>
      <c r="G801" s="1063"/>
      <c r="H801" s="1063"/>
      <c r="I801" s="1063"/>
      <c r="J801" s="1064"/>
      <c r="K801" s="97" t="s">
        <v>21</v>
      </c>
      <c r="L801" s="97">
        <f>K804</f>
        <v>1</v>
      </c>
    </row>
    <row r="802" spans="2:12">
      <c r="B802" s="78"/>
      <c r="C802" s="992" t="s">
        <v>20</v>
      </c>
      <c r="D802" s="992"/>
      <c r="E802" s="992"/>
      <c r="F802" s="79" t="s">
        <v>22</v>
      </c>
      <c r="G802" s="80" t="s">
        <v>111</v>
      </c>
      <c r="H802" s="79" t="s">
        <v>112</v>
      </c>
      <c r="I802" s="80" t="s">
        <v>113</v>
      </c>
      <c r="J802" s="80" t="s">
        <v>114</v>
      </c>
      <c r="K802" s="81" t="s">
        <v>25</v>
      </c>
      <c r="L802" s="82"/>
    </row>
    <row r="803" spans="2:12" ht="28.5" customHeight="1">
      <c r="B803" s="78"/>
      <c r="C803" s="976" t="s">
        <v>216</v>
      </c>
      <c r="D803" s="977"/>
      <c r="E803" s="978"/>
      <c r="F803" s="83">
        <v>1</v>
      </c>
      <c r="G803" s="83"/>
      <c r="H803" s="83"/>
      <c r="I803" s="83"/>
      <c r="J803" s="83"/>
      <c r="K803" s="84">
        <f>F803</f>
        <v>1</v>
      </c>
      <c r="L803" s="82"/>
    </row>
    <row r="804" spans="2:12">
      <c r="B804" s="78"/>
      <c r="C804" s="979" t="s">
        <v>116</v>
      </c>
      <c r="D804" s="979"/>
      <c r="E804" s="979"/>
      <c r="F804" s="979"/>
      <c r="G804" s="979"/>
      <c r="H804" s="979"/>
      <c r="I804" s="979"/>
      <c r="J804" s="979"/>
      <c r="K804" s="81">
        <f>K803</f>
        <v>1</v>
      </c>
      <c r="L804" s="82"/>
    </row>
    <row r="806" spans="2:12" ht="17.25" customHeight="1">
      <c r="B806" s="78" t="s">
        <v>61</v>
      </c>
      <c r="C806" s="989" t="s">
        <v>102</v>
      </c>
      <c r="D806" s="990"/>
      <c r="E806" s="990"/>
      <c r="F806" s="990"/>
      <c r="G806" s="990"/>
      <c r="H806" s="990"/>
      <c r="I806" s="990"/>
      <c r="J806" s="991"/>
      <c r="K806" s="97" t="s">
        <v>21</v>
      </c>
      <c r="L806" s="97">
        <f>K809</f>
        <v>10</v>
      </c>
    </row>
    <row r="807" spans="2:12">
      <c r="B807" s="78"/>
      <c r="C807" s="992" t="s">
        <v>20</v>
      </c>
      <c r="D807" s="992"/>
      <c r="E807" s="992"/>
      <c r="F807" s="79" t="s">
        <v>22</v>
      </c>
      <c r="G807" s="80" t="s">
        <v>111</v>
      </c>
      <c r="H807" s="79" t="s">
        <v>112</v>
      </c>
      <c r="I807" s="80" t="s">
        <v>113</v>
      </c>
      <c r="J807" s="80" t="s">
        <v>114</v>
      </c>
      <c r="K807" s="81" t="s">
        <v>25</v>
      </c>
      <c r="L807" s="82"/>
    </row>
    <row r="808" spans="2:12">
      <c r="B808" s="78"/>
      <c r="C808" s="976" t="s">
        <v>217</v>
      </c>
      <c r="D808" s="977"/>
      <c r="E808" s="978"/>
      <c r="F808" s="83">
        <v>10</v>
      </c>
      <c r="G808" s="83"/>
      <c r="H808" s="83"/>
      <c r="I808" s="83"/>
      <c r="J808" s="83"/>
      <c r="K808" s="84">
        <f>F808</f>
        <v>10</v>
      </c>
      <c r="L808" s="82"/>
    </row>
    <row r="809" spans="2:12">
      <c r="B809" s="78"/>
      <c r="C809" s="979" t="s">
        <v>116</v>
      </c>
      <c r="D809" s="979"/>
      <c r="E809" s="979"/>
      <c r="F809" s="979"/>
      <c r="G809" s="979"/>
      <c r="H809" s="979"/>
      <c r="I809" s="979"/>
      <c r="J809" s="979"/>
      <c r="K809" s="81">
        <f>K808</f>
        <v>10</v>
      </c>
      <c r="L809" s="82"/>
    </row>
    <row r="810" spans="2:12">
      <c r="B810" s="76" t="s">
        <v>62</v>
      </c>
      <c r="C810" s="993" t="str">
        <f>'ESC. MUN. ANDRE VIDAL'!C51</f>
        <v>INSTALAÇÕES ELÉTRICAS</v>
      </c>
      <c r="D810" s="993"/>
      <c r="E810" s="993"/>
      <c r="F810" s="993"/>
      <c r="G810" s="993"/>
      <c r="H810" s="993"/>
      <c r="I810" s="993"/>
      <c r="J810" s="993"/>
      <c r="K810" s="77"/>
      <c r="L810" s="77"/>
    </row>
    <row r="811" spans="2:12" ht="25.5" customHeight="1">
      <c r="B811" s="78" t="s">
        <v>64</v>
      </c>
      <c r="C811" s="989" t="s">
        <v>69</v>
      </c>
      <c r="D811" s="990"/>
      <c r="E811" s="990"/>
      <c r="F811" s="990"/>
      <c r="G811" s="990"/>
      <c r="H811" s="990"/>
      <c r="I811" s="990"/>
      <c r="J811" s="991"/>
      <c r="K811" s="97" t="s">
        <v>21</v>
      </c>
      <c r="L811" s="97">
        <f>K814</f>
        <v>5</v>
      </c>
    </row>
    <row r="812" spans="2:12">
      <c r="B812" s="78"/>
      <c r="C812" s="992" t="s">
        <v>20</v>
      </c>
      <c r="D812" s="992"/>
      <c r="E812" s="992"/>
      <c r="F812" s="79" t="s">
        <v>22</v>
      </c>
      <c r="G812" s="80" t="s">
        <v>111</v>
      </c>
      <c r="H812" s="79" t="s">
        <v>112</v>
      </c>
      <c r="I812" s="80" t="s">
        <v>113</v>
      </c>
      <c r="J812" s="80" t="s">
        <v>114</v>
      </c>
      <c r="K812" s="81" t="s">
        <v>25</v>
      </c>
      <c r="L812" s="82"/>
    </row>
    <row r="813" spans="2:12">
      <c r="B813" s="78"/>
      <c r="C813" s="976" t="s">
        <v>217</v>
      </c>
      <c r="D813" s="977"/>
      <c r="E813" s="978"/>
      <c r="F813" s="83">
        <v>5</v>
      </c>
      <c r="G813" s="83"/>
      <c r="H813" s="83"/>
      <c r="I813" s="83"/>
      <c r="J813" s="83"/>
      <c r="K813" s="84">
        <f>F813</f>
        <v>5</v>
      </c>
      <c r="L813" s="82"/>
    </row>
    <row r="814" spans="2:12">
      <c r="B814" s="78"/>
      <c r="C814" s="979" t="s">
        <v>116</v>
      </c>
      <c r="D814" s="979"/>
      <c r="E814" s="979"/>
      <c r="F814" s="979"/>
      <c r="G814" s="979"/>
      <c r="H814" s="979"/>
      <c r="I814" s="979"/>
      <c r="J814" s="979"/>
      <c r="K814" s="81">
        <f>K813</f>
        <v>5</v>
      </c>
      <c r="L814" s="82"/>
    </row>
    <row r="816" spans="2:12">
      <c r="B816" s="78" t="s">
        <v>101</v>
      </c>
      <c r="C816" s="989" t="s">
        <v>71</v>
      </c>
      <c r="D816" s="990"/>
      <c r="E816" s="990"/>
      <c r="F816" s="990"/>
      <c r="G816" s="990"/>
      <c r="H816" s="990"/>
      <c r="I816" s="990"/>
      <c r="J816" s="991"/>
      <c r="K816" s="97" t="s">
        <v>21</v>
      </c>
      <c r="L816" s="97">
        <f>K819</f>
        <v>30</v>
      </c>
    </row>
    <row r="817" spans="2:12">
      <c r="B817" s="78"/>
      <c r="C817" s="992" t="s">
        <v>20</v>
      </c>
      <c r="D817" s="992"/>
      <c r="E817" s="992"/>
      <c r="F817" s="79" t="s">
        <v>22</v>
      </c>
      <c r="G817" s="80" t="s">
        <v>111</v>
      </c>
      <c r="H817" s="79" t="s">
        <v>112</v>
      </c>
      <c r="I817" s="80" t="s">
        <v>113</v>
      </c>
      <c r="J817" s="80" t="s">
        <v>114</v>
      </c>
      <c r="K817" s="81" t="s">
        <v>25</v>
      </c>
      <c r="L817" s="82"/>
    </row>
    <row r="818" spans="2:12">
      <c r="B818" s="78"/>
      <c r="C818" s="976" t="s">
        <v>218</v>
      </c>
      <c r="D818" s="977"/>
      <c r="E818" s="978"/>
      <c r="F818" s="83">
        <v>30</v>
      </c>
      <c r="G818" s="83"/>
      <c r="H818" s="83"/>
      <c r="I818" s="83"/>
      <c r="J818" s="83"/>
      <c r="K818" s="84">
        <f>F818</f>
        <v>30</v>
      </c>
      <c r="L818" s="82"/>
    </row>
    <row r="819" spans="2:12">
      <c r="B819" s="78"/>
      <c r="C819" s="979" t="s">
        <v>116</v>
      </c>
      <c r="D819" s="979"/>
      <c r="E819" s="979"/>
      <c r="F819" s="979"/>
      <c r="G819" s="979"/>
      <c r="H819" s="979"/>
      <c r="I819" s="979"/>
      <c r="J819" s="979"/>
      <c r="K819" s="81">
        <f>K818</f>
        <v>30</v>
      </c>
      <c r="L819" s="82"/>
    </row>
    <row r="820" spans="2:12">
      <c r="B820" s="76" t="s">
        <v>65</v>
      </c>
      <c r="C820" s="993" t="s">
        <v>73</v>
      </c>
      <c r="D820" s="993"/>
      <c r="E820" s="993"/>
      <c r="F820" s="993"/>
      <c r="G820" s="993"/>
      <c r="H820" s="993"/>
      <c r="I820" s="993"/>
      <c r="J820" s="993"/>
      <c r="K820" s="77"/>
      <c r="L820" s="77"/>
    </row>
    <row r="821" spans="2:12" ht="39.75" customHeight="1">
      <c r="B821" s="78" t="s">
        <v>68</v>
      </c>
      <c r="C821" s="989" t="s">
        <v>76</v>
      </c>
      <c r="D821" s="990"/>
      <c r="E821" s="990"/>
      <c r="F821" s="990"/>
      <c r="G821" s="990"/>
      <c r="H821" s="990"/>
      <c r="I821" s="990"/>
      <c r="J821" s="991"/>
      <c r="K821" s="97" t="s">
        <v>77</v>
      </c>
      <c r="L821" s="97">
        <f>K824</f>
        <v>15</v>
      </c>
    </row>
    <row r="822" spans="2:12">
      <c r="B822" s="78"/>
      <c r="C822" s="992" t="s">
        <v>20</v>
      </c>
      <c r="D822" s="992"/>
      <c r="E822" s="992"/>
      <c r="F822" s="79" t="s">
        <v>22</v>
      </c>
      <c r="G822" s="80" t="s">
        <v>111</v>
      </c>
      <c r="H822" s="79" t="s">
        <v>112</v>
      </c>
      <c r="I822" s="80" t="s">
        <v>113</v>
      </c>
      <c r="J822" s="80" t="s">
        <v>114</v>
      </c>
      <c r="K822" s="81" t="s">
        <v>25</v>
      </c>
      <c r="L822" s="82"/>
    </row>
    <row r="823" spans="2:12">
      <c r="B823" s="78"/>
      <c r="C823" s="976" t="s">
        <v>219</v>
      </c>
      <c r="D823" s="977"/>
      <c r="E823" s="978"/>
      <c r="F823" s="83">
        <v>1</v>
      </c>
      <c r="G823" s="83"/>
      <c r="H823" s="83"/>
      <c r="I823" s="83">
        <v>15</v>
      </c>
      <c r="J823" s="83"/>
      <c r="K823" s="84">
        <f>I823*F823</f>
        <v>15</v>
      </c>
      <c r="L823" s="82"/>
    </row>
    <row r="824" spans="2:12">
      <c r="B824" s="78"/>
      <c r="C824" s="979" t="s">
        <v>116</v>
      </c>
      <c r="D824" s="979"/>
      <c r="E824" s="979"/>
      <c r="F824" s="979"/>
      <c r="G824" s="979"/>
      <c r="H824" s="979"/>
      <c r="I824" s="979"/>
      <c r="J824" s="979"/>
      <c r="K824" s="81">
        <f>K823</f>
        <v>15</v>
      </c>
      <c r="L824" s="82"/>
    </row>
    <row r="826" spans="2:12">
      <c r="B826" s="336" t="s">
        <v>202</v>
      </c>
      <c r="C826" s="980" t="s">
        <v>609</v>
      </c>
      <c r="D826" s="981"/>
      <c r="E826" s="981"/>
      <c r="F826" s="981"/>
      <c r="G826" s="981"/>
      <c r="H826" s="981"/>
      <c r="I826" s="981"/>
      <c r="J826" s="982"/>
      <c r="K826" s="97" t="s">
        <v>7</v>
      </c>
      <c r="L826" s="97">
        <f>K829</f>
        <v>200</v>
      </c>
    </row>
    <row r="827" spans="2:12">
      <c r="B827" s="336"/>
      <c r="C827" s="983" t="s">
        <v>20</v>
      </c>
      <c r="D827" s="983"/>
      <c r="E827" s="983"/>
      <c r="F827" s="87" t="s">
        <v>22</v>
      </c>
      <c r="G827" s="333" t="s">
        <v>111</v>
      </c>
      <c r="H827" s="87" t="s">
        <v>112</v>
      </c>
      <c r="I827" s="333" t="s">
        <v>113</v>
      </c>
      <c r="J827" s="333" t="s">
        <v>114</v>
      </c>
      <c r="K827" s="89" t="s">
        <v>25</v>
      </c>
      <c r="L827" s="90"/>
    </row>
    <row r="828" spans="2:12">
      <c r="B828" s="336"/>
      <c r="C828" s="984" t="s">
        <v>640</v>
      </c>
      <c r="D828" s="985"/>
      <c r="E828" s="986"/>
      <c r="F828" s="91">
        <v>1</v>
      </c>
      <c r="G828" s="91">
        <v>5</v>
      </c>
      <c r="H828" s="91">
        <v>40</v>
      </c>
      <c r="I828" s="91">
        <v>1</v>
      </c>
      <c r="J828" s="91">
        <v>0</v>
      </c>
      <c r="K828" s="89">
        <f>(G828*H828*I828*F828)-J828</f>
        <v>200</v>
      </c>
      <c r="L828" s="90"/>
    </row>
    <row r="829" spans="2:12">
      <c r="B829" s="336"/>
      <c r="C829" s="987" t="s">
        <v>116</v>
      </c>
      <c r="D829" s="987"/>
      <c r="E829" s="987"/>
      <c r="F829" s="987"/>
      <c r="G829" s="987"/>
      <c r="H829" s="987"/>
      <c r="I829" s="987"/>
      <c r="J829" s="987"/>
      <c r="K829" s="89">
        <f>K828</f>
        <v>200</v>
      </c>
      <c r="L829" s="90"/>
    </row>
  </sheetData>
  <mergeCells count="701">
    <mergeCell ref="C762:J762"/>
    <mergeCell ref="C723:J723"/>
    <mergeCell ref="C724:E724"/>
    <mergeCell ref="C725:E725"/>
    <mergeCell ref="C726:J726"/>
    <mergeCell ref="C758:J758"/>
    <mergeCell ref="C759:E759"/>
    <mergeCell ref="C703:E703"/>
    <mergeCell ref="C704:E704"/>
    <mergeCell ref="C731:E731"/>
    <mergeCell ref="C740:E740"/>
    <mergeCell ref="C743:E743"/>
    <mergeCell ref="C735:E735"/>
    <mergeCell ref="C712:E712"/>
    <mergeCell ref="C711:E711"/>
    <mergeCell ref="C714:E714"/>
    <mergeCell ref="C713:E713"/>
    <mergeCell ref="C717:J717"/>
    <mergeCell ref="C718:E718"/>
    <mergeCell ref="C719:E719"/>
    <mergeCell ref="C720:J720"/>
    <mergeCell ref="C705:J705"/>
    <mergeCell ref="C617:E617"/>
    <mergeCell ref="C620:E620"/>
    <mergeCell ref="C621:E621"/>
    <mergeCell ref="C622:E622"/>
    <mergeCell ref="C623:E623"/>
    <mergeCell ref="C624:E624"/>
    <mergeCell ref="C656:E656"/>
    <mergeCell ref="C628:E628"/>
    <mergeCell ref="C629:E629"/>
    <mergeCell ref="C630:E630"/>
    <mergeCell ref="C631:E631"/>
    <mergeCell ref="C632:E632"/>
    <mergeCell ref="C813:E813"/>
    <mergeCell ref="C818:E818"/>
    <mergeCell ref="C816:J816"/>
    <mergeCell ref="C784:E784"/>
    <mergeCell ref="C785:E785"/>
    <mergeCell ref="C786:E786"/>
    <mergeCell ref="C708:E708"/>
    <mergeCell ref="C715:J715"/>
    <mergeCell ref="C728:J728"/>
    <mergeCell ref="C748:E748"/>
    <mergeCell ref="C749:E749"/>
    <mergeCell ref="C750:E750"/>
    <mergeCell ref="C751:E751"/>
    <mergeCell ref="C752:E752"/>
    <mergeCell ref="C753:E753"/>
    <mergeCell ref="C754:E754"/>
    <mergeCell ref="C709:E709"/>
    <mergeCell ref="C710:E710"/>
    <mergeCell ref="C755:E755"/>
    <mergeCell ref="C769:J769"/>
    <mergeCell ref="C772:E772"/>
    <mergeCell ref="C729:J729"/>
    <mergeCell ref="C760:E760"/>
    <mergeCell ref="C761:E761"/>
    <mergeCell ref="C823:E823"/>
    <mergeCell ref="C821:J821"/>
    <mergeCell ref="C771:J771"/>
    <mergeCell ref="C776:J776"/>
    <mergeCell ref="C782:J782"/>
    <mergeCell ref="C795:J795"/>
    <mergeCell ref="C803:E803"/>
    <mergeCell ref="C801:J801"/>
    <mergeCell ref="C808:E808"/>
    <mergeCell ref="C806:J806"/>
    <mergeCell ref="C787:J787"/>
    <mergeCell ref="C794:J794"/>
    <mergeCell ref="C796:E796"/>
    <mergeCell ref="C798:J798"/>
    <mergeCell ref="C797:E797"/>
    <mergeCell ref="C774:J774"/>
    <mergeCell ref="C777:E777"/>
    <mergeCell ref="C780:J780"/>
    <mergeCell ref="C783:E783"/>
    <mergeCell ref="C822:E822"/>
    <mergeCell ref="C773:E773"/>
    <mergeCell ref="C778:E778"/>
    <mergeCell ref="C779:E779"/>
    <mergeCell ref="C811:J811"/>
    <mergeCell ref="B2:C5"/>
    <mergeCell ref="D2:I2"/>
    <mergeCell ref="J2:L5"/>
    <mergeCell ref="D3:I3"/>
    <mergeCell ref="D4:I5"/>
    <mergeCell ref="B7:C7"/>
    <mergeCell ref="C738:J738"/>
    <mergeCell ref="C746:J746"/>
    <mergeCell ref="C766:J766"/>
    <mergeCell ref="C18:J18"/>
    <mergeCell ref="C19:E19"/>
    <mergeCell ref="C20:E20"/>
    <mergeCell ref="C21:J21"/>
    <mergeCell ref="C23:J23"/>
    <mergeCell ref="C24:E24"/>
    <mergeCell ref="C8:D8"/>
    <mergeCell ref="C12:J12"/>
    <mergeCell ref="C13:J13"/>
    <mergeCell ref="C14:E14"/>
    <mergeCell ref="C15:E15"/>
    <mergeCell ref="C16:J16"/>
    <mergeCell ref="C32:E32"/>
    <mergeCell ref="C33:J33"/>
    <mergeCell ref="C35:J35"/>
    <mergeCell ref="C36:J36"/>
    <mergeCell ref="C37:E37"/>
    <mergeCell ref="C38:E38"/>
    <mergeCell ref="C25:E25"/>
    <mergeCell ref="C26:E26"/>
    <mergeCell ref="C27:J27"/>
    <mergeCell ref="C29:J29"/>
    <mergeCell ref="C30:J30"/>
    <mergeCell ref="C31:E31"/>
    <mergeCell ref="C46:E46"/>
    <mergeCell ref="C47:E47"/>
    <mergeCell ref="C48:E48"/>
    <mergeCell ref="C49:J49"/>
    <mergeCell ref="C51:J51"/>
    <mergeCell ref="C52:E52"/>
    <mergeCell ref="C39:J39"/>
    <mergeCell ref="C41:J41"/>
    <mergeCell ref="C42:E42"/>
    <mergeCell ref="C43:E43"/>
    <mergeCell ref="C44:E44"/>
    <mergeCell ref="C45:E45"/>
    <mergeCell ref="C60:E60"/>
    <mergeCell ref="C61:E61"/>
    <mergeCell ref="C62:E62"/>
    <mergeCell ref="C63:E63"/>
    <mergeCell ref="C64:E64"/>
    <mergeCell ref="C65:J65"/>
    <mergeCell ref="C53:E53"/>
    <mergeCell ref="C54:J54"/>
    <mergeCell ref="C56:J56"/>
    <mergeCell ref="C57:J57"/>
    <mergeCell ref="C58:E58"/>
    <mergeCell ref="C59:E59"/>
    <mergeCell ref="C73:E73"/>
    <mergeCell ref="C74:J74"/>
    <mergeCell ref="C76:J76"/>
    <mergeCell ref="C77:E77"/>
    <mergeCell ref="C78:E78"/>
    <mergeCell ref="C79:E79"/>
    <mergeCell ref="C67:J67"/>
    <mergeCell ref="C68:E68"/>
    <mergeCell ref="C69:E69"/>
    <mergeCell ref="C70:E70"/>
    <mergeCell ref="C71:E71"/>
    <mergeCell ref="C72:E72"/>
    <mergeCell ref="C87:E87"/>
    <mergeCell ref="C88:J88"/>
    <mergeCell ref="C90:J90"/>
    <mergeCell ref="C91:E91"/>
    <mergeCell ref="C92:E92"/>
    <mergeCell ref="C93:J93"/>
    <mergeCell ref="C80:E80"/>
    <mergeCell ref="C81:E81"/>
    <mergeCell ref="C82:E82"/>
    <mergeCell ref="C83:J83"/>
    <mergeCell ref="C85:J85"/>
    <mergeCell ref="C86:E86"/>
    <mergeCell ref="C102:E102"/>
    <mergeCell ref="C103:E103"/>
    <mergeCell ref="C104:J104"/>
    <mergeCell ref="C106:J106"/>
    <mergeCell ref="C107:E107"/>
    <mergeCell ref="C108:E108"/>
    <mergeCell ref="C95:J95"/>
    <mergeCell ref="C96:E96"/>
    <mergeCell ref="C97:E97"/>
    <mergeCell ref="C98:J98"/>
    <mergeCell ref="C100:J100"/>
    <mergeCell ref="C101:J101"/>
    <mergeCell ref="C116:E116"/>
    <mergeCell ref="C117:E117"/>
    <mergeCell ref="C118:E118"/>
    <mergeCell ref="C119:E119"/>
    <mergeCell ref="C120:J120"/>
    <mergeCell ref="C122:J122"/>
    <mergeCell ref="C109:E109"/>
    <mergeCell ref="C110:E110"/>
    <mergeCell ref="C111:J111"/>
    <mergeCell ref="C113:J113"/>
    <mergeCell ref="C114:E114"/>
    <mergeCell ref="C115:E115"/>
    <mergeCell ref="C129:J129"/>
    <mergeCell ref="C131:J131"/>
    <mergeCell ref="C132:E132"/>
    <mergeCell ref="C133:E133"/>
    <mergeCell ref="C134:E134"/>
    <mergeCell ref="C135:E135"/>
    <mergeCell ref="C123:E123"/>
    <mergeCell ref="C124:E124"/>
    <mergeCell ref="C125:E125"/>
    <mergeCell ref="C126:E126"/>
    <mergeCell ref="C127:E127"/>
    <mergeCell ref="C128:E128"/>
    <mergeCell ref="C144:J144"/>
    <mergeCell ref="C145:E145"/>
    <mergeCell ref="C146:E146"/>
    <mergeCell ref="C147:E147"/>
    <mergeCell ref="C148:J148"/>
    <mergeCell ref="C150:J150"/>
    <mergeCell ref="C136:J136"/>
    <mergeCell ref="C138:J138"/>
    <mergeCell ref="C139:E139"/>
    <mergeCell ref="C140:E140"/>
    <mergeCell ref="C141:E141"/>
    <mergeCell ref="C142:J142"/>
    <mergeCell ref="C158:E158"/>
    <mergeCell ref="C159:J159"/>
    <mergeCell ref="C161:J161"/>
    <mergeCell ref="C162:E162"/>
    <mergeCell ref="C163:E163"/>
    <mergeCell ref="C164:J164"/>
    <mergeCell ref="C151:E151"/>
    <mergeCell ref="C152:E152"/>
    <mergeCell ref="C153:E153"/>
    <mergeCell ref="C154:J154"/>
    <mergeCell ref="C156:J156"/>
    <mergeCell ref="C157:E157"/>
    <mergeCell ref="C173:E173"/>
    <mergeCell ref="C174:J174"/>
    <mergeCell ref="C176:J176"/>
    <mergeCell ref="C177:E177"/>
    <mergeCell ref="C178:E178"/>
    <mergeCell ref="C179:J179"/>
    <mergeCell ref="C166:J166"/>
    <mergeCell ref="C167:E167"/>
    <mergeCell ref="C168:E168"/>
    <mergeCell ref="C169:J169"/>
    <mergeCell ref="C171:J171"/>
    <mergeCell ref="C172:E172"/>
    <mergeCell ref="C187:J187"/>
    <mergeCell ref="C189:J189"/>
    <mergeCell ref="C190:J190"/>
    <mergeCell ref="C191:E191"/>
    <mergeCell ref="C192:E192"/>
    <mergeCell ref="C194:J194"/>
    <mergeCell ref="C181:J181"/>
    <mergeCell ref="C182:J182"/>
    <mergeCell ref="C183:E183"/>
    <mergeCell ref="C184:E184"/>
    <mergeCell ref="C185:E185"/>
    <mergeCell ref="C186:E186"/>
    <mergeCell ref="C193:E193"/>
    <mergeCell ref="C196:J196"/>
    <mergeCell ref="C197:E197"/>
    <mergeCell ref="C198:E198"/>
    <mergeCell ref="C199:J199"/>
    <mergeCell ref="C203:E203"/>
    <mergeCell ref="C204:E204"/>
    <mergeCell ref="C210:E210"/>
    <mergeCell ref="C209:E209"/>
    <mergeCell ref="C211:E211"/>
    <mergeCell ref="C222:J222"/>
    <mergeCell ref="C223:E223"/>
    <mergeCell ref="C224:E224"/>
    <mergeCell ref="C225:E225"/>
    <mergeCell ref="C226:E226"/>
    <mergeCell ref="C227:E227"/>
    <mergeCell ref="C205:J205"/>
    <mergeCell ref="C208:E208"/>
    <mergeCell ref="C216:J216"/>
    <mergeCell ref="C219:E219"/>
    <mergeCell ref="C212:E212"/>
    <mergeCell ref="C213:E213"/>
    <mergeCell ref="C214:E214"/>
    <mergeCell ref="C215:E215"/>
    <mergeCell ref="C221:E221"/>
    <mergeCell ref="C235:E235"/>
    <mergeCell ref="C236:J236"/>
    <mergeCell ref="C238:J238"/>
    <mergeCell ref="C240:E240"/>
    <mergeCell ref="C241:E241"/>
    <mergeCell ref="C242:E242"/>
    <mergeCell ref="C228:J228"/>
    <mergeCell ref="C230:J230"/>
    <mergeCell ref="C231:E231"/>
    <mergeCell ref="C232:E232"/>
    <mergeCell ref="C233:E233"/>
    <mergeCell ref="C234:E234"/>
    <mergeCell ref="C249:J249"/>
    <mergeCell ref="C250:E250"/>
    <mergeCell ref="C251:E251"/>
    <mergeCell ref="C252:J252"/>
    <mergeCell ref="C254:J254"/>
    <mergeCell ref="C255:E255"/>
    <mergeCell ref="C243:E243"/>
    <mergeCell ref="C244:E244"/>
    <mergeCell ref="C245:E245"/>
    <mergeCell ref="C246:J246"/>
    <mergeCell ref="C247:E247"/>
    <mergeCell ref="C248:E248"/>
    <mergeCell ref="C263:J263"/>
    <mergeCell ref="C265:J265"/>
    <mergeCell ref="C266:E266"/>
    <mergeCell ref="C267:E267"/>
    <mergeCell ref="C268:J268"/>
    <mergeCell ref="C270:J270"/>
    <mergeCell ref="C256:E256"/>
    <mergeCell ref="C257:J257"/>
    <mergeCell ref="C259:J259"/>
    <mergeCell ref="C260:E260"/>
    <mergeCell ref="C261:J261"/>
    <mergeCell ref="C262:E262"/>
    <mergeCell ref="C278:J278"/>
    <mergeCell ref="C280:J280"/>
    <mergeCell ref="C281:E281"/>
    <mergeCell ref="C282:E282"/>
    <mergeCell ref="C283:J283"/>
    <mergeCell ref="C285:J285"/>
    <mergeCell ref="C271:E271"/>
    <mergeCell ref="C272:E272"/>
    <mergeCell ref="C273:J273"/>
    <mergeCell ref="C275:J275"/>
    <mergeCell ref="C276:E276"/>
    <mergeCell ref="C277:E277"/>
    <mergeCell ref="C293:J293"/>
    <mergeCell ref="C295:J295"/>
    <mergeCell ref="C296:E296"/>
    <mergeCell ref="C297:E297"/>
    <mergeCell ref="C298:J298"/>
    <mergeCell ref="C300:J300"/>
    <mergeCell ref="C286:E286"/>
    <mergeCell ref="C287:E287"/>
    <mergeCell ref="C288:J288"/>
    <mergeCell ref="C290:J290"/>
    <mergeCell ref="C291:E291"/>
    <mergeCell ref="C292:E292"/>
    <mergeCell ref="C308:J308"/>
    <mergeCell ref="C310:J310"/>
    <mergeCell ref="C311:E311"/>
    <mergeCell ref="C312:E312"/>
    <mergeCell ref="C313:J313"/>
    <mergeCell ref="C315:J315"/>
    <mergeCell ref="C301:E301"/>
    <mergeCell ref="C302:E302"/>
    <mergeCell ref="C303:J303"/>
    <mergeCell ref="C305:J305"/>
    <mergeCell ref="C306:E306"/>
    <mergeCell ref="C307:E307"/>
    <mergeCell ref="C323:E323"/>
    <mergeCell ref="C324:J324"/>
    <mergeCell ref="C326:J326"/>
    <mergeCell ref="C327:E327"/>
    <mergeCell ref="C328:E328"/>
    <mergeCell ref="C329:J329"/>
    <mergeCell ref="C316:J316"/>
    <mergeCell ref="C317:E317"/>
    <mergeCell ref="C318:E318"/>
    <mergeCell ref="C319:J319"/>
    <mergeCell ref="C321:J321"/>
    <mergeCell ref="C322:E322"/>
    <mergeCell ref="C338:E338"/>
    <mergeCell ref="C339:J339"/>
    <mergeCell ref="C341:J341"/>
    <mergeCell ref="C342:E342"/>
    <mergeCell ref="C343:E343"/>
    <mergeCell ref="C344:J344"/>
    <mergeCell ref="C331:J331"/>
    <mergeCell ref="C332:E332"/>
    <mergeCell ref="C333:E333"/>
    <mergeCell ref="C334:J334"/>
    <mergeCell ref="C336:J336"/>
    <mergeCell ref="C337:E337"/>
    <mergeCell ref="C353:E353"/>
    <mergeCell ref="C354:J354"/>
    <mergeCell ref="C356:J356"/>
    <mergeCell ref="C357:E357"/>
    <mergeCell ref="C358:E358"/>
    <mergeCell ref="C359:J359"/>
    <mergeCell ref="C346:J346"/>
    <mergeCell ref="C347:E347"/>
    <mergeCell ref="C348:E348"/>
    <mergeCell ref="C349:J349"/>
    <mergeCell ref="C351:J351"/>
    <mergeCell ref="C352:E352"/>
    <mergeCell ref="C368:E368"/>
    <mergeCell ref="C369:J369"/>
    <mergeCell ref="C371:J371"/>
    <mergeCell ref="C372:E372"/>
    <mergeCell ref="C373:E373"/>
    <mergeCell ref="C374:J374"/>
    <mergeCell ref="C361:J361"/>
    <mergeCell ref="C362:E362"/>
    <mergeCell ref="C363:E363"/>
    <mergeCell ref="C364:J364"/>
    <mergeCell ref="C366:J366"/>
    <mergeCell ref="C367:E367"/>
    <mergeCell ref="C383:E383"/>
    <mergeCell ref="C384:J384"/>
    <mergeCell ref="C386:J386"/>
    <mergeCell ref="C387:E387"/>
    <mergeCell ref="C388:E388"/>
    <mergeCell ref="C389:J389"/>
    <mergeCell ref="C376:J376"/>
    <mergeCell ref="C377:E377"/>
    <mergeCell ref="C378:E378"/>
    <mergeCell ref="C379:J379"/>
    <mergeCell ref="C381:J381"/>
    <mergeCell ref="C382:E382"/>
    <mergeCell ref="C397:E397"/>
    <mergeCell ref="C398:E398"/>
    <mergeCell ref="C399:J399"/>
    <mergeCell ref="C401:J401"/>
    <mergeCell ref="C402:E402"/>
    <mergeCell ref="C403:E403"/>
    <mergeCell ref="C391:J391"/>
    <mergeCell ref="C392:J392"/>
    <mergeCell ref="C393:E393"/>
    <mergeCell ref="C394:E394"/>
    <mergeCell ref="C395:E395"/>
    <mergeCell ref="C396:E396"/>
    <mergeCell ref="C411:E411"/>
    <mergeCell ref="C412:E412"/>
    <mergeCell ref="C413:E413"/>
    <mergeCell ref="C414:E414"/>
    <mergeCell ref="C415:E415"/>
    <mergeCell ref="C416:E416"/>
    <mergeCell ref="C404:E404"/>
    <mergeCell ref="C405:E405"/>
    <mergeCell ref="C406:E406"/>
    <mergeCell ref="C407:E407"/>
    <mergeCell ref="C408:J408"/>
    <mergeCell ref="C410:J410"/>
    <mergeCell ref="C425:J425"/>
    <mergeCell ref="C426:E426"/>
    <mergeCell ref="C427:E427"/>
    <mergeCell ref="C428:E428"/>
    <mergeCell ref="C429:J429"/>
    <mergeCell ref="C431:J431"/>
    <mergeCell ref="C417:J417"/>
    <mergeCell ref="C419:J419"/>
    <mergeCell ref="C420:E420"/>
    <mergeCell ref="C421:E421"/>
    <mergeCell ref="C422:E422"/>
    <mergeCell ref="C423:J423"/>
    <mergeCell ref="C439:J439"/>
    <mergeCell ref="C440:E440"/>
    <mergeCell ref="C441:E441"/>
    <mergeCell ref="C442:J442"/>
    <mergeCell ref="C444:J444"/>
    <mergeCell ref="C445:E445"/>
    <mergeCell ref="C432:E432"/>
    <mergeCell ref="C433:E433"/>
    <mergeCell ref="C434:E434"/>
    <mergeCell ref="C435:J435"/>
    <mergeCell ref="C437:J437"/>
    <mergeCell ref="C438:J438"/>
    <mergeCell ref="C454:J454"/>
    <mergeCell ref="C455:E455"/>
    <mergeCell ref="C456:E456"/>
    <mergeCell ref="C457:E457"/>
    <mergeCell ref="C458:J458"/>
    <mergeCell ref="C460:J460"/>
    <mergeCell ref="C446:E446"/>
    <mergeCell ref="C447:J447"/>
    <mergeCell ref="C449:J449"/>
    <mergeCell ref="C450:E450"/>
    <mergeCell ref="C451:E451"/>
    <mergeCell ref="C452:J452"/>
    <mergeCell ref="C468:J468"/>
    <mergeCell ref="C469:E469"/>
    <mergeCell ref="C470:E470"/>
    <mergeCell ref="C471:J471"/>
    <mergeCell ref="C473:J473"/>
    <mergeCell ref="C474:E474"/>
    <mergeCell ref="C461:E461"/>
    <mergeCell ref="C462:E462"/>
    <mergeCell ref="C463:E463"/>
    <mergeCell ref="C464:E464"/>
    <mergeCell ref="C465:J465"/>
    <mergeCell ref="C467:J467"/>
    <mergeCell ref="C483:J483"/>
    <mergeCell ref="C484:E484"/>
    <mergeCell ref="C485:E485"/>
    <mergeCell ref="C486:E486"/>
    <mergeCell ref="C487:E487"/>
    <mergeCell ref="C488:J488"/>
    <mergeCell ref="C475:E475"/>
    <mergeCell ref="C476:J476"/>
    <mergeCell ref="C478:J478"/>
    <mergeCell ref="C479:E479"/>
    <mergeCell ref="C480:E480"/>
    <mergeCell ref="C481:J481"/>
    <mergeCell ref="C497:J497"/>
    <mergeCell ref="C498:J498"/>
    <mergeCell ref="C499:E499"/>
    <mergeCell ref="C500:E500"/>
    <mergeCell ref="C501:E501"/>
    <mergeCell ref="C502:E502"/>
    <mergeCell ref="C490:J490"/>
    <mergeCell ref="C491:E491"/>
    <mergeCell ref="C492:E492"/>
    <mergeCell ref="C493:E493"/>
    <mergeCell ref="C494:E494"/>
    <mergeCell ref="C495:J495"/>
    <mergeCell ref="C511:E511"/>
    <mergeCell ref="C512:E512"/>
    <mergeCell ref="C513:E513"/>
    <mergeCell ref="C514:E514"/>
    <mergeCell ref="C515:J515"/>
    <mergeCell ref="C517:J517"/>
    <mergeCell ref="C503:J503"/>
    <mergeCell ref="C505:J505"/>
    <mergeCell ref="C506:E506"/>
    <mergeCell ref="C507:E507"/>
    <mergeCell ref="C508:J508"/>
    <mergeCell ref="C510:J510"/>
    <mergeCell ref="C525:E525"/>
    <mergeCell ref="C526:E526"/>
    <mergeCell ref="C527:J527"/>
    <mergeCell ref="C529:J529"/>
    <mergeCell ref="C530:J530"/>
    <mergeCell ref="C531:E531"/>
    <mergeCell ref="C518:E518"/>
    <mergeCell ref="C519:E519"/>
    <mergeCell ref="C520:E520"/>
    <mergeCell ref="C521:J521"/>
    <mergeCell ref="C523:J523"/>
    <mergeCell ref="C524:E524"/>
    <mergeCell ref="C540:J540"/>
    <mergeCell ref="C541:E541"/>
    <mergeCell ref="C542:E542"/>
    <mergeCell ref="C543:J543"/>
    <mergeCell ref="C545:J545"/>
    <mergeCell ref="C546:E546"/>
    <mergeCell ref="C532:E532"/>
    <mergeCell ref="C533:J533"/>
    <mergeCell ref="C535:J535"/>
    <mergeCell ref="C536:E536"/>
    <mergeCell ref="C537:E537"/>
    <mergeCell ref="C538:J538"/>
    <mergeCell ref="C554:E554"/>
    <mergeCell ref="C555:J555"/>
    <mergeCell ref="C557:J557"/>
    <mergeCell ref="C558:J558"/>
    <mergeCell ref="C559:E559"/>
    <mergeCell ref="C560:E560"/>
    <mergeCell ref="C547:E547"/>
    <mergeCell ref="C548:E548"/>
    <mergeCell ref="C549:J549"/>
    <mergeCell ref="C551:J551"/>
    <mergeCell ref="C552:E552"/>
    <mergeCell ref="C553:E553"/>
    <mergeCell ref="C569:E569"/>
    <mergeCell ref="C570:E570"/>
    <mergeCell ref="C571:J571"/>
    <mergeCell ref="C573:J573"/>
    <mergeCell ref="C574:E574"/>
    <mergeCell ref="C575:E575"/>
    <mergeCell ref="C576:E576"/>
    <mergeCell ref="C561:J561"/>
    <mergeCell ref="C563:J563"/>
    <mergeCell ref="C564:E564"/>
    <mergeCell ref="C565:E565"/>
    <mergeCell ref="C566:J566"/>
    <mergeCell ref="C568:J568"/>
    <mergeCell ref="C580:E580"/>
    <mergeCell ref="C581:E581"/>
    <mergeCell ref="C582:E582"/>
    <mergeCell ref="C606:E606"/>
    <mergeCell ref="C607:J607"/>
    <mergeCell ref="C599:E599"/>
    <mergeCell ref="C600:E600"/>
    <mergeCell ref="C601:E601"/>
    <mergeCell ref="C602:J602"/>
    <mergeCell ref="C604:J604"/>
    <mergeCell ref="C605:E605"/>
    <mergeCell ref="C592:J592"/>
    <mergeCell ref="C593:E593"/>
    <mergeCell ref="C595:J595"/>
    <mergeCell ref="C598:J598"/>
    <mergeCell ref="C583:J583"/>
    <mergeCell ref="C585:J585"/>
    <mergeCell ref="C586:J586"/>
    <mergeCell ref="C587:E587"/>
    <mergeCell ref="C588:E588"/>
    <mergeCell ref="C589:J589"/>
    <mergeCell ref="C824:J824"/>
    <mergeCell ref="C202:J202"/>
    <mergeCell ref="C638:J638"/>
    <mergeCell ref="C697:J697"/>
    <mergeCell ref="C707:J707"/>
    <mergeCell ref="C812:E812"/>
    <mergeCell ref="C814:J814"/>
    <mergeCell ref="C817:E817"/>
    <mergeCell ref="C819:J819"/>
    <mergeCell ref="C820:J820"/>
    <mergeCell ref="C804:J804"/>
    <mergeCell ref="C807:E807"/>
    <mergeCell ref="C809:J809"/>
    <mergeCell ref="C810:J810"/>
    <mergeCell ref="C800:J800"/>
    <mergeCell ref="C802:E802"/>
    <mergeCell ref="C207:J207"/>
    <mergeCell ref="C218:J218"/>
    <mergeCell ref="C612:J612"/>
    <mergeCell ref="C220:E220"/>
    <mergeCell ref="C591:J591"/>
    <mergeCell ref="C594:E594"/>
    <mergeCell ref="C577:J577"/>
    <mergeCell ref="C579:J579"/>
    <mergeCell ref="C768:E768"/>
    <mergeCell ref="C765:J765"/>
    <mergeCell ref="C767:E767"/>
    <mergeCell ref="C747:E747"/>
    <mergeCell ref="C756:J756"/>
    <mergeCell ref="C730:E730"/>
    <mergeCell ref="C736:J736"/>
    <mergeCell ref="C744:J744"/>
    <mergeCell ref="C633:E633"/>
    <mergeCell ref="C634:E634"/>
    <mergeCell ref="C635:E635"/>
    <mergeCell ref="C732:E732"/>
    <mergeCell ref="C733:E733"/>
    <mergeCell ref="C734:E734"/>
    <mergeCell ref="C741:E741"/>
    <mergeCell ref="C742:E742"/>
    <mergeCell ref="C739:E739"/>
    <mergeCell ref="C642:E642"/>
    <mergeCell ref="C643:E643"/>
    <mergeCell ref="C644:E644"/>
    <mergeCell ref="C645:E645"/>
    <mergeCell ref="C646:E646"/>
    <mergeCell ref="C699:E699"/>
    <mergeCell ref="C700:E700"/>
    <mergeCell ref="C616:E616"/>
    <mergeCell ref="C626:E626"/>
    <mergeCell ref="C627:E627"/>
    <mergeCell ref="C625:E625"/>
    <mergeCell ref="C639:E639"/>
    <mergeCell ref="C665:J665"/>
    <mergeCell ref="C698:E698"/>
    <mergeCell ref="C640:E640"/>
    <mergeCell ref="C641:E641"/>
    <mergeCell ref="C657:E657"/>
    <mergeCell ref="C658:E658"/>
    <mergeCell ref="C659:E659"/>
    <mergeCell ref="C660:E660"/>
    <mergeCell ref="C661:E661"/>
    <mergeCell ref="C662:E662"/>
    <mergeCell ref="C663:E663"/>
    <mergeCell ref="C664:E664"/>
    <mergeCell ref="C647:E647"/>
    <mergeCell ref="C648:E648"/>
    <mergeCell ref="C649:E649"/>
    <mergeCell ref="C650:E650"/>
    <mergeCell ref="C651:E651"/>
    <mergeCell ref="C619:E619"/>
    <mergeCell ref="C618:E618"/>
    <mergeCell ref="C792:J792"/>
    <mergeCell ref="C826:J826"/>
    <mergeCell ref="C827:E827"/>
    <mergeCell ref="C828:E828"/>
    <mergeCell ref="C829:J829"/>
    <mergeCell ref="C610:J610"/>
    <mergeCell ref="C789:J789"/>
    <mergeCell ref="C790:E790"/>
    <mergeCell ref="C791:E791"/>
    <mergeCell ref="C701:E701"/>
    <mergeCell ref="C702:E702"/>
    <mergeCell ref="C652:E652"/>
    <mergeCell ref="C653:E653"/>
    <mergeCell ref="C654:E654"/>
    <mergeCell ref="C655:E655"/>
    <mergeCell ref="C613:E613"/>
    <mergeCell ref="C636:J636"/>
    <mergeCell ref="C614:E614"/>
    <mergeCell ref="C615:E615"/>
    <mergeCell ref="C667:J667"/>
    <mergeCell ref="C668:E668"/>
    <mergeCell ref="C669:E669"/>
    <mergeCell ref="C670:E670"/>
    <mergeCell ref="C671:E671"/>
    <mergeCell ref="C672:E672"/>
    <mergeCell ref="C673:E673"/>
    <mergeCell ref="C674:E674"/>
    <mergeCell ref="C675:E675"/>
    <mergeCell ref="C676:E676"/>
    <mergeCell ref="C677:E677"/>
    <mergeCell ref="C678:E678"/>
    <mergeCell ref="C679:E679"/>
    <mergeCell ref="C680:E680"/>
    <mergeCell ref="C681:E681"/>
    <mergeCell ref="C682:E682"/>
    <mergeCell ref="C683:E683"/>
    <mergeCell ref="C684:E684"/>
    <mergeCell ref="C694:J694"/>
    <mergeCell ref="C685:E685"/>
    <mergeCell ref="C686:E686"/>
    <mergeCell ref="C687:E687"/>
    <mergeCell ref="C688:E688"/>
    <mergeCell ref="C689:E689"/>
    <mergeCell ref="C690:E690"/>
    <mergeCell ref="C691:E691"/>
    <mergeCell ref="C692:E692"/>
    <mergeCell ref="C693:E693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48" orientation="portrait" horizontalDpi="360" verticalDpi="360" r:id="rId1"/>
  <headerFooter>
    <oddFooter>Página &amp;P de &amp;N</oddFooter>
  </headerFooter>
  <rowBreaks count="3" manualBreakCount="3">
    <brk id="636" min="1" max="11" man="1"/>
    <brk id="726" min="1" max="11" man="1"/>
    <brk id="809" min="1" max="11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B1:S48"/>
  <sheetViews>
    <sheetView view="pageBreakPreview" topLeftCell="F1" zoomScale="55" zoomScaleNormal="100" zoomScaleSheetLayoutView="55" workbookViewId="0">
      <selection activeCell="M1" sqref="M1"/>
    </sheetView>
  </sheetViews>
  <sheetFormatPr defaultRowHeight="18.75"/>
  <cols>
    <col min="1" max="1" width="9.140625" style="422"/>
    <col min="2" max="2" width="7" style="474" customWidth="1"/>
    <col min="3" max="3" width="26.42578125" style="474" customWidth="1"/>
    <col min="4" max="4" width="36.140625" style="474" customWidth="1"/>
    <col min="5" max="5" width="8" style="474" customWidth="1"/>
    <col min="6" max="7" width="45.7109375" style="422" customWidth="1"/>
    <col min="8" max="11" width="57.140625" style="422" customWidth="1"/>
    <col min="12" max="13" width="8.85546875" style="422" customWidth="1"/>
    <col min="14" max="14" width="14.5703125" style="423" customWidth="1"/>
    <col min="15" max="15" width="11.28515625" style="422" customWidth="1"/>
    <col min="16" max="16" width="2" style="422" customWidth="1"/>
    <col min="17" max="17" width="39.140625" style="422" customWidth="1"/>
    <col min="18" max="18" width="23.140625" style="422" customWidth="1"/>
    <col min="19" max="19" width="18.42578125" style="422" customWidth="1"/>
    <col min="20" max="20" width="10.7109375" style="422" customWidth="1"/>
    <col min="21" max="260" width="9.140625" style="422"/>
    <col min="261" max="261" width="6.5703125" style="422" customWidth="1"/>
    <col min="262" max="262" width="38.5703125" style="422" customWidth="1"/>
    <col min="263" max="263" width="15.28515625" style="422" customWidth="1"/>
    <col min="264" max="264" width="6.85546875" style="422" customWidth="1"/>
    <col min="265" max="265" width="20.85546875" style="422" customWidth="1"/>
    <col min="266" max="267" width="20.28515625" style="422" customWidth="1"/>
    <col min="268" max="268" width="25.28515625" style="422" customWidth="1"/>
    <col min="269" max="269" width="8.85546875" style="422" customWidth="1"/>
    <col min="270" max="270" width="14.5703125" style="422" customWidth="1"/>
    <col min="271" max="271" width="11.28515625" style="422" customWidth="1"/>
    <col min="272" max="272" width="2" style="422" customWidth="1"/>
    <col min="273" max="273" width="39.140625" style="422" customWidth="1"/>
    <col min="274" max="274" width="23.140625" style="422" customWidth="1"/>
    <col min="275" max="275" width="18.42578125" style="422" customWidth="1"/>
    <col min="276" max="276" width="10.7109375" style="422" customWidth="1"/>
    <col min="277" max="516" width="9.140625" style="422"/>
    <col min="517" max="517" width="6.5703125" style="422" customWidth="1"/>
    <col min="518" max="518" width="38.5703125" style="422" customWidth="1"/>
    <col min="519" max="519" width="15.28515625" style="422" customWidth="1"/>
    <col min="520" max="520" width="6.85546875" style="422" customWidth="1"/>
    <col min="521" max="521" width="20.85546875" style="422" customWidth="1"/>
    <col min="522" max="523" width="20.28515625" style="422" customWidth="1"/>
    <col min="524" max="524" width="25.28515625" style="422" customWidth="1"/>
    <col min="525" max="525" width="8.85546875" style="422" customWidth="1"/>
    <col min="526" max="526" width="14.5703125" style="422" customWidth="1"/>
    <col min="527" max="527" width="11.28515625" style="422" customWidth="1"/>
    <col min="528" max="528" width="2" style="422" customWidth="1"/>
    <col min="529" max="529" width="39.140625" style="422" customWidth="1"/>
    <col min="530" max="530" width="23.140625" style="422" customWidth="1"/>
    <col min="531" max="531" width="18.42578125" style="422" customWidth="1"/>
    <col min="532" max="532" width="10.7109375" style="422" customWidth="1"/>
    <col min="533" max="772" width="9.140625" style="422"/>
    <col min="773" max="773" width="6.5703125" style="422" customWidth="1"/>
    <col min="774" max="774" width="38.5703125" style="422" customWidth="1"/>
    <col min="775" max="775" width="15.28515625" style="422" customWidth="1"/>
    <col min="776" max="776" width="6.85546875" style="422" customWidth="1"/>
    <col min="777" max="777" width="20.85546875" style="422" customWidth="1"/>
    <col min="778" max="779" width="20.28515625" style="422" customWidth="1"/>
    <col min="780" max="780" width="25.28515625" style="422" customWidth="1"/>
    <col min="781" max="781" width="8.85546875" style="422" customWidth="1"/>
    <col min="782" max="782" width="14.5703125" style="422" customWidth="1"/>
    <col min="783" max="783" width="11.28515625" style="422" customWidth="1"/>
    <col min="784" max="784" width="2" style="422" customWidth="1"/>
    <col min="785" max="785" width="39.140625" style="422" customWidth="1"/>
    <col min="786" max="786" width="23.140625" style="422" customWidth="1"/>
    <col min="787" max="787" width="18.42578125" style="422" customWidth="1"/>
    <col min="788" max="788" width="10.7109375" style="422" customWidth="1"/>
    <col min="789" max="1028" width="9.140625" style="422"/>
    <col min="1029" max="1029" width="6.5703125" style="422" customWidth="1"/>
    <col min="1030" max="1030" width="38.5703125" style="422" customWidth="1"/>
    <col min="1031" max="1031" width="15.28515625" style="422" customWidth="1"/>
    <col min="1032" max="1032" width="6.85546875" style="422" customWidth="1"/>
    <col min="1033" max="1033" width="20.85546875" style="422" customWidth="1"/>
    <col min="1034" max="1035" width="20.28515625" style="422" customWidth="1"/>
    <col min="1036" max="1036" width="25.28515625" style="422" customWidth="1"/>
    <col min="1037" max="1037" width="8.85546875" style="422" customWidth="1"/>
    <col min="1038" max="1038" width="14.5703125" style="422" customWidth="1"/>
    <col min="1039" max="1039" width="11.28515625" style="422" customWidth="1"/>
    <col min="1040" max="1040" width="2" style="422" customWidth="1"/>
    <col min="1041" max="1041" width="39.140625" style="422" customWidth="1"/>
    <col min="1042" max="1042" width="23.140625" style="422" customWidth="1"/>
    <col min="1043" max="1043" width="18.42578125" style="422" customWidth="1"/>
    <col min="1044" max="1044" width="10.7109375" style="422" customWidth="1"/>
    <col min="1045" max="1284" width="9.140625" style="422"/>
    <col min="1285" max="1285" width="6.5703125" style="422" customWidth="1"/>
    <col min="1286" max="1286" width="38.5703125" style="422" customWidth="1"/>
    <col min="1287" max="1287" width="15.28515625" style="422" customWidth="1"/>
    <col min="1288" max="1288" width="6.85546875" style="422" customWidth="1"/>
    <col min="1289" max="1289" width="20.85546875" style="422" customWidth="1"/>
    <col min="1290" max="1291" width="20.28515625" style="422" customWidth="1"/>
    <col min="1292" max="1292" width="25.28515625" style="422" customWidth="1"/>
    <col min="1293" max="1293" width="8.85546875" style="422" customWidth="1"/>
    <col min="1294" max="1294" width="14.5703125" style="422" customWidth="1"/>
    <col min="1295" max="1295" width="11.28515625" style="422" customWidth="1"/>
    <col min="1296" max="1296" width="2" style="422" customWidth="1"/>
    <col min="1297" max="1297" width="39.140625" style="422" customWidth="1"/>
    <col min="1298" max="1298" width="23.140625" style="422" customWidth="1"/>
    <col min="1299" max="1299" width="18.42578125" style="422" customWidth="1"/>
    <col min="1300" max="1300" width="10.7109375" style="422" customWidth="1"/>
    <col min="1301" max="1540" width="9.140625" style="422"/>
    <col min="1541" max="1541" width="6.5703125" style="422" customWidth="1"/>
    <col min="1542" max="1542" width="38.5703125" style="422" customWidth="1"/>
    <col min="1543" max="1543" width="15.28515625" style="422" customWidth="1"/>
    <col min="1544" max="1544" width="6.85546875" style="422" customWidth="1"/>
    <col min="1545" max="1545" width="20.85546875" style="422" customWidth="1"/>
    <col min="1546" max="1547" width="20.28515625" style="422" customWidth="1"/>
    <col min="1548" max="1548" width="25.28515625" style="422" customWidth="1"/>
    <col min="1549" max="1549" width="8.85546875" style="422" customWidth="1"/>
    <col min="1550" max="1550" width="14.5703125" style="422" customWidth="1"/>
    <col min="1551" max="1551" width="11.28515625" style="422" customWidth="1"/>
    <col min="1552" max="1552" width="2" style="422" customWidth="1"/>
    <col min="1553" max="1553" width="39.140625" style="422" customWidth="1"/>
    <col min="1554" max="1554" width="23.140625" style="422" customWidth="1"/>
    <col min="1555" max="1555" width="18.42578125" style="422" customWidth="1"/>
    <col min="1556" max="1556" width="10.7109375" style="422" customWidth="1"/>
    <col min="1557" max="1796" width="9.140625" style="422"/>
    <col min="1797" max="1797" width="6.5703125" style="422" customWidth="1"/>
    <col min="1798" max="1798" width="38.5703125" style="422" customWidth="1"/>
    <col min="1799" max="1799" width="15.28515625" style="422" customWidth="1"/>
    <col min="1800" max="1800" width="6.85546875" style="422" customWidth="1"/>
    <col min="1801" max="1801" width="20.85546875" style="422" customWidth="1"/>
    <col min="1802" max="1803" width="20.28515625" style="422" customWidth="1"/>
    <col min="1804" max="1804" width="25.28515625" style="422" customWidth="1"/>
    <col min="1805" max="1805" width="8.85546875" style="422" customWidth="1"/>
    <col min="1806" max="1806" width="14.5703125" style="422" customWidth="1"/>
    <col min="1807" max="1807" width="11.28515625" style="422" customWidth="1"/>
    <col min="1808" max="1808" width="2" style="422" customWidth="1"/>
    <col min="1809" max="1809" width="39.140625" style="422" customWidth="1"/>
    <col min="1810" max="1810" width="23.140625" style="422" customWidth="1"/>
    <col min="1811" max="1811" width="18.42578125" style="422" customWidth="1"/>
    <col min="1812" max="1812" width="10.7109375" style="422" customWidth="1"/>
    <col min="1813" max="2052" width="9.140625" style="422"/>
    <col min="2053" max="2053" width="6.5703125" style="422" customWidth="1"/>
    <col min="2054" max="2054" width="38.5703125" style="422" customWidth="1"/>
    <col min="2055" max="2055" width="15.28515625" style="422" customWidth="1"/>
    <col min="2056" max="2056" width="6.85546875" style="422" customWidth="1"/>
    <col min="2057" max="2057" width="20.85546875" style="422" customWidth="1"/>
    <col min="2058" max="2059" width="20.28515625" style="422" customWidth="1"/>
    <col min="2060" max="2060" width="25.28515625" style="422" customWidth="1"/>
    <col min="2061" max="2061" width="8.85546875" style="422" customWidth="1"/>
    <col min="2062" max="2062" width="14.5703125" style="422" customWidth="1"/>
    <col min="2063" max="2063" width="11.28515625" style="422" customWidth="1"/>
    <col min="2064" max="2064" width="2" style="422" customWidth="1"/>
    <col min="2065" max="2065" width="39.140625" style="422" customWidth="1"/>
    <col min="2066" max="2066" width="23.140625" style="422" customWidth="1"/>
    <col min="2067" max="2067" width="18.42578125" style="422" customWidth="1"/>
    <col min="2068" max="2068" width="10.7109375" style="422" customWidth="1"/>
    <col min="2069" max="2308" width="9.140625" style="422"/>
    <col min="2309" max="2309" width="6.5703125" style="422" customWidth="1"/>
    <col min="2310" max="2310" width="38.5703125" style="422" customWidth="1"/>
    <col min="2311" max="2311" width="15.28515625" style="422" customWidth="1"/>
    <col min="2312" max="2312" width="6.85546875" style="422" customWidth="1"/>
    <col min="2313" max="2313" width="20.85546875" style="422" customWidth="1"/>
    <col min="2314" max="2315" width="20.28515625" style="422" customWidth="1"/>
    <col min="2316" max="2316" width="25.28515625" style="422" customWidth="1"/>
    <col min="2317" max="2317" width="8.85546875" style="422" customWidth="1"/>
    <col min="2318" max="2318" width="14.5703125" style="422" customWidth="1"/>
    <col min="2319" max="2319" width="11.28515625" style="422" customWidth="1"/>
    <col min="2320" max="2320" width="2" style="422" customWidth="1"/>
    <col min="2321" max="2321" width="39.140625" style="422" customWidth="1"/>
    <col min="2322" max="2322" width="23.140625" style="422" customWidth="1"/>
    <col min="2323" max="2323" width="18.42578125" style="422" customWidth="1"/>
    <col min="2324" max="2324" width="10.7109375" style="422" customWidth="1"/>
    <col min="2325" max="2564" width="9.140625" style="422"/>
    <col min="2565" max="2565" width="6.5703125" style="422" customWidth="1"/>
    <col min="2566" max="2566" width="38.5703125" style="422" customWidth="1"/>
    <col min="2567" max="2567" width="15.28515625" style="422" customWidth="1"/>
    <col min="2568" max="2568" width="6.85546875" style="422" customWidth="1"/>
    <col min="2569" max="2569" width="20.85546875" style="422" customWidth="1"/>
    <col min="2570" max="2571" width="20.28515625" style="422" customWidth="1"/>
    <col min="2572" max="2572" width="25.28515625" style="422" customWidth="1"/>
    <col min="2573" max="2573" width="8.85546875" style="422" customWidth="1"/>
    <col min="2574" max="2574" width="14.5703125" style="422" customWidth="1"/>
    <col min="2575" max="2575" width="11.28515625" style="422" customWidth="1"/>
    <col min="2576" max="2576" width="2" style="422" customWidth="1"/>
    <col min="2577" max="2577" width="39.140625" style="422" customWidth="1"/>
    <col min="2578" max="2578" width="23.140625" style="422" customWidth="1"/>
    <col min="2579" max="2579" width="18.42578125" style="422" customWidth="1"/>
    <col min="2580" max="2580" width="10.7109375" style="422" customWidth="1"/>
    <col min="2581" max="2820" width="9.140625" style="422"/>
    <col min="2821" max="2821" width="6.5703125" style="422" customWidth="1"/>
    <col min="2822" max="2822" width="38.5703125" style="422" customWidth="1"/>
    <col min="2823" max="2823" width="15.28515625" style="422" customWidth="1"/>
    <col min="2824" max="2824" width="6.85546875" style="422" customWidth="1"/>
    <col min="2825" max="2825" width="20.85546875" style="422" customWidth="1"/>
    <col min="2826" max="2827" width="20.28515625" style="422" customWidth="1"/>
    <col min="2828" max="2828" width="25.28515625" style="422" customWidth="1"/>
    <col min="2829" max="2829" width="8.85546875" style="422" customWidth="1"/>
    <col min="2830" max="2830" width="14.5703125" style="422" customWidth="1"/>
    <col min="2831" max="2831" width="11.28515625" style="422" customWidth="1"/>
    <col min="2832" max="2832" width="2" style="422" customWidth="1"/>
    <col min="2833" max="2833" width="39.140625" style="422" customWidth="1"/>
    <col min="2834" max="2834" width="23.140625" style="422" customWidth="1"/>
    <col min="2835" max="2835" width="18.42578125" style="422" customWidth="1"/>
    <col min="2836" max="2836" width="10.7109375" style="422" customWidth="1"/>
    <col min="2837" max="3076" width="9.140625" style="422"/>
    <col min="3077" max="3077" width="6.5703125" style="422" customWidth="1"/>
    <col min="3078" max="3078" width="38.5703125" style="422" customWidth="1"/>
    <col min="3079" max="3079" width="15.28515625" style="422" customWidth="1"/>
    <col min="3080" max="3080" width="6.85546875" style="422" customWidth="1"/>
    <col min="3081" max="3081" width="20.85546875" style="422" customWidth="1"/>
    <col min="3082" max="3083" width="20.28515625" style="422" customWidth="1"/>
    <col min="3084" max="3084" width="25.28515625" style="422" customWidth="1"/>
    <col min="3085" max="3085" width="8.85546875" style="422" customWidth="1"/>
    <col min="3086" max="3086" width="14.5703125" style="422" customWidth="1"/>
    <col min="3087" max="3087" width="11.28515625" style="422" customWidth="1"/>
    <col min="3088" max="3088" width="2" style="422" customWidth="1"/>
    <col min="3089" max="3089" width="39.140625" style="422" customWidth="1"/>
    <col min="3090" max="3090" width="23.140625" style="422" customWidth="1"/>
    <col min="3091" max="3091" width="18.42578125" style="422" customWidth="1"/>
    <col min="3092" max="3092" width="10.7109375" style="422" customWidth="1"/>
    <col min="3093" max="3332" width="9.140625" style="422"/>
    <col min="3333" max="3333" width="6.5703125" style="422" customWidth="1"/>
    <col min="3334" max="3334" width="38.5703125" style="422" customWidth="1"/>
    <col min="3335" max="3335" width="15.28515625" style="422" customWidth="1"/>
    <col min="3336" max="3336" width="6.85546875" style="422" customWidth="1"/>
    <col min="3337" max="3337" width="20.85546875" style="422" customWidth="1"/>
    <col min="3338" max="3339" width="20.28515625" style="422" customWidth="1"/>
    <col min="3340" max="3340" width="25.28515625" style="422" customWidth="1"/>
    <col min="3341" max="3341" width="8.85546875" style="422" customWidth="1"/>
    <col min="3342" max="3342" width="14.5703125" style="422" customWidth="1"/>
    <col min="3343" max="3343" width="11.28515625" style="422" customWidth="1"/>
    <col min="3344" max="3344" width="2" style="422" customWidth="1"/>
    <col min="3345" max="3345" width="39.140625" style="422" customWidth="1"/>
    <col min="3346" max="3346" width="23.140625" style="422" customWidth="1"/>
    <col min="3347" max="3347" width="18.42578125" style="422" customWidth="1"/>
    <col min="3348" max="3348" width="10.7109375" style="422" customWidth="1"/>
    <col min="3349" max="3588" width="9.140625" style="422"/>
    <col min="3589" max="3589" width="6.5703125" style="422" customWidth="1"/>
    <col min="3590" max="3590" width="38.5703125" style="422" customWidth="1"/>
    <col min="3591" max="3591" width="15.28515625" style="422" customWidth="1"/>
    <col min="3592" max="3592" width="6.85546875" style="422" customWidth="1"/>
    <col min="3593" max="3593" width="20.85546875" style="422" customWidth="1"/>
    <col min="3594" max="3595" width="20.28515625" style="422" customWidth="1"/>
    <col min="3596" max="3596" width="25.28515625" style="422" customWidth="1"/>
    <col min="3597" max="3597" width="8.85546875" style="422" customWidth="1"/>
    <col min="3598" max="3598" width="14.5703125" style="422" customWidth="1"/>
    <col min="3599" max="3599" width="11.28515625" style="422" customWidth="1"/>
    <col min="3600" max="3600" width="2" style="422" customWidth="1"/>
    <col min="3601" max="3601" width="39.140625" style="422" customWidth="1"/>
    <col min="3602" max="3602" width="23.140625" style="422" customWidth="1"/>
    <col min="3603" max="3603" width="18.42578125" style="422" customWidth="1"/>
    <col min="3604" max="3604" width="10.7109375" style="422" customWidth="1"/>
    <col min="3605" max="3844" width="9.140625" style="422"/>
    <col min="3845" max="3845" width="6.5703125" style="422" customWidth="1"/>
    <col min="3846" max="3846" width="38.5703125" style="422" customWidth="1"/>
    <col min="3847" max="3847" width="15.28515625" style="422" customWidth="1"/>
    <col min="3848" max="3848" width="6.85546875" style="422" customWidth="1"/>
    <col min="3849" max="3849" width="20.85546875" style="422" customWidth="1"/>
    <col min="3850" max="3851" width="20.28515625" style="422" customWidth="1"/>
    <col min="3852" max="3852" width="25.28515625" style="422" customWidth="1"/>
    <col min="3853" max="3853" width="8.85546875" style="422" customWidth="1"/>
    <col min="3854" max="3854" width="14.5703125" style="422" customWidth="1"/>
    <col min="3855" max="3855" width="11.28515625" style="422" customWidth="1"/>
    <col min="3856" max="3856" width="2" style="422" customWidth="1"/>
    <col min="3857" max="3857" width="39.140625" style="422" customWidth="1"/>
    <col min="3858" max="3858" width="23.140625" style="422" customWidth="1"/>
    <col min="3859" max="3859" width="18.42578125" style="422" customWidth="1"/>
    <col min="3860" max="3860" width="10.7109375" style="422" customWidth="1"/>
    <col min="3861" max="4100" width="9.140625" style="422"/>
    <col min="4101" max="4101" width="6.5703125" style="422" customWidth="1"/>
    <col min="4102" max="4102" width="38.5703125" style="422" customWidth="1"/>
    <col min="4103" max="4103" width="15.28515625" style="422" customWidth="1"/>
    <col min="4104" max="4104" width="6.85546875" style="422" customWidth="1"/>
    <col min="4105" max="4105" width="20.85546875" style="422" customWidth="1"/>
    <col min="4106" max="4107" width="20.28515625" style="422" customWidth="1"/>
    <col min="4108" max="4108" width="25.28515625" style="422" customWidth="1"/>
    <col min="4109" max="4109" width="8.85546875" style="422" customWidth="1"/>
    <col min="4110" max="4110" width="14.5703125" style="422" customWidth="1"/>
    <col min="4111" max="4111" width="11.28515625" style="422" customWidth="1"/>
    <col min="4112" max="4112" width="2" style="422" customWidth="1"/>
    <col min="4113" max="4113" width="39.140625" style="422" customWidth="1"/>
    <col min="4114" max="4114" width="23.140625" style="422" customWidth="1"/>
    <col min="4115" max="4115" width="18.42578125" style="422" customWidth="1"/>
    <col min="4116" max="4116" width="10.7109375" style="422" customWidth="1"/>
    <col min="4117" max="4356" width="9.140625" style="422"/>
    <col min="4357" max="4357" width="6.5703125" style="422" customWidth="1"/>
    <col min="4358" max="4358" width="38.5703125" style="422" customWidth="1"/>
    <col min="4359" max="4359" width="15.28515625" style="422" customWidth="1"/>
    <col min="4360" max="4360" width="6.85546875" style="422" customWidth="1"/>
    <col min="4361" max="4361" width="20.85546875" style="422" customWidth="1"/>
    <col min="4362" max="4363" width="20.28515625" style="422" customWidth="1"/>
    <col min="4364" max="4364" width="25.28515625" style="422" customWidth="1"/>
    <col min="4365" max="4365" width="8.85546875" style="422" customWidth="1"/>
    <col min="4366" max="4366" width="14.5703125" style="422" customWidth="1"/>
    <col min="4367" max="4367" width="11.28515625" style="422" customWidth="1"/>
    <col min="4368" max="4368" width="2" style="422" customWidth="1"/>
    <col min="4369" max="4369" width="39.140625" style="422" customWidth="1"/>
    <col min="4370" max="4370" width="23.140625" style="422" customWidth="1"/>
    <col min="4371" max="4371" width="18.42578125" style="422" customWidth="1"/>
    <col min="4372" max="4372" width="10.7109375" style="422" customWidth="1"/>
    <col min="4373" max="4612" width="9.140625" style="422"/>
    <col min="4613" max="4613" width="6.5703125" style="422" customWidth="1"/>
    <col min="4614" max="4614" width="38.5703125" style="422" customWidth="1"/>
    <col min="4615" max="4615" width="15.28515625" style="422" customWidth="1"/>
    <col min="4616" max="4616" width="6.85546875" style="422" customWidth="1"/>
    <col min="4617" max="4617" width="20.85546875" style="422" customWidth="1"/>
    <col min="4618" max="4619" width="20.28515625" style="422" customWidth="1"/>
    <col min="4620" max="4620" width="25.28515625" style="422" customWidth="1"/>
    <col min="4621" max="4621" width="8.85546875" style="422" customWidth="1"/>
    <col min="4622" max="4622" width="14.5703125" style="422" customWidth="1"/>
    <col min="4623" max="4623" width="11.28515625" style="422" customWidth="1"/>
    <col min="4624" max="4624" width="2" style="422" customWidth="1"/>
    <col min="4625" max="4625" width="39.140625" style="422" customWidth="1"/>
    <col min="4626" max="4626" width="23.140625" style="422" customWidth="1"/>
    <col min="4627" max="4627" width="18.42578125" style="422" customWidth="1"/>
    <col min="4628" max="4628" width="10.7109375" style="422" customWidth="1"/>
    <col min="4629" max="4868" width="9.140625" style="422"/>
    <col min="4869" max="4869" width="6.5703125" style="422" customWidth="1"/>
    <col min="4870" max="4870" width="38.5703125" style="422" customWidth="1"/>
    <col min="4871" max="4871" width="15.28515625" style="422" customWidth="1"/>
    <col min="4872" max="4872" width="6.85546875" style="422" customWidth="1"/>
    <col min="4873" max="4873" width="20.85546875" style="422" customWidth="1"/>
    <col min="4874" max="4875" width="20.28515625" style="422" customWidth="1"/>
    <col min="4876" max="4876" width="25.28515625" style="422" customWidth="1"/>
    <col min="4877" max="4877" width="8.85546875" style="422" customWidth="1"/>
    <col min="4878" max="4878" width="14.5703125" style="422" customWidth="1"/>
    <col min="4879" max="4879" width="11.28515625" style="422" customWidth="1"/>
    <col min="4880" max="4880" width="2" style="422" customWidth="1"/>
    <col min="4881" max="4881" width="39.140625" style="422" customWidth="1"/>
    <col min="4882" max="4882" width="23.140625" style="422" customWidth="1"/>
    <col min="4883" max="4883" width="18.42578125" style="422" customWidth="1"/>
    <col min="4884" max="4884" width="10.7109375" style="422" customWidth="1"/>
    <col min="4885" max="5124" width="9.140625" style="422"/>
    <col min="5125" max="5125" width="6.5703125" style="422" customWidth="1"/>
    <col min="5126" max="5126" width="38.5703125" style="422" customWidth="1"/>
    <col min="5127" max="5127" width="15.28515625" style="422" customWidth="1"/>
    <col min="5128" max="5128" width="6.85546875" style="422" customWidth="1"/>
    <col min="5129" max="5129" width="20.85546875" style="422" customWidth="1"/>
    <col min="5130" max="5131" width="20.28515625" style="422" customWidth="1"/>
    <col min="5132" max="5132" width="25.28515625" style="422" customWidth="1"/>
    <col min="5133" max="5133" width="8.85546875" style="422" customWidth="1"/>
    <col min="5134" max="5134" width="14.5703125" style="422" customWidth="1"/>
    <col min="5135" max="5135" width="11.28515625" style="422" customWidth="1"/>
    <col min="5136" max="5136" width="2" style="422" customWidth="1"/>
    <col min="5137" max="5137" width="39.140625" style="422" customWidth="1"/>
    <col min="5138" max="5138" width="23.140625" style="422" customWidth="1"/>
    <col min="5139" max="5139" width="18.42578125" style="422" customWidth="1"/>
    <col min="5140" max="5140" width="10.7109375" style="422" customWidth="1"/>
    <col min="5141" max="5380" width="9.140625" style="422"/>
    <col min="5381" max="5381" width="6.5703125" style="422" customWidth="1"/>
    <col min="5382" max="5382" width="38.5703125" style="422" customWidth="1"/>
    <col min="5383" max="5383" width="15.28515625" style="422" customWidth="1"/>
    <col min="5384" max="5384" width="6.85546875" style="422" customWidth="1"/>
    <col min="5385" max="5385" width="20.85546875" style="422" customWidth="1"/>
    <col min="5386" max="5387" width="20.28515625" style="422" customWidth="1"/>
    <col min="5388" max="5388" width="25.28515625" style="422" customWidth="1"/>
    <col min="5389" max="5389" width="8.85546875" style="422" customWidth="1"/>
    <col min="5390" max="5390" width="14.5703125" style="422" customWidth="1"/>
    <col min="5391" max="5391" width="11.28515625" style="422" customWidth="1"/>
    <col min="5392" max="5392" width="2" style="422" customWidth="1"/>
    <col min="5393" max="5393" width="39.140625" style="422" customWidth="1"/>
    <col min="5394" max="5394" width="23.140625" style="422" customWidth="1"/>
    <col min="5395" max="5395" width="18.42578125" style="422" customWidth="1"/>
    <col min="5396" max="5396" width="10.7109375" style="422" customWidth="1"/>
    <col min="5397" max="5636" width="9.140625" style="422"/>
    <col min="5637" max="5637" width="6.5703125" style="422" customWidth="1"/>
    <col min="5638" max="5638" width="38.5703125" style="422" customWidth="1"/>
    <col min="5639" max="5639" width="15.28515625" style="422" customWidth="1"/>
    <col min="5640" max="5640" width="6.85546875" style="422" customWidth="1"/>
    <col min="5641" max="5641" width="20.85546875" style="422" customWidth="1"/>
    <col min="5642" max="5643" width="20.28515625" style="422" customWidth="1"/>
    <col min="5644" max="5644" width="25.28515625" style="422" customWidth="1"/>
    <col min="5645" max="5645" width="8.85546875" style="422" customWidth="1"/>
    <col min="5646" max="5646" width="14.5703125" style="422" customWidth="1"/>
    <col min="5647" max="5647" width="11.28515625" style="422" customWidth="1"/>
    <col min="5648" max="5648" width="2" style="422" customWidth="1"/>
    <col min="5649" max="5649" width="39.140625" style="422" customWidth="1"/>
    <col min="5650" max="5650" width="23.140625" style="422" customWidth="1"/>
    <col min="5651" max="5651" width="18.42578125" style="422" customWidth="1"/>
    <col min="5652" max="5652" width="10.7109375" style="422" customWidth="1"/>
    <col min="5653" max="5892" width="9.140625" style="422"/>
    <col min="5893" max="5893" width="6.5703125" style="422" customWidth="1"/>
    <col min="5894" max="5894" width="38.5703125" style="422" customWidth="1"/>
    <col min="5895" max="5895" width="15.28515625" style="422" customWidth="1"/>
    <col min="5896" max="5896" width="6.85546875" style="422" customWidth="1"/>
    <col min="5897" max="5897" width="20.85546875" style="422" customWidth="1"/>
    <col min="5898" max="5899" width="20.28515625" style="422" customWidth="1"/>
    <col min="5900" max="5900" width="25.28515625" style="422" customWidth="1"/>
    <col min="5901" max="5901" width="8.85546875" style="422" customWidth="1"/>
    <col min="5902" max="5902" width="14.5703125" style="422" customWidth="1"/>
    <col min="5903" max="5903" width="11.28515625" style="422" customWidth="1"/>
    <col min="5904" max="5904" width="2" style="422" customWidth="1"/>
    <col min="5905" max="5905" width="39.140625" style="422" customWidth="1"/>
    <col min="5906" max="5906" width="23.140625" style="422" customWidth="1"/>
    <col min="5907" max="5907" width="18.42578125" style="422" customWidth="1"/>
    <col min="5908" max="5908" width="10.7109375" style="422" customWidth="1"/>
    <col min="5909" max="6148" width="9.140625" style="422"/>
    <col min="6149" max="6149" width="6.5703125" style="422" customWidth="1"/>
    <col min="6150" max="6150" width="38.5703125" style="422" customWidth="1"/>
    <col min="6151" max="6151" width="15.28515625" style="422" customWidth="1"/>
    <col min="6152" max="6152" width="6.85546875" style="422" customWidth="1"/>
    <col min="6153" max="6153" width="20.85546875" style="422" customWidth="1"/>
    <col min="6154" max="6155" width="20.28515625" style="422" customWidth="1"/>
    <col min="6156" max="6156" width="25.28515625" style="422" customWidth="1"/>
    <col min="6157" max="6157" width="8.85546875" style="422" customWidth="1"/>
    <col min="6158" max="6158" width="14.5703125" style="422" customWidth="1"/>
    <col min="6159" max="6159" width="11.28515625" style="422" customWidth="1"/>
    <col min="6160" max="6160" width="2" style="422" customWidth="1"/>
    <col min="6161" max="6161" width="39.140625" style="422" customWidth="1"/>
    <col min="6162" max="6162" width="23.140625" style="422" customWidth="1"/>
    <col min="6163" max="6163" width="18.42578125" style="422" customWidth="1"/>
    <col min="6164" max="6164" width="10.7109375" style="422" customWidth="1"/>
    <col min="6165" max="6404" width="9.140625" style="422"/>
    <col min="6405" max="6405" width="6.5703125" style="422" customWidth="1"/>
    <col min="6406" max="6406" width="38.5703125" style="422" customWidth="1"/>
    <col min="6407" max="6407" width="15.28515625" style="422" customWidth="1"/>
    <col min="6408" max="6408" width="6.85546875" style="422" customWidth="1"/>
    <col min="6409" max="6409" width="20.85546875" style="422" customWidth="1"/>
    <col min="6410" max="6411" width="20.28515625" style="422" customWidth="1"/>
    <col min="6412" max="6412" width="25.28515625" style="422" customWidth="1"/>
    <col min="6413" max="6413" width="8.85546875" style="422" customWidth="1"/>
    <col min="6414" max="6414" width="14.5703125" style="422" customWidth="1"/>
    <col min="6415" max="6415" width="11.28515625" style="422" customWidth="1"/>
    <col min="6416" max="6416" width="2" style="422" customWidth="1"/>
    <col min="6417" max="6417" width="39.140625" style="422" customWidth="1"/>
    <col min="6418" max="6418" width="23.140625" style="422" customWidth="1"/>
    <col min="6419" max="6419" width="18.42578125" style="422" customWidth="1"/>
    <col min="6420" max="6420" width="10.7109375" style="422" customWidth="1"/>
    <col min="6421" max="6660" width="9.140625" style="422"/>
    <col min="6661" max="6661" width="6.5703125" style="422" customWidth="1"/>
    <col min="6662" max="6662" width="38.5703125" style="422" customWidth="1"/>
    <col min="6663" max="6663" width="15.28515625" style="422" customWidth="1"/>
    <col min="6664" max="6664" width="6.85546875" style="422" customWidth="1"/>
    <col min="6665" max="6665" width="20.85546875" style="422" customWidth="1"/>
    <col min="6666" max="6667" width="20.28515625" style="422" customWidth="1"/>
    <col min="6668" max="6668" width="25.28515625" style="422" customWidth="1"/>
    <col min="6669" max="6669" width="8.85546875" style="422" customWidth="1"/>
    <col min="6670" max="6670" width="14.5703125" style="422" customWidth="1"/>
    <col min="6671" max="6671" width="11.28515625" style="422" customWidth="1"/>
    <col min="6672" max="6672" width="2" style="422" customWidth="1"/>
    <col min="6673" max="6673" width="39.140625" style="422" customWidth="1"/>
    <col min="6674" max="6674" width="23.140625" style="422" customWidth="1"/>
    <col min="6675" max="6675" width="18.42578125" style="422" customWidth="1"/>
    <col min="6676" max="6676" width="10.7109375" style="422" customWidth="1"/>
    <col min="6677" max="6916" width="9.140625" style="422"/>
    <col min="6917" max="6917" width="6.5703125" style="422" customWidth="1"/>
    <col min="6918" max="6918" width="38.5703125" style="422" customWidth="1"/>
    <col min="6919" max="6919" width="15.28515625" style="422" customWidth="1"/>
    <col min="6920" max="6920" width="6.85546875" style="422" customWidth="1"/>
    <col min="6921" max="6921" width="20.85546875" style="422" customWidth="1"/>
    <col min="6922" max="6923" width="20.28515625" style="422" customWidth="1"/>
    <col min="6924" max="6924" width="25.28515625" style="422" customWidth="1"/>
    <col min="6925" max="6925" width="8.85546875" style="422" customWidth="1"/>
    <col min="6926" max="6926" width="14.5703125" style="422" customWidth="1"/>
    <col min="6927" max="6927" width="11.28515625" style="422" customWidth="1"/>
    <col min="6928" max="6928" width="2" style="422" customWidth="1"/>
    <col min="6929" max="6929" width="39.140625" style="422" customWidth="1"/>
    <col min="6930" max="6930" width="23.140625" style="422" customWidth="1"/>
    <col min="6931" max="6931" width="18.42578125" style="422" customWidth="1"/>
    <col min="6932" max="6932" width="10.7109375" style="422" customWidth="1"/>
    <col min="6933" max="7172" width="9.140625" style="422"/>
    <col min="7173" max="7173" width="6.5703125" style="422" customWidth="1"/>
    <col min="7174" max="7174" width="38.5703125" style="422" customWidth="1"/>
    <col min="7175" max="7175" width="15.28515625" style="422" customWidth="1"/>
    <col min="7176" max="7176" width="6.85546875" style="422" customWidth="1"/>
    <col min="7177" max="7177" width="20.85546875" style="422" customWidth="1"/>
    <col min="7178" max="7179" width="20.28515625" style="422" customWidth="1"/>
    <col min="7180" max="7180" width="25.28515625" style="422" customWidth="1"/>
    <col min="7181" max="7181" width="8.85546875" style="422" customWidth="1"/>
    <col min="7182" max="7182" width="14.5703125" style="422" customWidth="1"/>
    <col min="7183" max="7183" width="11.28515625" style="422" customWidth="1"/>
    <col min="7184" max="7184" width="2" style="422" customWidth="1"/>
    <col min="7185" max="7185" width="39.140625" style="422" customWidth="1"/>
    <col min="7186" max="7186" width="23.140625" style="422" customWidth="1"/>
    <col min="7187" max="7187" width="18.42578125" style="422" customWidth="1"/>
    <col min="7188" max="7188" width="10.7109375" style="422" customWidth="1"/>
    <col min="7189" max="7428" width="9.140625" style="422"/>
    <col min="7429" max="7429" width="6.5703125" style="422" customWidth="1"/>
    <col min="7430" max="7430" width="38.5703125" style="422" customWidth="1"/>
    <col min="7431" max="7431" width="15.28515625" style="422" customWidth="1"/>
    <col min="7432" max="7432" width="6.85546875" style="422" customWidth="1"/>
    <col min="7433" max="7433" width="20.85546875" style="422" customWidth="1"/>
    <col min="7434" max="7435" width="20.28515625" style="422" customWidth="1"/>
    <col min="7436" max="7436" width="25.28515625" style="422" customWidth="1"/>
    <col min="7437" max="7437" width="8.85546875" style="422" customWidth="1"/>
    <col min="7438" max="7438" width="14.5703125" style="422" customWidth="1"/>
    <col min="7439" max="7439" width="11.28515625" style="422" customWidth="1"/>
    <col min="7440" max="7440" width="2" style="422" customWidth="1"/>
    <col min="7441" max="7441" width="39.140625" style="422" customWidth="1"/>
    <col min="7442" max="7442" width="23.140625" style="422" customWidth="1"/>
    <col min="7443" max="7443" width="18.42578125" style="422" customWidth="1"/>
    <col min="7444" max="7444" width="10.7109375" style="422" customWidth="1"/>
    <col min="7445" max="7684" width="9.140625" style="422"/>
    <col min="7685" max="7685" width="6.5703125" style="422" customWidth="1"/>
    <col min="7686" max="7686" width="38.5703125" style="422" customWidth="1"/>
    <col min="7687" max="7687" width="15.28515625" style="422" customWidth="1"/>
    <col min="7688" max="7688" width="6.85546875" style="422" customWidth="1"/>
    <col min="7689" max="7689" width="20.85546875" style="422" customWidth="1"/>
    <col min="7690" max="7691" width="20.28515625" style="422" customWidth="1"/>
    <col min="7692" max="7692" width="25.28515625" style="422" customWidth="1"/>
    <col min="7693" max="7693" width="8.85546875" style="422" customWidth="1"/>
    <col min="7694" max="7694" width="14.5703125" style="422" customWidth="1"/>
    <col min="7695" max="7695" width="11.28515625" style="422" customWidth="1"/>
    <col min="7696" max="7696" width="2" style="422" customWidth="1"/>
    <col min="7697" max="7697" width="39.140625" style="422" customWidth="1"/>
    <col min="7698" max="7698" width="23.140625" style="422" customWidth="1"/>
    <col min="7699" max="7699" width="18.42578125" style="422" customWidth="1"/>
    <col min="7700" max="7700" width="10.7109375" style="422" customWidth="1"/>
    <col min="7701" max="7940" width="9.140625" style="422"/>
    <col min="7941" max="7941" width="6.5703125" style="422" customWidth="1"/>
    <col min="7942" max="7942" width="38.5703125" style="422" customWidth="1"/>
    <col min="7943" max="7943" width="15.28515625" style="422" customWidth="1"/>
    <col min="7944" max="7944" width="6.85546875" style="422" customWidth="1"/>
    <col min="7945" max="7945" width="20.85546875" style="422" customWidth="1"/>
    <col min="7946" max="7947" width="20.28515625" style="422" customWidth="1"/>
    <col min="7948" max="7948" width="25.28515625" style="422" customWidth="1"/>
    <col min="7949" max="7949" width="8.85546875" style="422" customWidth="1"/>
    <col min="7950" max="7950" width="14.5703125" style="422" customWidth="1"/>
    <col min="7951" max="7951" width="11.28515625" style="422" customWidth="1"/>
    <col min="7952" max="7952" width="2" style="422" customWidth="1"/>
    <col min="7953" max="7953" width="39.140625" style="422" customWidth="1"/>
    <col min="7954" max="7954" width="23.140625" style="422" customWidth="1"/>
    <col min="7955" max="7955" width="18.42578125" style="422" customWidth="1"/>
    <col min="7956" max="7956" width="10.7109375" style="422" customWidth="1"/>
    <col min="7957" max="8196" width="9.140625" style="422"/>
    <col min="8197" max="8197" width="6.5703125" style="422" customWidth="1"/>
    <col min="8198" max="8198" width="38.5703125" style="422" customWidth="1"/>
    <col min="8199" max="8199" width="15.28515625" style="422" customWidth="1"/>
    <col min="8200" max="8200" width="6.85546875" style="422" customWidth="1"/>
    <col min="8201" max="8201" width="20.85546875" style="422" customWidth="1"/>
    <col min="8202" max="8203" width="20.28515625" style="422" customWidth="1"/>
    <col min="8204" max="8204" width="25.28515625" style="422" customWidth="1"/>
    <col min="8205" max="8205" width="8.85546875" style="422" customWidth="1"/>
    <col min="8206" max="8206" width="14.5703125" style="422" customWidth="1"/>
    <col min="8207" max="8207" width="11.28515625" style="422" customWidth="1"/>
    <col min="8208" max="8208" width="2" style="422" customWidth="1"/>
    <col min="8209" max="8209" width="39.140625" style="422" customWidth="1"/>
    <col min="8210" max="8210" width="23.140625" style="422" customWidth="1"/>
    <col min="8211" max="8211" width="18.42578125" style="422" customWidth="1"/>
    <col min="8212" max="8212" width="10.7109375" style="422" customWidth="1"/>
    <col min="8213" max="8452" width="9.140625" style="422"/>
    <col min="8453" max="8453" width="6.5703125" style="422" customWidth="1"/>
    <col min="8454" max="8454" width="38.5703125" style="422" customWidth="1"/>
    <col min="8455" max="8455" width="15.28515625" style="422" customWidth="1"/>
    <col min="8456" max="8456" width="6.85546875" style="422" customWidth="1"/>
    <col min="8457" max="8457" width="20.85546875" style="422" customWidth="1"/>
    <col min="8458" max="8459" width="20.28515625" style="422" customWidth="1"/>
    <col min="8460" max="8460" width="25.28515625" style="422" customWidth="1"/>
    <col min="8461" max="8461" width="8.85546875" style="422" customWidth="1"/>
    <col min="8462" max="8462" width="14.5703125" style="422" customWidth="1"/>
    <col min="8463" max="8463" width="11.28515625" style="422" customWidth="1"/>
    <col min="8464" max="8464" width="2" style="422" customWidth="1"/>
    <col min="8465" max="8465" width="39.140625" style="422" customWidth="1"/>
    <col min="8466" max="8466" width="23.140625" style="422" customWidth="1"/>
    <col min="8467" max="8467" width="18.42578125" style="422" customWidth="1"/>
    <col min="8468" max="8468" width="10.7109375" style="422" customWidth="1"/>
    <col min="8469" max="8708" width="9.140625" style="422"/>
    <col min="8709" max="8709" width="6.5703125" style="422" customWidth="1"/>
    <col min="8710" max="8710" width="38.5703125" style="422" customWidth="1"/>
    <col min="8711" max="8711" width="15.28515625" style="422" customWidth="1"/>
    <col min="8712" max="8712" width="6.85546875" style="422" customWidth="1"/>
    <col min="8713" max="8713" width="20.85546875" style="422" customWidth="1"/>
    <col min="8714" max="8715" width="20.28515625" style="422" customWidth="1"/>
    <col min="8716" max="8716" width="25.28515625" style="422" customWidth="1"/>
    <col min="8717" max="8717" width="8.85546875" style="422" customWidth="1"/>
    <col min="8718" max="8718" width="14.5703125" style="422" customWidth="1"/>
    <col min="8719" max="8719" width="11.28515625" style="422" customWidth="1"/>
    <col min="8720" max="8720" width="2" style="422" customWidth="1"/>
    <col min="8721" max="8721" width="39.140625" style="422" customWidth="1"/>
    <col min="8722" max="8722" width="23.140625" style="422" customWidth="1"/>
    <col min="8723" max="8723" width="18.42578125" style="422" customWidth="1"/>
    <col min="8724" max="8724" width="10.7109375" style="422" customWidth="1"/>
    <col min="8725" max="8964" width="9.140625" style="422"/>
    <col min="8965" max="8965" width="6.5703125" style="422" customWidth="1"/>
    <col min="8966" max="8966" width="38.5703125" style="422" customWidth="1"/>
    <col min="8967" max="8967" width="15.28515625" style="422" customWidth="1"/>
    <col min="8968" max="8968" width="6.85546875" style="422" customWidth="1"/>
    <col min="8969" max="8969" width="20.85546875" style="422" customWidth="1"/>
    <col min="8970" max="8971" width="20.28515625" style="422" customWidth="1"/>
    <col min="8972" max="8972" width="25.28515625" style="422" customWidth="1"/>
    <col min="8973" max="8973" width="8.85546875" style="422" customWidth="1"/>
    <col min="8974" max="8974" width="14.5703125" style="422" customWidth="1"/>
    <col min="8975" max="8975" width="11.28515625" style="422" customWidth="1"/>
    <col min="8976" max="8976" width="2" style="422" customWidth="1"/>
    <col min="8977" max="8977" width="39.140625" style="422" customWidth="1"/>
    <col min="8978" max="8978" width="23.140625" style="422" customWidth="1"/>
    <col min="8979" max="8979" width="18.42578125" style="422" customWidth="1"/>
    <col min="8980" max="8980" width="10.7109375" style="422" customWidth="1"/>
    <col min="8981" max="9220" width="9.140625" style="422"/>
    <col min="9221" max="9221" width="6.5703125" style="422" customWidth="1"/>
    <col min="9222" max="9222" width="38.5703125" style="422" customWidth="1"/>
    <col min="9223" max="9223" width="15.28515625" style="422" customWidth="1"/>
    <col min="9224" max="9224" width="6.85546875" style="422" customWidth="1"/>
    <col min="9225" max="9225" width="20.85546875" style="422" customWidth="1"/>
    <col min="9226" max="9227" width="20.28515625" style="422" customWidth="1"/>
    <col min="9228" max="9228" width="25.28515625" style="422" customWidth="1"/>
    <col min="9229" max="9229" width="8.85546875" style="422" customWidth="1"/>
    <col min="9230" max="9230" width="14.5703125" style="422" customWidth="1"/>
    <col min="9231" max="9231" width="11.28515625" style="422" customWidth="1"/>
    <col min="9232" max="9232" width="2" style="422" customWidth="1"/>
    <col min="9233" max="9233" width="39.140625" style="422" customWidth="1"/>
    <col min="9234" max="9234" width="23.140625" style="422" customWidth="1"/>
    <col min="9235" max="9235" width="18.42578125" style="422" customWidth="1"/>
    <col min="9236" max="9236" width="10.7109375" style="422" customWidth="1"/>
    <col min="9237" max="9476" width="9.140625" style="422"/>
    <col min="9477" max="9477" width="6.5703125" style="422" customWidth="1"/>
    <col min="9478" max="9478" width="38.5703125" style="422" customWidth="1"/>
    <col min="9479" max="9479" width="15.28515625" style="422" customWidth="1"/>
    <col min="9480" max="9480" width="6.85546875" style="422" customWidth="1"/>
    <col min="9481" max="9481" width="20.85546875" style="422" customWidth="1"/>
    <col min="9482" max="9483" width="20.28515625" style="422" customWidth="1"/>
    <col min="9484" max="9484" width="25.28515625" style="422" customWidth="1"/>
    <col min="9485" max="9485" width="8.85546875" style="422" customWidth="1"/>
    <col min="9486" max="9486" width="14.5703125" style="422" customWidth="1"/>
    <col min="9487" max="9487" width="11.28515625" style="422" customWidth="1"/>
    <col min="9488" max="9488" width="2" style="422" customWidth="1"/>
    <col min="9489" max="9489" width="39.140625" style="422" customWidth="1"/>
    <col min="9490" max="9490" width="23.140625" style="422" customWidth="1"/>
    <col min="9491" max="9491" width="18.42578125" style="422" customWidth="1"/>
    <col min="9492" max="9492" width="10.7109375" style="422" customWidth="1"/>
    <col min="9493" max="9732" width="9.140625" style="422"/>
    <col min="9733" max="9733" width="6.5703125" style="422" customWidth="1"/>
    <col min="9734" max="9734" width="38.5703125" style="422" customWidth="1"/>
    <col min="9735" max="9735" width="15.28515625" style="422" customWidth="1"/>
    <col min="9736" max="9736" width="6.85546875" style="422" customWidth="1"/>
    <col min="9737" max="9737" width="20.85546875" style="422" customWidth="1"/>
    <col min="9738" max="9739" width="20.28515625" style="422" customWidth="1"/>
    <col min="9740" max="9740" width="25.28515625" style="422" customWidth="1"/>
    <col min="9741" max="9741" width="8.85546875" style="422" customWidth="1"/>
    <col min="9742" max="9742" width="14.5703125" style="422" customWidth="1"/>
    <col min="9743" max="9743" width="11.28515625" style="422" customWidth="1"/>
    <col min="9744" max="9744" width="2" style="422" customWidth="1"/>
    <col min="9745" max="9745" width="39.140625" style="422" customWidth="1"/>
    <col min="9746" max="9746" width="23.140625" style="422" customWidth="1"/>
    <col min="9747" max="9747" width="18.42578125" style="422" customWidth="1"/>
    <col min="9748" max="9748" width="10.7109375" style="422" customWidth="1"/>
    <col min="9749" max="9988" width="9.140625" style="422"/>
    <col min="9989" max="9989" width="6.5703125" style="422" customWidth="1"/>
    <col min="9990" max="9990" width="38.5703125" style="422" customWidth="1"/>
    <col min="9991" max="9991" width="15.28515625" style="422" customWidth="1"/>
    <col min="9992" max="9992" width="6.85546875" style="422" customWidth="1"/>
    <col min="9993" max="9993" width="20.85546875" style="422" customWidth="1"/>
    <col min="9994" max="9995" width="20.28515625" style="422" customWidth="1"/>
    <col min="9996" max="9996" width="25.28515625" style="422" customWidth="1"/>
    <col min="9997" max="9997" width="8.85546875" style="422" customWidth="1"/>
    <col min="9998" max="9998" width="14.5703125" style="422" customWidth="1"/>
    <col min="9999" max="9999" width="11.28515625" style="422" customWidth="1"/>
    <col min="10000" max="10000" width="2" style="422" customWidth="1"/>
    <col min="10001" max="10001" width="39.140625" style="422" customWidth="1"/>
    <col min="10002" max="10002" width="23.140625" style="422" customWidth="1"/>
    <col min="10003" max="10003" width="18.42578125" style="422" customWidth="1"/>
    <col min="10004" max="10004" width="10.7109375" style="422" customWidth="1"/>
    <col min="10005" max="10244" width="9.140625" style="422"/>
    <col min="10245" max="10245" width="6.5703125" style="422" customWidth="1"/>
    <col min="10246" max="10246" width="38.5703125" style="422" customWidth="1"/>
    <col min="10247" max="10247" width="15.28515625" style="422" customWidth="1"/>
    <col min="10248" max="10248" width="6.85546875" style="422" customWidth="1"/>
    <col min="10249" max="10249" width="20.85546875" style="422" customWidth="1"/>
    <col min="10250" max="10251" width="20.28515625" style="422" customWidth="1"/>
    <col min="10252" max="10252" width="25.28515625" style="422" customWidth="1"/>
    <col min="10253" max="10253" width="8.85546875" style="422" customWidth="1"/>
    <col min="10254" max="10254" width="14.5703125" style="422" customWidth="1"/>
    <col min="10255" max="10255" width="11.28515625" style="422" customWidth="1"/>
    <col min="10256" max="10256" width="2" style="422" customWidth="1"/>
    <col min="10257" max="10257" width="39.140625" style="422" customWidth="1"/>
    <col min="10258" max="10258" width="23.140625" style="422" customWidth="1"/>
    <col min="10259" max="10259" width="18.42578125" style="422" customWidth="1"/>
    <col min="10260" max="10260" width="10.7109375" style="422" customWidth="1"/>
    <col min="10261" max="10500" width="9.140625" style="422"/>
    <col min="10501" max="10501" width="6.5703125" style="422" customWidth="1"/>
    <col min="10502" max="10502" width="38.5703125" style="422" customWidth="1"/>
    <col min="10503" max="10503" width="15.28515625" style="422" customWidth="1"/>
    <col min="10504" max="10504" width="6.85546875" style="422" customWidth="1"/>
    <col min="10505" max="10505" width="20.85546875" style="422" customWidth="1"/>
    <col min="10506" max="10507" width="20.28515625" style="422" customWidth="1"/>
    <col min="10508" max="10508" width="25.28515625" style="422" customWidth="1"/>
    <col min="10509" max="10509" width="8.85546875" style="422" customWidth="1"/>
    <col min="10510" max="10510" width="14.5703125" style="422" customWidth="1"/>
    <col min="10511" max="10511" width="11.28515625" style="422" customWidth="1"/>
    <col min="10512" max="10512" width="2" style="422" customWidth="1"/>
    <col min="10513" max="10513" width="39.140625" style="422" customWidth="1"/>
    <col min="10514" max="10514" width="23.140625" style="422" customWidth="1"/>
    <col min="10515" max="10515" width="18.42578125" style="422" customWidth="1"/>
    <col min="10516" max="10516" width="10.7109375" style="422" customWidth="1"/>
    <col min="10517" max="10756" width="9.140625" style="422"/>
    <col min="10757" max="10757" width="6.5703125" style="422" customWidth="1"/>
    <col min="10758" max="10758" width="38.5703125" style="422" customWidth="1"/>
    <col min="10759" max="10759" width="15.28515625" style="422" customWidth="1"/>
    <col min="10760" max="10760" width="6.85546875" style="422" customWidth="1"/>
    <col min="10761" max="10761" width="20.85546875" style="422" customWidth="1"/>
    <col min="10762" max="10763" width="20.28515625" style="422" customWidth="1"/>
    <col min="10764" max="10764" width="25.28515625" style="422" customWidth="1"/>
    <col min="10765" max="10765" width="8.85546875" style="422" customWidth="1"/>
    <col min="10766" max="10766" width="14.5703125" style="422" customWidth="1"/>
    <col min="10767" max="10767" width="11.28515625" style="422" customWidth="1"/>
    <col min="10768" max="10768" width="2" style="422" customWidth="1"/>
    <col min="10769" max="10769" width="39.140625" style="422" customWidth="1"/>
    <col min="10770" max="10770" width="23.140625" style="422" customWidth="1"/>
    <col min="10771" max="10771" width="18.42578125" style="422" customWidth="1"/>
    <col min="10772" max="10772" width="10.7109375" style="422" customWidth="1"/>
    <col min="10773" max="11012" width="9.140625" style="422"/>
    <col min="11013" max="11013" width="6.5703125" style="422" customWidth="1"/>
    <col min="11014" max="11014" width="38.5703125" style="422" customWidth="1"/>
    <col min="11015" max="11015" width="15.28515625" style="422" customWidth="1"/>
    <col min="11016" max="11016" width="6.85546875" style="422" customWidth="1"/>
    <col min="11017" max="11017" width="20.85546875" style="422" customWidth="1"/>
    <col min="11018" max="11019" width="20.28515625" style="422" customWidth="1"/>
    <col min="11020" max="11020" width="25.28515625" style="422" customWidth="1"/>
    <col min="11021" max="11021" width="8.85546875" style="422" customWidth="1"/>
    <col min="11022" max="11022" width="14.5703125" style="422" customWidth="1"/>
    <col min="11023" max="11023" width="11.28515625" style="422" customWidth="1"/>
    <col min="11024" max="11024" width="2" style="422" customWidth="1"/>
    <col min="11025" max="11025" width="39.140625" style="422" customWidth="1"/>
    <col min="11026" max="11026" width="23.140625" style="422" customWidth="1"/>
    <col min="11027" max="11027" width="18.42578125" style="422" customWidth="1"/>
    <col min="11028" max="11028" width="10.7109375" style="422" customWidth="1"/>
    <col min="11029" max="11268" width="9.140625" style="422"/>
    <col min="11269" max="11269" width="6.5703125" style="422" customWidth="1"/>
    <col min="11270" max="11270" width="38.5703125" style="422" customWidth="1"/>
    <col min="11271" max="11271" width="15.28515625" style="422" customWidth="1"/>
    <col min="11272" max="11272" width="6.85546875" style="422" customWidth="1"/>
    <col min="11273" max="11273" width="20.85546875" style="422" customWidth="1"/>
    <col min="11274" max="11275" width="20.28515625" style="422" customWidth="1"/>
    <col min="11276" max="11276" width="25.28515625" style="422" customWidth="1"/>
    <col min="11277" max="11277" width="8.85546875" style="422" customWidth="1"/>
    <col min="11278" max="11278" width="14.5703125" style="422" customWidth="1"/>
    <col min="11279" max="11279" width="11.28515625" style="422" customWidth="1"/>
    <col min="11280" max="11280" width="2" style="422" customWidth="1"/>
    <col min="11281" max="11281" width="39.140625" style="422" customWidth="1"/>
    <col min="11282" max="11282" width="23.140625" style="422" customWidth="1"/>
    <col min="11283" max="11283" width="18.42578125" style="422" customWidth="1"/>
    <col min="11284" max="11284" width="10.7109375" style="422" customWidth="1"/>
    <col min="11285" max="11524" width="9.140625" style="422"/>
    <col min="11525" max="11525" width="6.5703125" style="422" customWidth="1"/>
    <col min="11526" max="11526" width="38.5703125" style="422" customWidth="1"/>
    <col min="11527" max="11527" width="15.28515625" style="422" customWidth="1"/>
    <col min="11528" max="11528" width="6.85546875" style="422" customWidth="1"/>
    <col min="11529" max="11529" width="20.85546875" style="422" customWidth="1"/>
    <col min="11530" max="11531" width="20.28515625" style="422" customWidth="1"/>
    <col min="11532" max="11532" width="25.28515625" style="422" customWidth="1"/>
    <col min="11533" max="11533" width="8.85546875" style="422" customWidth="1"/>
    <col min="11534" max="11534" width="14.5703125" style="422" customWidth="1"/>
    <col min="11535" max="11535" width="11.28515625" style="422" customWidth="1"/>
    <col min="11536" max="11536" width="2" style="422" customWidth="1"/>
    <col min="11537" max="11537" width="39.140625" style="422" customWidth="1"/>
    <col min="11538" max="11538" width="23.140625" style="422" customWidth="1"/>
    <col min="11539" max="11539" width="18.42578125" style="422" customWidth="1"/>
    <col min="11540" max="11540" width="10.7109375" style="422" customWidth="1"/>
    <col min="11541" max="11780" width="9.140625" style="422"/>
    <col min="11781" max="11781" width="6.5703125" style="422" customWidth="1"/>
    <col min="11782" max="11782" width="38.5703125" style="422" customWidth="1"/>
    <col min="11783" max="11783" width="15.28515625" style="422" customWidth="1"/>
    <col min="11784" max="11784" width="6.85546875" style="422" customWidth="1"/>
    <col min="11785" max="11785" width="20.85546875" style="422" customWidth="1"/>
    <col min="11786" max="11787" width="20.28515625" style="422" customWidth="1"/>
    <col min="11788" max="11788" width="25.28515625" style="422" customWidth="1"/>
    <col min="11789" max="11789" width="8.85546875" style="422" customWidth="1"/>
    <col min="11790" max="11790" width="14.5703125" style="422" customWidth="1"/>
    <col min="11791" max="11791" width="11.28515625" style="422" customWidth="1"/>
    <col min="11792" max="11792" width="2" style="422" customWidth="1"/>
    <col min="11793" max="11793" width="39.140625" style="422" customWidth="1"/>
    <col min="11794" max="11794" width="23.140625" style="422" customWidth="1"/>
    <col min="11795" max="11795" width="18.42578125" style="422" customWidth="1"/>
    <col min="11796" max="11796" width="10.7109375" style="422" customWidth="1"/>
    <col min="11797" max="12036" width="9.140625" style="422"/>
    <col min="12037" max="12037" width="6.5703125" style="422" customWidth="1"/>
    <col min="12038" max="12038" width="38.5703125" style="422" customWidth="1"/>
    <col min="12039" max="12039" width="15.28515625" style="422" customWidth="1"/>
    <col min="12040" max="12040" width="6.85546875" style="422" customWidth="1"/>
    <col min="12041" max="12041" width="20.85546875" style="422" customWidth="1"/>
    <col min="12042" max="12043" width="20.28515625" style="422" customWidth="1"/>
    <col min="12044" max="12044" width="25.28515625" style="422" customWidth="1"/>
    <col min="12045" max="12045" width="8.85546875" style="422" customWidth="1"/>
    <col min="12046" max="12046" width="14.5703125" style="422" customWidth="1"/>
    <col min="12047" max="12047" width="11.28515625" style="422" customWidth="1"/>
    <col min="12048" max="12048" width="2" style="422" customWidth="1"/>
    <col min="12049" max="12049" width="39.140625" style="422" customWidth="1"/>
    <col min="12050" max="12050" width="23.140625" style="422" customWidth="1"/>
    <col min="12051" max="12051" width="18.42578125" style="422" customWidth="1"/>
    <col min="12052" max="12052" width="10.7109375" style="422" customWidth="1"/>
    <col min="12053" max="12292" width="9.140625" style="422"/>
    <col min="12293" max="12293" width="6.5703125" style="422" customWidth="1"/>
    <col min="12294" max="12294" width="38.5703125" style="422" customWidth="1"/>
    <col min="12295" max="12295" width="15.28515625" style="422" customWidth="1"/>
    <col min="12296" max="12296" width="6.85546875" style="422" customWidth="1"/>
    <col min="12297" max="12297" width="20.85546875" style="422" customWidth="1"/>
    <col min="12298" max="12299" width="20.28515625" style="422" customWidth="1"/>
    <col min="12300" max="12300" width="25.28515625" style="422" customWidth="1"/>
    <col min="12301" max="12301" width="8.85546875" style="422" customWidth="1"/>
    <col min="12302" max="12302" width="14.5703125" style="422" customWidth="1"/>
    <col min="12303" max="12303" width="11.28515625" style="422" customWidth="1"/>
    <col min="12304" max="12304" width="2" style="422" customWidth="1"/>
    <col min="12305" max="12305" width="39.140625" style="422" customWidth="1"/>
    <col min="12306" max="12306" width="23.140625" style="422" customWidth="1"/>
    <col min="12307" max="12307" width="18.42578125" style="422" customWidth="1"/>
    <col min="12308" max="12308" width="10.7109375" style="422" customWidth="1"/>
    <col min="12309" max="12548" width="9.140625" style="422"/>
    <col min="12549" max="12549" width="6.5703125" style="422" customWidth="1"/>
    <col min="12550" max="12550" width="38.5703125" style="422" customWidth="1"/>
    <col min="12551" max="12551" width="15.28515625" style="422" customWidth="1"/>
    <col min="12552" max="12552" width="6.85546875" style="422" customWidth="1"/>
    <col min="12553" max="12553" width="20.85546875" style="422" customWidth="1"/>
    <col min="12554" max="12555" width="20.28515625" style="422" customWidth="1"/>
    <col min="12556" max="12556" width="25.28515625" style="422" customWidth="1"/>
    <col min="12557" max="12557" width="8.85546875" style="422" customWidth="1"/>
    <col min="12558" max="12558" width="14.5703125" style="422" customWidth="1"/>
    <col min="12559" max="12559" width="11.28515625" style="422" customWidth="1"/>
    <col min="12560" max="12560" width="2" style="422" customWidth="1"/>
    <col min="12561" max="12561" width="39.140625" style="422" customWidth="1"/>
    <col min="12562" max="12562" width="23.140625" style="422" customWidth="1"/>
    <col min="12563" max="12563" width="18.42578125" style="422" customWidth="1"/>
    <col min="12564" max="12564" width="10.7109375" style="422" customWidth="1"/>
    <col min="12565" max="12804" width="9.140625" style="422"/>
    <col min="12805" max="12805" width="6.5703125" style="422" customWidth="1"/>
    <col min="12806" max="12806" width="38.5703125" style="422" customWidth="1"/>
    <col min="12807" max="12807" width="15.28515625" style="422" customWidth="1"/>
    <col min="12808" max="12808" width="6.85546875" style="422" customWidth="1"/>
    <col min="12809" max="12809" width="20.85546875" style="422" customWidth="1"/>
    <col min="12810" max="12811" width="20.28515625" style="422" customWidth="1"/>
    <col min="12812" max="12812" width="25.28515625" style="422" customWidth="1"/>
    <col min="12813" max="12813" width="8.85546875" style="422" customWidth="1"/>
    <col min="12814" max="12814" width="14.5703125" style="422" customWidth="1"/>
    <col min="12815" max="12815" width="11.28515625" style="422" customWidth="1"/>
    <col min="12816" max="12816" width="2" style="422" customWidth="1"/>
    <col min="12817" max="12817" width="39.140625" style="422" customWidth="1"/>
    <col min="12818" max="12818" width="23.140625" style="422" customWidth="1"/>
    <col min="12819" max="12819" width="18.42578125" style="422" customWidth="1"/>
    <col min="12820" max="12820" width="10.7109375" style="422" customWidth="1"/>
    <col min="12821" max="13060" width="9.140625" style="422"/>
    <col min="13061" max="13061" width="6.5703125" style="422" customWidth="1"/>
    <col min="13062" max="13062" width="38.5703125" style="422" customWidth="1"/>
    <col min="13063" max="13063" width="15.28515625" style="422" customWidth="1"/>
    <col min="13064" max="13064" width="6.85546875" style="422" customWidth="1"/>
    <col min="13065" max="13065" width="20.85546875" style="422" customWidth="1"/>
    <col min="13066" max="13067" width="20.28515625" style="422" customWidth="1"/>
    <col min="13068" max="13068" width="25.28515625" style="422" customWidth="1"/>
    <col min="13069" max="13069" width="8.85546875" style="422" customWidth="1"/>
    <col min="13070" max="13070" width="14.5703125" style="422" customWidth="1"/>
    <col min="13071" max="13071" width="11.28515625" style="422" customWidth="1"/>
    <col min="13072" max="13072" width="2" style="422" customWidth="1"/>
    <col min="13073" max="13073" width="39.140625" style="422" customWidth="1"/>
    <col min="13074" max="13074" width="23.140625" style="422" customWidth="1"/>
    <col min="13075" max="13075" width="18.42578125" style="422" customWidth="1"/>
    <col min="13076" max="13076" width="10.7109375" style="422" customWidth="1"/>
    <col min="13077" max="13316" width="9.140625" style="422"/>
    <col min="13317" max="13317" width="6.5703125" style="422" customWidth="1"/>
    <col min="13318" max="13318" width="38.5703125" style="422" customWidth="1"/>
    <col min="13319" max="13319" width="15.28515625" style="422" customWidth="1"/>
    <col min="13320" max="13320" width="6.85546875" style="422" customWidth="1"/>
    <col min="13321" max="13321" width="20.85546875" style="422" customWidth="1"/>
    <col min="13322" max="13323" width="20.28515625" style="422" customWidth="1"/>
    <col min="13324" max="13324" width="25.28515625" style="422" customWidth="1"/>
    <col min="13325" max="13325" width="8.85546875" style="422" customWidth="1"/>
    <col min="13326" max="13326" width="14.5703125" style="422" customWidth="1"/>
    <col min="13327" max="13327" width="11.28515625" style="422" customWidth="1"/>
    <col min="13328" max="13328" width="2" style="422" customWidth="1"/>
    <col min="13329" max="13329" width="39.140625" style="422" customWidth="1"/>
    <col min="13330" max="13330" width="23.140625" style="422" customWidth="1"/>
    <col min="13331" max="13331" width="18.42578125" style="422" customWidth="1"/>
    <col min="13332" max="13332" width="10.7109375" style="422" customWidth="1"/>
    <col min="13333" max="13572" width="9.140625" style="422"/>
    <col min="13573" max="13573" width="6.5703125" style="422" customWidth="1"/>
    <col min="13574" max="13574" width="38.5703125" style="422" customWidth="1"/>
    <col min="13575" max="13575" width="15.28515625" style="422" customWidth="1"/>
    <col min="13576" max="13576" width="6.85546875" style="422" customWidth="1"/>
    <col min="13577" max="13577" width="20.85546875" style="422" customWidth="1"/>
    <col min="13578" max="13579" width="20.28515625" style="422" customWidth="1"/>
    <col min="13580" max="13580" width="25.28515625" style="422" customWidth="1"/>
    <col min="13581" max="13581" width="8.85546875" style="422" customWidth="1"/>
    <col min="13582" max="13582" width="14.5703125" style="422" customWidth="1"/>
    <col min="13583" max="13583" width="11.28515625" style="422" customWidth="1"/>
    <col min="13584" max="13584" width="2" style="422" customWidth="1"/>
    <col min="13585" max="13585" width="39.140625" style="422" customWidth="1"/>
    <col min="13586" max="13586" width="23.140625" style="422" customWidth="1"/>
    <col min="13587" max="13587" width="18.42578125" style="422" customWidth="1"/>
    <col min="13588" max="13588" width="10.7109375" style="422" customWidth="1"/>
    <col min="13589" max="13828" width="9.140625" style="422"/>
    <col min="13829" max="13829" width="6.5703125" style="422" customWidth="1"/>
    <col min="13830" max="13830" width="38.5703125" style="422" customWidth="1"/>
    <col min="13831" max="13831" width="15.28515625" style="422" customWidth="1"/>
    <col min="13832" max="13832" width="6.85546875" style="422" customWidth="1"/>
    <col min="13833" max="13833" width="20.85546875" style="422" customWidth="1"/>
    <col min="13834" max="13835" width="20.28515625" style="422" customWidth="1"/>
    <col min="13836" max="13836" width="25.28515625" style="422" customWidth="1"/>
    <col min="13837" max="13837" width="8.85546875" style="422" customWidth="1"/>
    <col min="13838" max="13838" width="14.5703125" style="422" customWidth="1"/>
    <col min="13839" max="13839" width="11.28515625" style="422" customWidth="1"/>
    <col min="13840" max="13840" width="2" style="422" customWidth="1"/>
    <col min="13841" max="13841" width="39.140625" style="422" customWidth="1"/>
    <col min="13842" max="13842" width="23.140625" style="422" customWidth="1"/>
    <col min="13843" max="13843" width="18.42578125" style="422" customWidth="1"/>
    <col min="13844" max="13844" width="10.7109375" style="422" customWidth="1"/>
    <col min="13845" max="14084" width="9.140625" style="422"/>
    <col min="14085" max="14085" width="6.5703125" style="422" customWidth="1"/>
    <col min="14086" max="14086" width="38.5703125" style="422" customWidth="1"/>
    <col min="14087" max="14087" width="15.28515625" style="422" customWidth="1"/>
    <col min="14088" max="14088" width="6.85546875" style="422" customWidth="1"/>
    <col min="14089" max="14089" width="20.85546875" style="422" customWidth="1"/>
    <col min="14090" max="14091" width="20.28515625" style="422" customWidth="1"/>
    <col min="14092" max="14092" width="25.28515625" style="422" customWidth="1"/>
    <col min="14093" max="14093" width="8.85546875" style="422" customWidth="1"/>
    <col min="14094" max="14094" width="14.5703125" style="422" customWidth="1"/>
    <col min="14095" max="14095" width="11.28515625" style="422" customWidth="1"/>
    <col min="14096" max="14096" width="2" style="422" customWidth="1"/>
    <col min="14097" max="14097" width="39.140625" style="422" customWidth="1"/>
    <col min="14098" max="14098" width="23.140625" style="422" customWidth="1"/>
    <col min="14099" max="14099" width="18.42578125" style="422" customWidth="1"/>
    <col min="14100" max="14100" width="10.7109375" style="422" customWidth="1"/>
    <col min="14101" max="14340" width="9.140625" style="422"/>
    <col min="14341" max="14341" width="6.5703125" style="422" customWidth="1"/>
    <col min="14342" max="14342" width="38.5703125" style="422" customWidth="1"/>
    <col min="14343" max="14343" width="15.28515625" style="422" customWidth="1"/>
    <col min="14344" max="14344" width="6.85546875" style="422" customWidth="1"/>
    <col min="14345" max="14345" width="20.85546875" style="422" customWidth="1"/>
    <col min="14346" max="14347" width="20.28515625" style="422" customWidth="1"/>
    <col min="14348" max="14348" width="25.28515625" style="422" customWidth="1"/>
    <col min="14349" max="14349" width="8.85546875" style="422" customWidth="1"/>
    <col min="14350" max="14350" width="14.5703125" style="422" customWidth="1"/>
    <col min="14351" max="14351" width="11.28515625" style="422" customWidth="1"/>
    <col min="14352" max="14352" width="2" style="422" customWidth="1"/>
    <col min="14353" max="14353" width="39.140625" style="422" customWidth="1"/>
    <col min="14354" max="14354" width="23.140625" style="422" customWidth="1"/>
    <col min="14355" max="14355" width="18.42578125" style="422" customWidth="1"/>
    <col min="14356" max="14356" width="10.7109375" style="422" customWidth="1"/>
    <col min="14357" max="14596" width="9.140625" style="422"/>
    <col min="14597" max="14597" width="6.5703125" style="422" customWidth="1"/>
    <col min="14598" max="14598" width="38.5703125" style="422" customWidth="1"/>
    <col min="14599" max="14599" width="15.28515625" style="422" customWidth="1"/>
    <col min="14600" max="14600" width="6.85546875" style="422" customWidth="1"/>
    <col min="14601" max="14601" width="20.85546875" style="422" customWidth="1"/>
    <col min="14602" max="14603" width="20.28515625" style="422" customWidth="1"/>
    <col min="14604" max="14604" width="25.28515625" style="422" customWidth="1"/>
    <col min="14605" max="14605" width="8.85546875" style="422" customWidth="1"/>
    <col min="14606" max="14606" width="14.5703125" style="422" customWidth="1"/>
    <col min="14607" max="14607" width="11.28515625" style="422" customWidth="1"/>
    <col min="14608" max="14608" width="2" style="422" customWidth="1"/>
    <col min="14609" max="14609" width="39.140625" style="422" customWidth="1"/>
    <col min="14610" max="14610" width="23.140625" style="422" customWidth="1"/>
    <col min="14611" max="14611" width="18.42578125" style="422" customWidth="1"/>
    <col min="14612" max="14612" width="10.7109375" style="422" customWidth="1"/>
    <col min="14613" max="14852" width="9.140625" style="422"/>
    <col min="14853" max="14853" width="6.5703125" style="422" customWidth="1"/>
    <col min="14854" max="14854" width="38.5703125" style="422" customWidth="1"/>
    <col min="14855" max="14855" width="15.28515625" style="422" customWidth="1"/>
    <col min="14856" max="14856" width="6.85546875" style="422" customWidth="1"/>
    <col min="14857" max="14857" width="20.85546875" style="422" customWidth="1"/>
    <col min="14858" max="14859" width="20.28515625" style="422" customWidth="1"/>
    <col min="14860" max="14860" width="25.28515625" style="422" customWidth="1"/>
    <col min="14861" max="14861" width="8.85546875" style="422" customWidth="1"/>
    <col min="14862" max="14862" width="14.5703125" style="422" customWidth="1"/>
    <col min="14863" max="14863" width="11.28515625" style="422" customWidth="1"/>
    <col min="14864" max="14864" width="2" style="422" customWidth="1"/>
    <col min="14865" max="14865" width="39.140625" style="422" customWidth="1"/>
    <col min="14866" max="14866" width="23.140625" style="422" customWidth="1"/>
    <col min="14867" max="14867" width="18.42578125" style="422" customWidth="1"/>
    <col min="14868" max="14868" width="10.7109375" style="422" customWidth="1"/>
    <col min="14869" max="15108" width="9.140625" style="422"/>
    <col min="15109" max="15109" width="6.5703125" style="422" customWidth="1"/>
    <col min="15110" max="15110" width="38.5703125" style="422" customWidth="1"/>
    <col min="15111" max="15111" width="15.28515625" style="422" customWidth="1"/>
    <col min="15112" max="15112" width="6.85546875" style="422" customWidth="1"/>
    <col min="15113" max="15113" width="20.85546875" style="422" customWidth="1"/>
    <col min="15114" max="15115" width="20.28515625" style="422" customWidth="1"/>
    <col min="15116" max="15116" width="25.28515625" style="422" customWidth="1"/>
    <col min="15117" max="15117" width="8.85546875" style="422" customWidth="1"/>
    <col min="15118" max="15118" width="14.5703125" style="422" customWidth="1"/>
    <col min="15119" max="15119" width="11.28515625" style="422" customWidth="1"/>
    <col min="15120" max="15120" width="2" style="422" customWidth="1"/>
    <col min="15121" max="15121" width="39.140625" style="422" customWidth="1"/>
    <col min="15122" max="15122" width="23.140625" style="422" customWidth="1"/>
    <col min="15123" max="15123" width="18.42578125" style="422" customWidth="1"/>
    <col min="15124" max="15124" width="10.7109375" style="422" customWidth="1"/>
    <col min="15125" max="15364" width="9.140625" style="422"/>
    <col min="15365" max="15365" width="6.5703125" style="422" customWidth="1"/>
    <col min="15366" max="15366" width="38.5703125" style="422" customWidth="1"/>
    <col min="15367" max="15367" width="15.28515625" style="422" customWidth="1"/>
    <col min="15368" max="15368" width="6.85546875" style="422" customWidth="1"/>
    <col min="15369" max="15369" width="20.85546875" style="422" customWidth="1"/>
    <col min="15370" max="15371" width="20.28515625" style="422" customWidth="1"/>
    <col min="15372" max="15372" width="25.28515625" style="422" customWidth="1"/>
    <col min="15373" max="15373" width="8.85546875" style="422" customWidth="1"/>
    <col min="15374" max="15374" width="14.5703125" style="422" customWidth="1"/>
    <col min="15375" max="15375" width="11.28515625" style="422" customWidth="1"/>
    <col min="15376" max="15376" width="2" style="422" customWidth="1"/>
    <col min="15377" max="15377" width="39.140625" style="422" customWidth="1"/>
    <col min="15378" max="15378" width="23.140625" style="422" customWidth="1"/>
    <col min="15379" max="15379" width="18.42578125" style="422" customWidth="1"/>
    <col min="15380" max="15380" width="10.7109375" style="422" customWidth="1"/>
    <col min="15381" max="15620" width="9.140625" style="422"/>
    <col min="15621" max="15621" width="6.5703125" style="422" customWidth="1"/>
    <col min="15622" max="15622" width="38.5703125" style="422" customWidth="1"/>
    <col min="15623" max="15623" width="15.28515625" style="422" customWidth="1"/>
    <col min="15624" max="15624" width="6.85546875" style="422" customWidth="1"/>
    <col min="15625" max="15625" width="20.85546875" style="422" customWidth="1"/>
    <col min="15626" max="15627" width="20.28515625" style="422" customWidth="1"/>
    <col min="15628" max="15628" width="25.28515625" style="422" customWidth="1"/>
    <col min="15629" max="15629" width="8.85546875" style="422" customWidth="1"/>
    <col min="15630" max="15630" width="14.5703125" style="422" customWidth="1"/>
    <col min="15631" max="15631" width="11.28515625" style="422" customWidth="1"/>
    <col min="15632" max="15632" width="2" style="422" customWidth="1"/>
    <col min="15633" max="15633" width="39.140625" style="422" customWidth="1"/>
    <col min="15634" max="15634" width="23.140625" style="422" customWidth="1"/>
    <col min="15635" max="15635" width="18.42578125" style="422" customWidth="1"/>
    <col min="15636" max="15636" width="10.7109375" style="422" customWidth="1"/>
    <col min="15637" max="15876" width="9.140625" style="422"/>
    <col min="15877" max="15877" width="6.5703125" style="422" customWidth="1"/>
    <col min="15878" max="15878" width="38.5703125" style="422" customWidth="1"/>
    <col min="15879" max="15879" width="15.28515625" style="422" customWidth="1"/>
    <col min="15880" max="15880" width="6.85546875" style="422" customWidth="1"/>
    <col min="15881" max="15881" width="20.85546875" style="422" customWidth="1"/>
    <col min="15882" max="15883" width="20.28515625" style="422" customWidth="1"/>
    <col min="15884" max="15884" width="25.28515625" style="422" customWidth="1"/>
    <col min="15885" max="15885" width="8.85546875" style="422" customWidth="1"/>
    <col min="15886" max="15886" width="14.5703125" style="422" customWidth="1"/>
    <col min="15887" max="15887" width="11.28515625" style="422" customWidth="1"/>
    <col min="15888" max="15888" width="2" style="422" customWidth="1"/>
    <col min="15889" max="15889" width="39.140625" style="422" customWidth="1"/>
    <col min="15890" max="15890" width="23.140625" style="422" customWidth="1"/>
    <col min="15891" max="15891" width="18.42578125" style="422" customWidth="1"/>
    <col min="15892" max="15892" width="10.7109375" style="422" customWidth="1"/>
    <col min="15893" max="16132" width="9.140625" style="422"/>
    <col min="16133" max="16133" width="6.5703125" style="422" customWidth="1"/>
    <col min="16134" max="16134" width="38.5703125" style="422" customWidth="1"/>
    <col min="16135" max="16135" width="15.28515625" style="422" customWidth="1"/>
    <col min="16136" max="16136" width="6.85546875" style="422" customWidth="1"/>
    <col min="16137" max="16137" width="20.85546875" style="422" customWidth="1"/>
    <col min="16138" max="16139" width="20.28515625" style="422" customWidth="1"/>
    <col min="16140" max="16140" width="25.28515625" style="422" customWidth="1"/>
    <col min="16141" max="16141" width="8.85546875" style="422" customWidth="1"/>
    <col min="16142" max="16142" width="14.5703125" style="422" customWidth="1"/>
    <col min="16143" max="16143" width="11.28515625" style="422" customWidth="1"/>
    <col min="16144" max="16144" width="2" style="422" customWidth="1"/>
    <col min="16145" max="16145" width="39.140625" style="422" customWidth="1"/>
    <col min="16146" max="16146" width="23.140625" style="422" customWidth="1"/>
    <col min="16147" max="16147" width="18.42578125" style="422" customWidth="1"/>
    <col min="16148" max="16148" width="10.7109375" style="422" customWidth="1"/>
    <col min="16149" max="16384" width="9.140625" style="422"/>
  </cols>
  <sheetData>
    <row r="1" spans="2:19" ht="19.5" thickBot="1">
      <c r="B1" s="419"/>
      <c r="C1" s="420"/>
      <c r="D1" s="420"/>
      <c r="E1" s="420"/>
      <c r="F1" s="421"/>
      <c r="G1" s="421"/>
      <c r="H1" s="421"/>
      <c r="I1" s="479"/>
      <c r="J1" s="479"/>
      <c r="K1" s="479"/>
    </row>
    <row r="2" spans="2:19" s="424" customFormat="1" ht="30" customHeight="1">
      <c r="B2" s="1301" t="s">
        <v>834</v>
      </c>
      <c r="C2" s="1302"/>
      <c r="D2" s="1302"/>
      <c r="E2" s="1303"/>
      <c r="F2" s="1283" t="s">
        <v>723</v>
      </c>
      <c r="G2" s="1284"/>
      <c r="H2" s="1284"/>
      <c r="I2" s="1284"/>
      <c r="J2" s="1284"/>
      <c r="K2" s="1285"/>
      <c r="N2" s="423"/>
    </row>
    <row r="3" spans="2:19" s="424" customFormat="1" ht="30" customHeight="1">
      <c r="B3" s="1304"/>
      <c r="C3" s="1305"/>
      <c r="D3" s="1305"/>
      <c r="E3" s="1306"/>
      <c r="F3" s="1286" t="s">
        <v>704</v>
      </c>
      <c r="G3" s="1287"/>
      <c r="H3" s="1287"/>
      <c r="I3" s="1287"/>
      <c r="J3" s="1287"/>
      <c r="K3" s="1288"/>
      <c r="N3" s="423"/>
    </row>
    <row r="4" spans="2:19" s="424" customFormat="1" ht="47.25" customHeight="1">
      <c r="B4" s="1304"/>
      <c r="C4" s="1305"/>
      <c r="D4" s="1305"/>
      <c r="E4" s="1306"/>
      <c r="F4" s="1289" t="s">
        <v>1101</v>
      </c>
      <c r="G4" s="1290"/>
      <c r="H4" s="1290"/>
      <c r="I4" s="1290"/>
      <c r="J4" s="1290"/>
      <c r="K4" s="1291"/>
      <c r="N4" s="425"/>
    </row>
    <row r="5" spans="2:19" s="424" customFormat="1" ht="30" customHeight="1">
      <c r="B5" s="1304"/>
      <c r="C5" s="1305"/>
      <c r="D5" s="1305"/>
      <c r="E5" s="1306"/>
      <c r="F5" s="1310"/>
      <c r="G5" s="426"/>
      <c r="H5" s="426"/>
      <c r="I5" s="426"/>
      <c r="J5" s="426" t="s">
        <v>1515</v>
      </c>
      <c r="K5" s="776" t="s">
        <v>1514</v>
      </c>
      <c r="N5" s="425"/>
    </row>
    <row r="6" spans="2:19" s="424" customFormat="1" ht="52.5" customHeight="1" thickBot="1">
      <c r="B6" s="1307"/>
      <c r="C6" s="1308"/>
      <c r="D6" s="1308"/>
      <c r="E6" s="1309"/>
      <c r="F6" s="1311"/>
      <c r="G6" s="427"/>
      <c r="H6" s="427"/>
      <c r="I6" s="427"/>
      <c r="J6" s="427"/>
      <c r="K6" s="777">
        <v>0.25219999999999998</v>
      </c>
      <c r="N6" s="428"/>
    </row>
    <row r="7" spans="2:19" s="424" customFormat="1" ht="30" customHeight="1">
      <c r="B7" s="1317" t="s">
        <v>705</v>
      </c>
      <c r="C7" s="1319" t="s">
        <v>820</v>
      </c>
      <c r="D7" s="1319" t="s">
        <v>821</v>
      </c>
      <c r="E7" s="429"/>
      <c r="F7" s="1321" t="s">
        <v>830</v>
      </c>
      <c r="G7" s="1322"/>
      <c r="H7" s="1322"/>
      <c r="I7" s="833"/>
      <c r="J7" s="833"/>
      <c r="K7" s="833"/>
      <c r="N7" s="428"/>
      <c r="R7" s="1315"/>
      <c r="S7" s="1316"/>
    </row>
    <row r="8" spans="2:19" s="424" customFormat="1" ht="30" customHeight="1" thickBot="1">
      <c r="B8" s="1318"/>
      <c r="C8" s="1320"/>
      <c r="D8" s="1320"/>
      <c r="E8" s="430"/>
      <c r="F8" s="431" t="s">
        <v>831</v>
      </c>
      <c r="G8" s="432" t="s">
        <v>832</v>
      </c>
      <c r="H8" s="432" t="s">
        <v>833</v>
      </c>
      <c r="I8" s="899" t="s">
        <v>1582</v>
      </c>
      <c r="J8" s="899" t="s">
        <v>1583</v>
      </c>
      <c r="K8" s="899" t="s">
        <v>1584</v>
      </c>
      <c r="N8" s="428"/>
      <c r="R8" s="1315"/>
      <c r="S8" s="1315"/>
    </row>
    <row r="9" spans="2:19" s="436" customFormat="1" ht="30" customHeight="1">
      <c r="B9" s="1295" t="s">
        <v>4</v>
      </c>
      <c r="C9" s="1298" t="s">
        <v>829</v>
      </c>
      <c r="D9" s="1292">
        <f>RESUMO!E2</f>
        <v>124845.97964429139</v>
      </c>
      <c r="E9" s="433" t="s">
        <v>822</v>
      </c>
      <c r="F9" s="434">
        <v>0.2</v>
      </c>
      <c r="G9" s="435">
        <v>0.3</v>
      </c>
      <c r="H9" s="435">
        <v>0.5</v>
      </c>
      <c r="I9" s="834"/>
      <c r="J9" s="834"/>
      <c r="K9" s="834"/>
      <c r="L9" s="436">
        <f t="shared" ref="L9:L36" si="0">SUM(F9:H9)</f>
        <v>1</v>
      </c>
      <c r="N9" s="437"/>
      <c r="Q9" s="1313"/>
      <c r="R9" s="1314"/>
      <c r="S9" s="1312"/>
    </row>
    <row r="10" spans="2:19" s="441" customFormat="1" ht="30" customHeight="1">
      <c r="B10" s="1296"/>
      <c r="C10" s="1299"/>
      <c r="D10" s="1293"/>
      <c r="E10" s="438" t="s">
        <v>828</v>
      </c>
      <c r="F10" s="439"/>
      <c r="G10" s="440"/>
      <c r="H10" s="440"/>
      <c r="I10" s="835"/>
      <c r="J10" s="835"/>
      <c r="K10" s="835"/>
      <c r="L10" s="436">
        <f t="shared" si="0"/>
        <v>0</v>
      </c>
      <c r="M10" s="436"/>
      <c r="N10" s="442"/>
      <c r="Q10" s="1313"/>
      <c r="R10" s="1314"/>
      <c r="S10" s="1312"/>
    </row>
    <row r="11" spans="2:19" s="436" customFormat="1" ht="30" customHeight="1" thickBot="1">
      <c r="B11" s="1297"/>
      <c r="C11" s="1300"/>
      <c r="D11" s="1294"/>
      <c r="E11" s="443" t="s">
        <v>823</v>
      </c>
      <c r="F11" s="444">
        <f>TRUNC(+F9*$D$9,2)</f>
        <v>24969.19</v>
      </c>
      <c r="G11" s="444">
        <f>TRUNC(+G9*$D$9,2)</f>
        <v>37453.79</v>
      </c>
      <c r="H11" s="444">
        <f>TRUNC(+H9*$D$9,2)</f>
        <v>62422.98</v>
      </c>
      <c r="I11" s="836"/>
      <c r="J11" s="836"/>
      <c r="K11" s="836"/>
      <c r="L11" s="436">
        <f t="shared" si="0"/>
        <v>124845.95999999999</v>
      </c>
      <c r="N11" s="445"/>
      <c r="Q11" s="1313"/>
      <c r="R11" s="1314"/>
      <c r="S11" s="1312"/>
    </row>
    <row r="12" spans="2:19" s="436" customFormat="1" ht="30" customHeight="1">
      <c r="B12" s="1295" t="s">
        <v>11</v>
      </c>
      <c r="C12" s="1298" t="str">
        <f>RESUMO!B3</f>
        <v xml:space="preserve"> CRECHE VOVÔ PESSOINHA </v>
      </c>
      <c r="D12" s="1292">
        <f>RESUMO!E3</f>
        <v>89483.340141289053</v>
      </c>
      <c r="E12" s="433" t="s">
        <v>822</v>
      </c>
      <c r="F12" s="434">
        <v>0.2</v>
      </c>
      <c r="G12" s="435">
        <v>0.3</v>
      </c>
      <c r="H12" s="435">
        <v>0.5</v>
      </c>
      <c r="I12" s="834"/>
      <c r="J12" s="834"/>
      <c r="K12" s="834"/>
      <c r="L12" s="436">
        <f t="shared" si="0"/>
        <v>1</v>
      </c>
      <c r="N12" s="437"/>
      <c r="Q12" s="1313"/>
      <c r="R12" s="1314"/>
      <c r="S12" s="1312"/>
    </row>
    <row r="13" spans="2:19" s="436" customFormat="1" ht="30" customHeight="1">
      <c r="B13" s="1296"/>
      <c r="C13" s="1299"/>
      <c r="D13" s="1293"/>
      <c r="E13" s="438" t="s">
        <v>828</v>
      </c>
      <c r="F13" s="439"/>
      <c r="G13" s="440"/>
      <c r="H13" s="440"/>
      <c r="I13" s="835"/>
      <c r="J13" s="835"/>
      <c r="K13" s="835"/>
      <c r="L13" s="436">
        <f t="shared" si="0"/>
        <v>0</v>
      </c>
      <c r="N13" s="442"/>
      <c r="O13" s="441"/>
      <c r="Q13" s="1313"/>
      <c r="R13" s="1314"/>
      <c r="S13" s="1312"/>
    </row>
    <row r="14" spans="2:19" s="436" customFormat="1" ht="30" customHeight="1" thickBot="1">
      <c r="B14" s="1297"/>
      <c r="C14" s="1300"/>
      <c r="D14" s="1294"/>
      <c r="E14" s="443" t="s">
        <v>823</v>
      </c>
      <c r="F14" s="444">
        <f>TRUNC(+F12*$D$12,2)+0.01</f>
        <v>17896.669999999998</v>
      </c>
      <c r="G14" s="444">
        <f>TRUNC(+G12*$D$12,2)+0.01</f>
        <v>26845.01</v>
      </c>
      <c r="H14" s="444">
        <f>TRUNC(+H12*$D$12,2)+0.01</f>
        <v>44741.68</v>
      </c>
      <c r="I14" s="836"/>
      <c r="J14" s="836"/>
      <c r="K14" s="836"/>
      <c r="L14" s="436">
        <f t="shared" si="0"/>
        <v>89483.359999999986</v>
      </c>
      <c r="N14" s="445"/>
      <c r="Q14" s="1313"/>
      <c r="R14" s="1314"/>
      <c r="S14" s="1312"/>
    </row>
    <row r="15" spans="2:19" s="436" customFormat="1" ht="30" customHeight="1">
      <c r="B15" s="1295" t="s">
        <v>13</v>
      </c>
      <c r="C15" s="1298" t="str">
        <f>RESUMO!B4</f>
        <v xml:space="preserve"> ESCOLA LAFAYTE NUNES MACHADO</v>
      </c>
      <c r="D15" s="1292">
        <f>RESUMO!E4</f>
        <v>171839.02374503337</v>
      </c>
      <c r="E15" s="433" t="s">
        <v>822</v>
      </c>
      <c r="F15" s="446">
        <v>0.2</v>
      </c>
      <c r="G15" s="447">
        <v>0.3</v>
      </c>
      <c r="H15" s="447">
        <v>0.5</v>
      </c>
      <c r="I15" s="834"/>
      <c r="J15" s="834"/>
      <c r="K15" s="834"/>
      <c r="L15" s="436">
        <f t="shared" si="0"/>
        <v>1</v>
      </c>
      <c r="N15" s="437"/>
      <c r="Q15" s="1313"/>
      <c r="R15" s="1314"/>
      <c r="S15" s="1312"/>
    </row>
    <row r="16" spans="2:19" s="436" customFormat="1" ht="30" customHeight="1">
      <c r="B16" s="1296"/>
      <c r="C16" s="1299"/>
      <c r="D16" s="1293"/>
      <c r="E16" s="438" t="s">
        <v>828</v>
      </c>
      <c r="F16" s="439"/>
      <c r="G16" s="448"/>
      <c r="H16" s="448"/>
      <c r="I16" s="836"/>
      <c r="J16" s="836"/>
      <c r="K16" s="836"/>
      <c r="L16" s="436">
        <f t="shared" si="0"/>
        <v>0</v>
      </c>
      <c r="N16" s="442"/>
      <c r="O16" s="441"/>
      <c r="Q16" s="1313"/>
      <c r="R16" s="1314"/>
      <c r="S16" s="1312"/>
    </row>
    <row r="17" spans="2:19" s="436" customFormat="1" ht="30" customHeight="1" thickBot="1">
      <c r="B17" s="1297"/>
      <c r="C17" s="1300"/>
      <c r="D17" s="1294"/>
      <c r="E17" s="443" t="s">
        <v>823</v>
      </c>
      <c r="F17" s="444">
        <f>TRUNC(+F15*$D$15,2)</f>
        <v>34367.800000000003</v>
      </c>
      <c r="G17" s="444">
        <f>TRUNC(+G15*$D$15,2)</f>
        <v>51551.7</v>
      </c>
      <c r="H17" s="444">
        <f>TRUNC(+H15*$D$15,2)</f>
        <v>85919.51</v>
      </c>
      <c r="I17" s="836"/>
      <c r="J17" s="836"/>
      <c r="K17" s="836"/>
      <c r="L17" s="436">
        <f t="shared" si="0"/>
        <v>171839.01</v>
      </c>
      <c r="N17" s="445"/>
      <c r="Q17" s="1313"/>
      <c r="R17" s="1314"/>
      <c r="S17" s="1312"/>
    </row>
    <row r="18" spans="2:19" s="436" customFormat="1" ht="30" customHeight="1">
      <c r="B18" s="1295" t="s">
        <v>197</v>
      </c>
      <c r="C18" s="1298" t="str">
        <f>RESUMO!B5</f>
        <v xml:space="preserve"> ESCOLA PASCOAL CARRAZZONI</v>
      </c>
      <c r="D18" s="1292">
        <f>RESUMO!E5</f>
        <v>84507.20522152356</v>
      </c>
      <c r="E18" s="433" t="s">
        <v>822</v>
      </c>
      <c r="F18" s="446">
        <v>0.2</v>
      </c>
      <c r="G18" s="446">
        <v>0.3</v>
      </c>
      <c r="H18" s="446">
        <v>0.5</v>
      </c>
      <c r="I18" s="834"/>
      <c r="J18" s="834"/>
      <c r="K18" s="834"/>
      <c r="L18" s="436">
        <f t="shared" si="0"/>
        <v>1</v>
      </c>
      <c r="N18" s="445"/>
      <c r="Q18" s="480"/>
      <c r="R18" s="481"/>
      <c r="S18" s="482"/>
    </row>
    <row r="19" spans="2:19" s="436" customFormat="1" ht="30" customHeight="1">
      <c r="B19" s="1296"/>
      <c r="C19" s="1299"/>
      <c r="D19" s="1293"/>
      <c r="E19" s="438" t="s">
        <v>828</v>
      </c>
      <c r="F19" s="439"/>
      <c r="G19" s="439"/>
      <c r="H19" s="439"/>
      <c r="I19" s="835"/>
      <c r="J19" s="835"/>
      <c r="K19" s="835"/>
      <c r="L19" s="436">
        <f t="shared" si="0"/>
        <v>0</v>
      </c>
      <c r="N19" s="445"/>
      <c r="Q19" s="480"/>
      <c r="R19" s="481"/>
      <c r="S19" s="482"/>
    </row>
    <row r="20" spans="2:19" s="436" customFormat="1" ht="30" customHeight="1" thickBot="1">
      <c r="B20" s="1297"/>
      <c r="C20" s="1300"/>
      <c r="D20" s="1294"/>
      <c r="E20" s="443" t="s">
        <v>823</v>
      </c>
      <c r="F20" s="444">
        <f>TRUNC(+F18*$D$18,2)</f>
        <v>16901.439999999999</v>
      </c>
      <c r="G20" s="444">
        <f>TRUNC(+G18*$D$18,2)</f>
        <v>25352.16</v>
      </c>
      <c r="H20" s="444">
        <f>TRUNC(+H18*$D$18,2)</f>
        <v>42253.599999999999</v>
      </c>
      <c r="I20" s="836"/>
      <c r="J20" s="836"/>
      <c r="K20" s="836"/>
      <c r="L20" s="436">
        <f t="shared" si="0"/>
        <v>84507.199999999997</v>
      </c>
      <c r="N20" s="445"/>
      <c r="Q20" s="480"/>
      <c r="R20" s="481"/>
      <c r="S20" s="482"/>
    </row>
    <row r="21" spans="2:19" s="436" customFormat="1" ht="30" customHeight="1">
      <c r="B21" s="1295" t="s">
        <v>199</v>
      </c>
      <c r="C21" s="1298" t="str">
        <f>RESUMO!B6</f>
        <v xml:space="preserve"> ESCOLA MUNICIPAL DE QUEBEC - COBERTURA E AMPLIAÇÃO DE QUADRA PEQUENA COM ARQUIBANCADA</v>
      </c>
      <c r="D21" s="1292">
        <f>RESUMO!E6</f>
        <v>952090.42156993656</v>
      </c>
      <c r="E21" s="433" t="s">
        <v>822</v>
      </c>
      <c r="F21" s="446">
        <v>0.1</v>
      </c>
      <c r="G21" s="446">
        <v>0.2</v>
      </c>
      <c r="H21" s="446">
        <v>0.2</v>
      </c>
      <c r="I21" s="834">
        <v>0.2</v>
      </c>
      <c r="J21" s="834">
        <v>0.2</v>
      </c>
      <c r="K21" s="834">
        <v>0.1</v>
      </c>
      <c r="L21" s="436">
        <f>SUM(F21:K21)</f>
        <v>0.99999999999999989</v>
      </c>
      <c r="N21" s="445"/>
      <c r="Q21" s="480"/>
      <c r="R21" s="481"/>
      <c r="S21" s="482"/>
    </row>
    <row r="22" spans="2:19" s="436" customFormat="1" ht="30" customHeight="1">
      <c r="B22" s="1296"/>
      <c r="C22" s="1299"/>
      <c r="D22" s="1293"/>
      <c r="E22" s="438" t="s">
        <v>828</v>
      </c>
      <c r="F22" s="439"/>
      <c r="G22" s="439"/>
      <c r="H22" s="439"/>
      <c r="I22" s="439"/>
      <c r="J22" s="439"/>
      <c r="K22" s="439"/>
      <c r="L22" s="436">
        <f t="shared" si="0"/>
        <v>0</v>
      </c>
      <c r="N22" s="445"/>
      <c r="Q22" s="480"/>
      <c r="R22" s="481"/>
      <c r="S22" s="482"/>
    </row>
    <row r="23" spans="2:19" s="436" customFormat="1" ht="46.5" customHeight="1" thickBot="1">
      <c r="B23" s="1297"/>
      <c r="C23" s="1300"/>
      <c r="D23" s="1294"/>
      <c r="E23" s="443" t="s">
        <v>823</v>
      </c>
      <c r="F23" s="444">
        <f>TRUNC(+F21*$D$21,2)</f>
        <v>95209.04</v>
      </c>
      <c r="G23" s="444">
        <f>TRUNC(+G21*$D$21,2)</f>
        <v>190418.08</v>
      </c>
      <c r="H23" s="444">
        <f>TRUNC(+H21*$D$21,2)</f>
        <v>190418.08</v>
      </c>
      <c r="I23" s="444">
        <f t="shared" ref="I23:K23" si="1">TRUNC(+I21*$D$21,2)</f>
        <v>190418.08</v>
      </c>
      <c r="J23" s="444">
        <f t="shared" si="1"/>
        <v>190418.08</v>
      </c>
      <c r="K23" s="444">
        <f t="shared" si="1"/>
        <v>95209.04</v>
      </c>
      <c r="L23" s="436">
        <f t="shared" si="0"/>
        <v>476045.19999999995</v>
      </c>
      <c r="N23" s="445"/>
      <c r="Q23" s="480"/>
      <c r="R23" s="481"/>
      <c r="S23" s="482"/>
    </row>
    <row r="24" spans="2:19" s="436" customFormat="1" ht="46.5" customHeight="1">
      <c r="B24" s="1295" t="s">
        <v>158</v>
      </c>
      <c r="C24" s="1298" t="str">
        <f>RESUMO!B7</f>
        <v xml:space="preserve"> ESCOLA MUNICIPAL MOCINHA BARBALHO</v>
      </c>
      <c r="D24" s="1292">
        <f>RESUMO!E7</f>
        <v>44396.944242007085</v>
      </c>
      <c r="E24" s="433" t="s">
        <v>822</v>
      </c>
      <c r="F24" s="446">
        <v>0.2</v>
      </c>
      <c r="G24" s="446">
        <v>0.3</v>
      </c>
      <c r="H24" s="446">
        <v>0.5</v>
      </c>
      <c r="I24" s="834"/>
      <c r="J24" s="834"/>
      <c r="K24" s="834"/>
      <c r="L24" s="436">
        <f t="shared" si="0"/>
        <v>1</v>
      </c>
      <c r="N24" s="445"/>
      <c r="Q24" s="480"/>
      <c r="R24" s="481"/>
      <c r="S24" s="482"/>
    </row>
    <row r="25" spans="2:19" s="436" customFormat="1" ht="30" customHeight="1">
      <c r="B25" s="1296"/>
      <c r="C25" s="1299"/>
      <c r="D25" s="1293"/>
      <c r="E25" s="438" t="s">
        <v>828</v>
      </c>
      <c r="F25" s="439"/>
      <c r="G25" s="439"/>
      <c r="H25" s="439"/>
      <c r="I25" s="835"/>
      <c r="J25" s="835"/>
      <c r="K25" s="835"/>
      <c r="L25" s="436">
        <f t="shared" si="0"/>
        <v>0</v>
      </c>
      <c r="N25" s="445"/>
      <c r="Q25" s="480"/>
      <c r="R25" s="481"/>
      <c r="S25" s="482"/>
    </row>
    <row r="26" spans="2:19" s="436" customFormat="1" ht="30" customHeight="1" thickBot="1">
      <c r="B26" s="1297"/>
      <c r="C26" s="1300"/>
      <c r="D26" s="1294"/>
      <c r="E26" s="443" t="s">
        <v>823</v>
      </c>
      <c r="F26" s="444">
        <f>TRUNC(+F24*$D$24,2)</f>
        <v>8879.3799999999992</v>
      </c>
      <c r="G26" s="444">
        <f>TRUNC(+G24*$D$24,2)</f>
        <v>13319.08</v>
      </c>
      <c r="H26" s="444">
        <f>TRUNC(+H24*$D$24,2)</f>
        <v>22198.47</v>
      </c>
      <c r="I26" s="836"/>
      <c r="J26" s="836"/>
      <c r="K26" s="836"/>
      <c r="L26" s="436">
        <f t="shared" si="0"/>
        <v>44396.93</v>
      </c>
      <c r="N26" s="445"/>
      <c r="Q26" s="480"/>
      <c r="R26" s="481"/>
      <c r="S26" s="482"/>
    </row>
    <row r="27" spans="2:19" s="436" customFormat="1" ht="30" customHeight="1">
      <c r="B27" s="1295" t="s">
        <v>201</v>
      </c>
      <c r="C27" s="1298" t="s">
        <v>1123</v>
      </c>
      <c r="D27" s="1292">
        <f>RESUMO!E8</f>
        <v>241992.28819811763</v>
      </c>
      <c r="E27" s="433" t="s">
        <v>822</v>
      </c>
      <c r="F27" s="446">
        <v>0.2</v>
      </c>
      <c r="G27" s="446">
        <v>0.3</v>
      </c>
      <c r="H27" s="446">
        <v>0.5</v>
      </c>
      <c r="I27" s="834"/>
      <c r="J27" s="834"/>
      <c r="K27" s="834"/>
      <c r="N27" s="445"/>
      <c r="Q27" s="480"/>
      <c r="R27" s="481"/>
      <c r="S27" s="482"/>
    </row>
    <row r="28" spans="2:19" s="436" customFormat="1" ht="30" customHeight="1">
      <c r="B28" s="1296"/>
      <c r="C28" s="1299"/>
      <c r="D28" s="1293"/>
      <c r="E28" s="438" t="s">
        <v>828</v>
      </c>
      <c r="F28" s="439"/>
      <c r="G28" s="439"/>
      <c r="H28" s="439"/>
      <c r="I28" s="835"/>
      <c r="J28" s="835"/>
      <c r="K28" s="835"/>
      <c r="N28" s="445"/>
      <c r="Q28" s="480"/>
      <c r="R28" s="481"/>
      <c r="S28" s="482"/>
    </row>
    <row r="29" spans="2:19" s="436" customFormat="1" ht="30" customHeight="1" thickBot="1">
      <c r="B29" s="1297"/>
      <c r="C29" s="1300"/>
      <c r="D29" s="1294"/>
      <c r="E29" s="443" t="s">
        <v>823</v>
      </c>
      <c r="F29" s="444">
        <f>TRUNC(+F27*$D$27,2)</f>
        <v>48398.45</v>
      </c>
      <c r="G29" s="444">
        <f>TRUNC(+G27*$D$27,2)</f>
        <v>72597.679999999993</v>
      </c>
      <c r="H29" s="444">
        <f>TRUNC(+H27*$D$27,2)</f>
        <v>120996.14</v>
      </c>
      <c r="I29" s="836"/>
      <c r="J29" s="836"/>
      <c r="K29" s="836"/>
      <c r="N29" s="445"/>
      <c r="Q29" s="480"/>
      <c r="R29" s="481"/>
      <c r="S29" s="482"/>
    </row>
    <row r="30" spans="2:19" s="436" customFormat="1" ht="30" customHeight="1">
      <c r="B30" s="1295" t="s">
        <v>630</v>
      </c>
      <c r="C30" s="1298" t="str">
        <f>RESUMO!B9</f>
        <v>COLÉGIO  MUNICIPAL MONS. JULIO MARIA</v>
      </c>
      <c r="D30" s="1292">
        <f>RESUMO!E9</f>
        <v>289540.79952041357</v>
      </c>
      <c r="E30" s="433" t="s">
        <v>822</v>
      </c>
      <c r="F30" s="446">
        <v>0.2</v>
      </c>
      <c r="G30" s="446">
        <v>0.3</v>
      </c>
      <c r="H30" s="446">
        <v>0.5</v>
      </c>
      <c r="I30" s="834"/>
      <c r="J30" s="834"/>
      <c r="K30" s="834"/>
      <c r="N30" s="445"/>
      <c r="Q30" s="480"/>
      <c r="R30" s="481"/>
      <c r="S30" s="482"/>
    </row>
    <row r="31" spans="2:19" s="436" customFormat="1" ht="30" customHeight="1">
      <c r="B31" s="1296"/>
      <c r="C31" s="1299"/>
      <c r="D31" s="1293"/>
      <c r="E31" s="438" t="s">
        <v>828</v>
      </c>
      <c r="F31" s="439"/>
      <c r="G31" s="439"/>
      <c r="H31" s="439"/>
      <c r="I31" s="835"/>
      <c r="J31" s="835"/>
      <c r="K31" s="835"/>
      <c r="N31" s="445"/>
      <c r="Q31" s="480"/>
      <c r="R31" s="481"/>
      <c r="S31" s="482"/>
    </row>
    <row r="32" spans="2:19" s="436" customFormat="1" ht="30" customHeight="1" thickBot="1">
      <c r="B32" s="1297"/>
      <c r="C32" s="1300"/>
      <c r="D32" s="1294"/>
      <c r="E32" s="443" t="s">
        <v>823</v>
      </c>
      <c r="F32" s="444">
        <f>TRUNC(+F30*$D$30,2)</f>
        <v>57908.15</v>
      </c>
      <c r="G32" s="444">
        <f>TRUNC(+G30*$D$30,2)</f>
        <v>86862.23</v>
      </c>
      <c r="H32" s="444">
        <f>TRUNC(+H30*$D$30,2)</f>
        <v>144770.39000000001</v>
      </c>
      <c r="I32" s="836"/>
      <c r="J32" s="836"/>
      <c r="K32" s="836"/>
      <c r="N32" s="445"/>
      <c r="Q32" s="480"/>
      <c r="R32" s="481"/>
      <c r="S32" s="482"/>
    </row>
    <row r="33" spans="2:19" s="454" customFormat="1" ht="30" customHeight="1">
      <c r="B33" s="449"/>
      <c r="C33" s="450" t="s">
        <v>824</v>
      </c>
      <c r="D33" s="451"/>
      <c r="E33" s="452" t="s">
        <v>822</v>
      </c>
      <c r="F33" s="453">
        <f>F35/$D$36</f>
        <v>0.15236440141582869</v>
      </c>
      <c r="G33" s="453">
        <f t="shared" ref="G33:J33" si="2">G35/$D$36</f>
        <v>0.25236440630488571</v>
      </c>
      <c r="H33" s="453">
        <f t="shared" si="2"/>
        <v>0.35709324939105025</v>
      </c>
      <c r="I33" s="453">
        <f t="shared" si="2"/>
        <v>9.5271156685425337E-2</v>
      </c>
      <c r="J33" s="453">
        <f t="shared" si="2"/>
        <v>9.5271156685425337E-2</v>
      </c>
      <c r="K33" s="453">
        <f>K35/$D$36</f>
        <v>4.7635578342712669E-2</v>
      </c>
      <c r="L33" s="436">
        <f t="shared" si="0"/>
        <v>0.76182205711176465</v>
      </c>
      <c r="M33" s="436"/>
      <c r="N33" s="455"/>
      <c r="O33" s="436"/>
    </row>
    <row r="34" spans="2:19" s="454" customFormat="1" ht="30" customHeight="1" thickBot="1">
      <c r="B34" s="456"/>
      <c r="C34" s="457" t="s">
        <v>825</v>
      </c>
      <c r="D34" s="458"/>
      <c r="E34" s="459" t="s">
        <v>822</v>
      </c>
      <c r="F34" s="460">
        <f>F33</f>
        <v>0.15236440141582869</v>
      </c>
      <c r="G34" s="460">
        <f>F34+G33</f>
        <v>0.4047288077207144</v>
      </c>
      <c r="H34" s="460">
        <f>G34+H33</f>
        <v>0.76182205711176465</v>
      </c>
      <c r="I34" s="460">
        <f t="shared" ref="I34:K34" si="3">H34+I33</f>
        <v>0.85709321379718995</v>
      </c>
      <c r="J34" s="460">
        <f t="shared" si="3"/>
        <v>0.95236437048261524</v>
      </c>
      <c r="K34" s="460">
        <f t="shared" si="3"/>
        <v>0.99999994882532794</v>
      </c>
      <c r="L34" s="436">
        <f t="shared" si="0"/>
        <v>1.3189152662483077</v>
      </c>
      <c r="M34" s="436"/>
      <c r="N34" s="461"/>
      <c r="O34" s="436"/>
      <c r="R34" s="462">
        <f>SUM(R9:R17)</f>
        <v>0</v>
      </c>
      <c r="S34" s="462">
        <f>SUM(S9:S17)</f>
        <v>0</v>
      </c>
    </row>
    <row r="35" spans="2:19" s="436" customFormat="1" ht="46.5" customHeight="1" thickBot="1">
      <c r="B35" s="463"/>
      <c r="C35" s="464" t="s">
        <v>826</v>
      </c>
      <c r="D35" s="465"/>
      <c r="E35" s="466" t="s">
        <v>823</v>
      </c>
      <c r="F35" s="467">
        <f>SUM(F11,F14,F17,F20,F23,F26,F29+F32)</f>
        <v>304530.12</v>
      </c>
      <c r="G35" s="467">
        <f>SUM(G11,G14,G17,G20,G23,G26,G29+G32)</f>
        <v>504399.73</v>
      </c>
      <c r="H35" s="467">
        <f>SUM(H11,H14,H17,H20,H23,H26,H29+H32)</f>
        <v>713720.85</v>
      </c>
      <c r="I35" s="467">
        <f>SUM(I23)</f>
        <v>190418.08</v>
      </c>
      <c r="J35" s="467">
        <f t="shared" ref="J35:K35" si="4">SUM(J11,J14,J17,J20,J23,J26,J29+J32)</f>
        <v>190418.08</v>
      </c>
      <c r="K35" s="467">
        <f t="shared" si="4"/>
        <v>95209.04</v>
      </c>
      <c r="L35" s="436">
        <f t="shared" si="0"/>
        <v>1522650.7</v>
      </c>
      <c r="N35" s="423"/>
      <c r="R35" s="462"/>
      <c r="S35" s="462"/>
    </row>
    <row r="36" spans="2:19" s="436" customFormat="1" ht="63" customHeight="1" thickBot="1">
      <c r="B36" s="468"/>
      <c r="C36" s="469" t="s">
        <v>827</v>
      </c>
      <c r="D36" s="470">
        <f>SUM(D9:D32)</f>
        <v>1998696.0022826123</v>
      </c>
      <c r="E36" s="471" t="s">
        <v>823</v>
      </c>
      <c r="F36" s="472">
        <f>F35</f>
        <v>304530.12</v>
      </c>
      <c r="G36" s="472">
        <f>F36+G35</f>
        <v>808929.85</v>
      </c>
      <c r="H36" s="472">
        <f>G36+H35+0.06</f>
        <v>1522650.76</v>
      </c>
      <c r="I36" s="472">
        <f>H36+I35</f>
        <v>1713068.84</v>
      </c>
      <c r="J36" s="472">
        <f t="shared" ref="J36" si="5">I36+J35+0.06</f>
        <v>1903486.9800000002</v>
      </c>
      <c r="K36" s="472">
        <f>J36+K35-0.02</f>
        <v>1998696.0000000002</v>
      </c>
      <c r="L36" s="436">
        <f t="shared" si="0"/>
        <v>2636110.73</v>
      </c>
      <c r="N36" s="462"/>
      <c r="R36" s="473"/>
      <c r="S36" s="462"/>
    </row>
    <row r="37" spans="2:19">
      <c r="N37" s="475"/>
      <c r="R37" s="462"/>
    </row>
    <row r="39" spans="2:19" ht="19.5" thickBot="1">
      <c r="D39" s="476">
        <f>R34</f>
        <v>0</v>
      </c>
      <c r="G39" s="477"/>
      <c r="H39" s="477"/>
      <c r="I39" s="477"/>
      <c r="J39" s="477"/>
      <c r="K39" s="477"/>
      <c r="R39" s="462"/>
    </row>
    <row r="40" spans="2:19" s="423" customFormat="1">
      <c r="B40" s="474"/>
      <c r="C40" s="474"/>
      <c r="D40" s="478"/>
      <c r="E40" s="474"/>
      <c r="F40" s="422"/>
      <c r="G40" s="479"/>
      <c r="H40" s="479"/>
      <c r="I40" s="479"/>
      <c r="J40" s="479"/>
      <c r="K40" s="479"/>
      <c r="L40" s="422"/>
      <c r="M40" s="422"/>
      <c r="O40" s="422"/>
      <c r="P40" s="422"/>
      <c r="Q40" s="422"/>
      <c r="R40" s="422"/>
      <c r="S40" s="422"/>
    </row>
    <row r="41" spans="2:19" s="423" customFormat="1">
      <c r="B41" s="474"/>
      <c r="C41" s="474"/>
      <c r="D41" s="474"/>
      <c r="E41" s="474"/>
      <c r="F41" s="422"/>
      <c r="G41" s="479"/>
      <c r="H41" s="479"/>
      <c r="I41" s="479"/>
      <c r="J41" s="479"/>
      <c r="K41" s="479"/>
      <c r="L41" s="422"/>
      <c r="M41" s="422"/>
      <c r="O41" s="422"/>
      <c r="P41" s="422"/>
      <c r="Q41" s="422"/>
      <c r="R41" s="422"/>
      <c r="S41" s="422"/>
    </row>
    <row r="42" spans="2:19" s="423" customFormat="1">
      <c r="B42" s="474"/>
      <c r="C42" s="474"/>
      <c r="D42" s="474"/>
      <c r="E42" s="474"/>
      <c r="F42" s="422"/>
      <c r="G42" s="479"/>
      <c r="H42" s="479"/>
      <c r="I42" s="479"/>
      <c r="J42" s="479"/>
      <c r="K42" s="479"/>
      <c r="L42" s="422"/>
      <c r="M42" s="422"/>
      <c r="O42" s="422"/>
      <c r="P42" s="422"/>
      <c r="Q42" s="422"/>
      <c r="R42" s="422"/>
      <c r="S42" s="422"/>
    </row>
    <row r="43" spans="2:19" s="423" customFormat="1">
      <c r="B43" s="474"/>
      <c r="C43" s="474"/>
      <c r="D43" s="474"/>
      <c r="E43" s="474"/>
      <c r="F43" s="422"/>
      <c r="G43" s="479"/>
      <c r="H43" s="479"/>
      <c r="I43" s="479"/>
      <c r="J43" s="479"/>
      <c r="K43" s="479"/>
      <c r="L43" s="422"/>
      <c r="M43" s="422"/>
      <c r="O43" s="422"/>
      <c r="P43" s="422"/>
      <c r="Q43" s="422"/>
      <c r="R43" s="422"/>
      <c r="S43" s="422"/>
    </row>
    <row r="44" spans="2:19" s="423" customFormat="1">
      <c r="B44" s="474"/>
      <c r="C44" s="474"/>
      <c r="D44" s="474"/>
      <c r="E44" s="474"/>
      <c r="F44" s="422"/>
      <c r="G44" s="479"/>
      <c r="H44" s="479"/>
      <c r="I44" s="479"/>
      <c r="J44" s="479"/>
      <c r="K44" s="479"/>
      <c r="L44" s="422"/>
      <c r="M44" s="422"/>
      <c r="O44" s="422"/>
      <c r="P44" s="422"/>
      <c r="Q44" s="422"/>
      <c r="R44" s="422"/>
      <c r="S44" s="422"/>
    </row>
    <row r="45" spans="2:19" s="423" customFormat="1">
      <c r="B45" s="474"/>
      <c r="C45" s="474"/>
      <c r="D45" s="474"/>
      <c r="E45" s="474"/>
      <c r="F45" s="422"/>
      <c r="G45" s="422"/>
      <c r="H45" s="422"/>
      <c r="I45" s="422"/>
      <c r="J45" s="422"/>
      <c r="K45" s="422"/>
      <c r="L45" s="479"/>
      <c r="M45" s="479"/>
      <c r="O45" s="422"/>
      <c r="P45" s="422"/>
      <c r="Q45" s="422"/>
      <c r="R45" s="422"/>
      <c r="S45" s="422"/>
    </row>
    <row r="46" spans="2:19" s="423" customFormat="1">
      <c r="B46" s="474"/>
      <c r="C46" s="474"/>
      <c r="D46" s="474"/>
      <c r="E46" s="474"/>
      <c r="F46" s="422"/>
      <c r="G46" s="422"/>
      <c r="H46" s="422"/>
      <c r="I46" s="422"/>
      <c r="J46" s="422"/>
      <c r="K46" s="422"/>
      <c r="L46" s="479"/>
      <c r="M46" s="479"/>
      <c r="O46" s="422"/>
      <c r="P46" s="422"/>
      <c r="Q46" s="422"/>
      <c r="R46" s="422"/>
      <c r="S46" s="422"/>
    </row>
    <row r="47" spans="2:19" s="423" customFormat="1">
      <c r="B47" s="474"/>
      <c r="C47" s="474"/>
      <c r="D47" s="474"/>
      <c r="E47" s="474"/>
      <c r="F47" s="422"/>
      <c r="G47" s="422"/>
      <c r="H47" s="422"/>
      <c r="I47" s="422"/>
      <c r="J47" s="422"/>
      <c r="K47" s="422"/>
      <c r="L47" s="479"/>
      <c r="M47" s="479"/>
      <c r="O47" s="422"/>
      <c r="P47" s="422"/>
      <c r="Q47" s="422"/>
      <c r="R47" s="422"/>
      <c r="S47" s="422"/>
    </row>
    <row r="48" spans="2:19" s="423" customFormat="1">
      <c r="B48" s="474"/>
      <c r="C48" s="474"/>
      <c r="D48" s="474"/>
      <c r="E48" s="474"/>
      <c r="F48" s="422"/>
      <c r="G48" s="422"/>
      <c r="H48" s="422"/>
      <c r="I48" s="422"/>
      <c r="J48" s="422"/>
      <c r="K48" s="422"/>
      <c r="L48" s="479"/>
      <c r="M48" s="479"/>
      <c r="O48" s="422"/>
      <c r="P48" s="422"/>
      <c r="Q48" s="422"/>
      <c r="R48" s="422"/>
      <c r="S48" s="422"/>
    </row>
  </sheetData>
  <mergeCells count="44">
    <mergeCell ref="R7:R8"/>
    <mergeCell ref="S7:S8"/>
    <mergeCell ref="B9:B11"/>
    <mergeCell ref="C9:C11"/>
    <mergeCell ref="D9:D11"/>
    <mergeCell ref="Q9:Q11"/>
    <mergeCell ref="R9:R11"/>
    <mergeCell ref="S9:S11"/>
    <mergeCell ref="B7:B8"/>
    <mergeCell ref="C7:C8"/>
    <mergeCell ref="D7:D8"/>
    <mergeCell ref="F7:H7"/>
    <mergeCell ref="D27:D29"/>
    <mergeCell ref="B24:B26"/>
    <mergeCell ref="C24:C26"/>
    <mergeCell ref="D24:D26"/>
    <mergeCell ref="S12:S14"/>
    <mergeCell ref="B15:B17"/>
    <mergeCell ref="C15:C17"/>
    <mergeCell ref="D15:D17"/>
    <mergeCell ref="Q15:Q17"/>
    <mergeCell ref="R15:R17"/>
    <mergeCell ref="B12:B14"/>
    <mergeCell ref="C12:C14"/>
    <mergeCell ref="D12:D14"/>
    <mergeCell ref="Q12:Q14"/>
    <mergeCell ref="R12:R14"/>
    <mergeCell ref="S15:S17"/>
    <mergeCell ref="F2:K2"/>
    <mergeCell ref="F3:K3"/>
    <mergeCell ref="F4:K4"/>
    <mergeCell ref="D21:D23"/>
    <mergeCell ref="B30:B32"/>
    <mergeCell ref="C30:C32"/>
    <mergeCell ref="D30:D32"/>
    <mergeCell ref="B2:E6"/>
    <mergeCell ref="F5:F6"/>
    <mergeCell ref="B18:B20"/>
    <mergeCell ref="C18:C20"/>
    <mergeCell ref="D18:D20"/>
    <mergeCell ref="B21:B23"/>
    <mergeCell ref="C21:C23"/>
    <mergeCell ref="B27:B29"/>
    <mergeCell ref="C27:C29"/>
  </mergeCells>
  <phoneticPr fontId="76" type="noConversion"/>
  <conditionalFormatting sqref="E7:F7">
    <cfRule type="expression" dxfId="3" priority="4" stopIfTrue="1">
      <formula>E6&gt;0</formula>
    </cfRule>
  </conditionalFormatting>
  <conditionalFormatting sqref="F10:K10 F13:K13 F16:K16 F22:K22">
    <cfRule type="expression" dxfId="2" priority="5" stopIfTrue="1">
      <formula>F9&gt;0</formula>
    </cfRule>
  </conditionalFormatting>
  <conditionalFormatting sqref="F19:K19">
    <cfRule type="expression" dxfId="1" priority="3" stopIfTrue="1">
      <formula>F18&gt;0</formula>
    </cfRule>
  </conditionalFormatting>
  <conditionalFormatting sqref="F25:K25 F28:K28 F31:K31">
    <cfRule type="expression" dxfId="0" priority="1" stopIfTrue="1">
      <formula>F24&gt;0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32" orientation="landscape" r:id="rId1"/>
  <colBreaks count="1" manualBreakCount="1">
    <brk id="11" min="1" max="35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B2:F51"/>
  <sheetViews>
    <sheetView view="pageBreakPreview" topLeftCell="A12" zoomScale="90" zoomScaleNormal="100" zoomScaleSheetLayoutView="90" workbookViewId="0">
      <selection activeCell="I44" sqref="I44"/>
    </sheetView>
  </sheetViews>
  <sheetFormatPr defaultRowHeight="15"/>
  <cols>
    <col min="1" max="2" width="9.140625" style="183"/>
    <col min="3" max="3" width="51.140625" style="183" bestFit="1" customWidth="1"/>
    <col min="4" max="4" width="13.7109375" style="183" customWidth="1"/>
    <col min="5" max="5" width="11.85546875" style="183" bestFit="1" customWidth="1"/>
    <col min="6" max="258" width="9.140625" style="183"/>
    <col min="259" max="259" width="51.140625" style="183" bestFit="1" customWidth="1"/>
    <col min="260" max="260" width="13.140625" style="183" bestFit="1" customWidth="1"/>
    <col min="261" max="261" width="11.42578125" style="183" bestFit="1" customWidth="1"/>
    <col min="262" max="514" width="9.140625" style="183"/>
    <col min="515" max="515" width="51.140625" style="183" bestFit="1" customWidth="1"/>
    <col min="516" max="516" width="13.140625" style="183" bestFit="1" customWidth="1"/>
    <col min="517" max="517" width="11.42578125" style="183" bestFit="1" customWidth="1"/>
    <col min="518" max="770" width="9.140625" style="183"/>
    <col min="771" max="771" width="51.140625" style="183" bestFit="1" customWidth="1"/>
    <col min="772" max="772" width="13.140625" style="183" bestFit="1" customWidth="1"/>
    <col min="773" max="773" width="11.42578125" style="183" bestFit="1" customWidth="1"/>
    <col min="774" max="1026" width="9.140625" style="183"/>
    <col min="1027" max="1027" width="51.140625" style="183" bestFit="1" customWidth="1"/>
    <col min="1028" max="1028" width="13.140625" style="183" bestFit="1" customWidth="1"/>
    <col min="1029" max="1029" width="11.42578125" style="183" bestFit="1" customWidth="1"/>
    <col min="1030" max="1282" width="9.140625" style="183"/>
    <col min="1283" max="1283" width="51.140625" style="183" bestFit="1" customWidth="1"/>
    <col min="1284" max="1284" width="13.140625" style="183" bestFit="1" customWidth="1"/>
    <col min="1285" max="1285" width="11.42578125" style="183" bestFit="1" customWidth="1"/>
    <col min="1286" max="1538" width="9.140625" style="183"/>
    <col min="1539" max="1539" width="51.140625" style="183" bestFit="1" customWidth="1"/>
    <col min="1540" max="1540" width="13.140625" style="183" bestFit="1" customWidth="1"/>
    <col min="1541" max="1541" width="11.42578125" style="183" bestFit="1" customWidth="1"/>
    <col min="1542" max="1794" width="9.140625" style="183"/>
    <col min="1795" max="1795" width="51.140625" style="183" bestFit="1" customWidth="1"/>
    <col min="1796" max="1796" width="13.140625" style="183" bestFit="1" customWidth="1"/>
    <col min="1797" max="1797" width="11.42578125" style="183" bestFit="1" customWidth="1"/>
    <col min="1798" max="2050" width="9.140625" style="183"/>
    <col min="2051" max="2051" width="51.140625" style="183" bestFit="1" customWidth="1"/>
    <col min="2052" max="2052" width="13.140625" style="183" bestFit="1" customWidth="1"/>
    <col min="2053" max="2053" width="11.42578125" style="183" bestFit="1" customWidth="1"/>
    <col min="2054" max="2306" width="9.140625" style="183"/>
    <col min="2307" max="2307" width="51.140625" style="183" bestFit="1" customWidth="1"/>
    <col min="2308" max="2308" width="13.140625" style="183" bestFit="1" customWidth="1"/>
    <col min="2309" max="2309" width="11.42578125" style="183" bestFit="1" customWidth="1"/>
    <col min="2310" max="2562" width="9.140625" style="183"/>
    <col min="2563" max="2563" width="51.140625" style="183" bestFit="1" customWidth="1"/>
    <col min="2564" max="2564" width="13.140625" style="183" bestFit="1" customWidth="1"/>
    <col min="2565" max="2565" width="11.42578125" style="183" bestFit="1" customWidth="1"/>
    <col min="2566" max="2818" width="9.140625" style="183"/>
    <col min="2819" max="2819" width="51.140625" style="183" bestFit="1" customWidth="1"/>
    <col min="2820" max="2820" width="13.140625" style="183" bestFit="1" customWidth="1"/>
    <col min="2821" max="2821" width="11.42578125" style="183" bestFit="1" customWidth="1"/>
    <col min="2822" max="3074" width="9.140625" style="183"/>
    <col min="3075" max="3075" width="51.140625" style="183" bestFit="1" customWidth="1"/>
    <col min="3076" max="3076" width="13.140625" style="183" bestFit="1" customWidth="1"/>
    <col min="3077" max="3077" width="11.42578125" style="183" bestFit="1" customWidth="1"/>
    <col min="3078" max="3330" width="9.140625" style="183"/>
    <col min="3331" max="3331" width="51.140625" style="183" bestFit="1" customWidth="1"/>
    <col min="3332" max="3332" width="13.140625" style="183" bestFit="1" customWidth="1"/>
    <col min="3333" max="3333" width="11.42578125" style="183" bestFit="1" customWidth="1"/>
    <col min="3334" max="3586" width="9.140625" style="183"/>
    <col min="3587" max="3587" width="51.140625" style="183" bestFit="1" customWidth="1"/>
    <col min="3588" max="3588" width="13.140625" style="183" bestFit="1" customWidth="1"/>
    <col min="3589" max="3589" width="11.42578125" style="183" bestFit="1" customWidth="1"/>
    <col min="3590" max="3842" width="9.140625" style="183"/>
    <col min="3843" max="3843" width="51.140625" style="183" bestFit="1" customWidth="1"/>
    <col min="3844" max="3844" width="13.140625" style="183" bestFit="1" customWidth="1"/>
    <col min="3845" max="3845" width="11.42578125" style="183" bestFit="1" customWidth="1"/>
    <col min="3846" max="4098" width="9.140625" style="183"/>
    <col min="4099" max="4099" width="51.140625" style="183" bestFit="1" customWidth="1"/>
    <col min="4100" max="4100" width="13.140625" style="183" bestFit="1" customWidth="1"/>
    <col min="4101" max="4101" width="11.42578125" style="183" bestFit="1" customWidth="1"/>
    <col min="4102" max="4354" width="9.140625" style="183"/>
    <col min="4355" max="4355" width="51.140625" style="183" bestFit="1" customWidth="1"/>
    <col min="4356" max="4356" width="13.140625" style="183" bestFit="1" customWidth="1"/>
    <col min="4357" max="4357" width="11.42578125" style="183" bestFit="1" customWidth="1"/>
    <col min="4358" max="4610" width="9.140625" style="183"/>
    <col min="4611" max="4611" width="51.140625" style="183" bestFit="1" customWidth="1"/>
    <col min="4612" max="4612" width="13.140625" style="183" bestFit="1" customWidth="1"/>
    <col min="4613" max="4613" width="11.42578125" style="183" bestFit="1" customWidth="1"/>
    <col min="4614" max="4866" width="9.140625" style="183"/>
    <col min="4867" max="4867" width="51.140625" style="183" bestFit="1" customWidth="1"/>
    <col min="4868" max="4868" width="13.140625" style="183" bestFit="1" customWidth="1"/>
    <col min="4869" max="4869" width="11.42578125" style="183" bestFit="1" customWidth="1"/>
    <col min="4870" max="5122" width="9.140625" style="183"/>
    <col min="5123" max="5123" width="51.140625" style="183" bestFit="1" customWidth="1"/>
    <col min="5124" max="5124" width="13.140625" style="183" bestFit="1" customWidth="1"/>
    <col min="5125" max="5125" width="11.42578125" style="183" bestFit="1" customWidth="1"/>
    <col min="5126" max="5378" width="9.140625" style="183"/>
    <col min="5379" max="5379" width="51.140625" style="183" bestFit="1" customWidth="1"/>
    <col min="5380" max="5380" width="13.140625" style="183" bestFit="1" customWidth="1"/>
    <col min="5381" max="5381" width="11.42578125" style="183" bestFit="1" customWidth="1"/>
    <col min="5382" max="5634" width="9.140625" style="183"/>
    <col min="5635" max="5635" width="51.140625" style="183" bestFit="1" customWidth="1"/>
    <col min="5636" max="5636" width="13.140625" style="183" bestFit="1" customWidth="1"/>
    <col min="5637" max="5637" width="11.42578125" style="183" bestFit="1" customWidth="1"/>
    <col min="5638" max="5890" width="9.140625" style="183"/>
    <col min="5891" max="5891" width="51.140625" style="183" bestFit="1" customWidth="1"/>
    <col min="5892" max="5892" width="13.140625" style="183" bestFit="1" customWidth="1"/>
    <col min="5893" max="5893" width="11.42578125" style="183" bestFit="1" customWidth="1"/>
    <col min="5894" max="6146" width="9.140625" style="183"/>
    <col min="6147" max="6147" width="51.140625" style="183" bestFit="1" customWidth="1"/>
    <col min="6148" max="6148" width="13.140625" style="183" bestFit="1" customWidth="1"/>
    <col min="6149" max="6149" width="11.42578125" style="183" bestFit="1" customWidth="1"/>
    <col min="6150" max="6402" width="9.140625" style="183"/>
    <col min="6403" max="6403" width="51.140625" style="183" bestFit="1" customWidth="1"/>
    <col min="6404" max="6404" width="13.140625" style="183" bestFit="1" customWidth="1"/>
    <col min="6405" max="6405" width="11.42578125" style="183" bestFit="1" customWidth="1"/>
    <col min="6406" max="6658" width="9.140625" style="183"/>
    <col min="6659" max="6659" width="51.140625" style="183" bestFit="1" customWidth="1"/>
    <col min="6660" max="6660" width="13.140625" style="183" bestFit="1" customWidth="1"/>
    <col min="6661" max="6661" width="11.42578125" style="183" bestFit="1" customWidth="1"/>
    <col min="6662" max="6914" width="9.140625" style="183"/>
    <col min="6915" max="6915" width="51.140625" style="183" bestFit="1" customWidth="1"/>
    <col min="6916" max="6916" width="13.140625" style="183" bestFit="1" customWidth="1"/>
    <col min="6917" max="6917" width="11.42578125" style="183" bestFit="1" customWidth="1"/>
    <col min="6918" max="7170" width="9.140625" style="183"/>
    <col min="7171" max="7171" width="51.140625" style="183" bestFit="1" customWidth="1"/>
    <col min="7172" max="7172" width="13.140625" style="183" bestFit="1" customWidth="1"/>
    <col min="7173" max="7173" width="11.42578125" style="183" bestFit="1" customWidth="1"/>
    <col min="7174" max="7426" width="9.140625" style="183"/>
    <col min="7427" max="7427" width="51.140625" style="183" bestFit="1" customWidth="1"/>
    <col min="7428" max="7428" width="13.140625" style="183" bestFit="1" customWidth="1"/>
    <col min="7429" max="7429" width="11.42578125" style="183" bestFit="1" customWidth="1"/>
    <col min="7430" max="7682" width="9.140625" style="183"/>
    <col min="7683" max="7683" width="51.140625" style="183" bestFit="1" customWidth="1"/>
    <col min="7684" max="7684" width="13.140625" style="183" bestFit="1" customWidth="1"/>
    <col min="7685" max="7685" width="11.42578125" style="183" bestFit="1" customWidth="1"/>
    <col min="7686" max="7938" width="9.140625" style="183"/>
    <col min="7939" max="7939" width="51.140625" style="183" bestFit="1" customWidth="1"/>
    <col min="7940" max="7940" width="13.140625" style="183" bestFit="1" customWidth="1"/>
    <col min="7941" max="7941" width="11.42578125" style="183" bestFit="1" customWidth="1"/>
    <col min="7942" max="8194" width="9.140625" style="183"/>
    <col min="8195" max="8195" width="51.140625" style="183" bestFit="1" customWidth="1"/>
    <col min="8196" max="8196" width="13.140625" style="183" bestFit="1" customWidth="1"/>
    <col min="8197" max="8197" width="11.42578125" style="183" bestFit="1" customWidth="1"/>
    <col min="8198" max="8450" width="9.140625" style="183"/>
    <col min="8451" max="8451" width="51.140625" style="183" bestFit="1" customWidth="1"/>
    <col min="8452" max="8452" width="13.140625" style="183" bestFit="1" customWidth="1"/>
    <col min="8453" max="8453" width="11.42578125" style="183" bestFit="1" customWidth="1"/>
    <col min="8454" max="8706" width="9.140625" style="183"/>
    <col min="8707" max="8707" width="51.140625" style="183" bestFit="1" customWidth="1"/>
    <col min="8708" max="8708" width="13.140625" style="183" bestFit="1" customWidth="1"/>
    <col min="8709" max="8709" width="11.42578125" style="183" bestFit="1" customWidth="1"/>
    <col min="8710" max="8962" width="9.140625" style="183"/>
    <col min="8963" max="8963" width="51.140625" style="183" bestFit="1" customWidth="1"/>
    <col min="8964" max="8964" width="13.140625" style="183" bestFit="1" customWidth="1"/>
    <col min="8965" max="8965" width="11.42578125" style="183" bestFit="1" customWidth="1"/>
    <col min="8966" max="9218" width="9.140625" style="183"/>
    <col min="9219" max="9219" width="51.140625" style="183" bestFit="1" customWidth="1"/>
    <col min="9220" max="9220" width="13.140625" style="183" bestFit="1" customWidth="1"/>
    <col min="9221" max="9221" width="11.42578125" style="183" bestFit="1" customWidth="1"/>
    <col min="9222" max="9474" width="9.140625" style="183"/>
    <col min="9475" max="9475" width="51.140625" style="183" bestFit="1" customWidth="1"/>
    <col min="9476" max="9476" width="13.140625" style="183" bestFit="1" customWidth="1"/>
    <col min="9477" max="9477" width="11.42578125" style="183" bestFit="1" customWidth="1"/>
    <col min="9478" max="9730" width="9.140625" style="183"/>
    <col min="9731" max="9731" width="51.140625" style="183" bestFit="1" customWidth="1"/>
    <col min="9732" max="9732" width="13.140625" style="183" bestFit="1" customWidth="1"/>
    <col min="9733" max="9733" width="11.42578125" style="183" bestFit="1" customWidth="1"/>
    <col min="9734" max="9986" width="9.140625" style="183"/>
    <col min="9987" max="9987" width="51.140625" style="183" bestFit="1" customWidth="1"/>
    <col min="9988" max="9988" width="13.140625" style="183" bestFit="1" customWidth="1"/>
    <col min="9989" max="9989" width="11.42578125" style="183" bestFit="1" customWidth="1"/>
    <col min="9990" max="10242" width="9.140625" style="183"/>
    <col min="10243" max="10243" width="51.140625" style="183" bestFit="1" customWidth="1"/>
    <col min="10244" max="10244" width="13.140625" style="183" bestFit="1" customWidth="1"/>
    <col min="10245" max="10245" width="11.42578125" style="183" bestFit="1" customWidth="1"/>
    <col min="10246" max="10498" width="9.140625" style="183"/>
    <col min="10499" max="10499" width="51.140625" style="183" bestFit="1" customWidth="1"/>
    <col min="10500" max="10500" width="13.140625" style="183" bestFit="1" customWidth="1"/>
    <col min="10501" max="10501" width="11.42578125" style="183" bestFit="1" customWidth="1"/>
    <col min="10502" max="10754" width="9.140625" style="183"/>
    <col min="10755" max="10755" width="51.140625" style="183" bestFit="1" customWidth="1"/>
    <col min="10756" max="10756" width="13.140625" style="183" bestFit="1" customWidth="1"/>
    <col min="10757" max="10757" width="11.42578125" style="183" bestFit="1" customWidth="1"/>
    <col min="10758" max="11010" width="9.140625" style="183"/>
    <col min="11011" max="11011" width="51.140625" style="183" bestFit="1" customWidth="1"/>
    <col min="11012" max="11012" width="13.140625" style="183" bestFit="1" customWidth="1"/>
    <col min="11013" max="11013" width="11.42578125" style="183" bestFit="1" customWidth="1"/>
    <col min="11014" max="11266" width="9.140625" style="183"/>
    <col min="11267" max="11267" width="51.140625" style="183" bestFit="1" customWidth="1"/>
    <col min="11268" max="11268" width="13.140625" style="183" bestFit="1" customWidth="1"/>
    <col min="11269" max="11269" width="11.42578125" style="183" bestFit="1" customWidth="1"/>
    <col min="11270" max="11522" width="9.140625" style="183"/>
    <col min="11523" max="11523" width="51.140625" style="183" bestFit="1" customWidth="1"/>
    <col min="11524" max="11524" width="13.140625" style="183" bestFit="1" customWidth="1"/>
    <col min="11525" max="11525" width="11.42578125" style="183" bestFit="1" customWidth="1"/>
    <col min="11526" max="11778" width="9.140625" style="183"/>
    <col min="11779" max="11779" width="51.140625" style="183" bestFit="1" customWidth="1"/>
    <col min="11780" max="11780" width="13.140625" style="183" bestFit="1" customWidth="1"/>
    <col min="11781" max="11781" width="11.42578125" style="183" bestFit="1" customWidth="1"/>
    <col min="11782" max="12034" width="9.140625" style="183"/>
    <col min="12035" max="12035" width="51.140625" style="183" bestFit="1" customWidth="1"/>
    <col min="12036" max="12036" width="13.140625" style="183" bestFit="1" customWidth="1"/>
    <col min="12037" max="12037" width="11.42578125" style="183" bestFit="1" customWidth="1"/>
    <col min="12038" max="12290" width="9.140625" style="183"/>
    <col min="12291" max="12291" width="51.140625" style="183" bestFit="1" customWidth="1"/>
    <col min="12292" max="12292" width="13.140625" style="183" bestFit="1" customWidth="1"/>
    <col min="12293" max="12293" width="11.42578125" style="183" bestFit="1" customWidth="1"/>
    <col min="12294" max="12546" width="9.140625" style="183"/>
    <col min="12547" max="12547" width="51.140625" style="183" bestFit="1" customWidth="1"/>
    <col min="12548" max="12548" width="13.140625" style="183" bestFit="1" customWidth="1"/>
    <col min="12549" max="12549" width="11.42578125" style="183" bestFit="1" customWidth="1"/>
    <col min="12550" max="12802" width="9.140625" style="183"/>
    <col min="12803" max="12803" width="51.140625" style="183" bestFit="1" customWidth="1"/>
    <col min="12804" max="12804" width="13.140625" style="183" bestFit="1" customWidth="1"/>
    <col min="12805" max="12805" width="11.42578125" style="183" bestFit="1" customWidth="1"/>
    <col min="12806" max="13058" width="9.140625" style="183"/>
    <col min="13059" max="13059" width="51.140625" style="183" bestFit="1" customWidth="1"/>
    <col min="13060" max="13060" width="13.140625" style="183" bestFit="1" customWidth="1"/>
    <col min="13061" max="13061" width="11.42578125" style="183" bestFit="1" customWidth="1"/>
    <col min="13062" max="13314" width="9.140625" style="183"/>
    <col min="13315" max="13315" width="51.140625" style="183" bestFit="1" customWidth="1"/>
    <col min="13316" max="13316" width="13.140625" style="183" bestFit="1" customWidth="1"/>
    <col min="13317" max="13317" width="11.42578125" style="183" bestFit="1" customWidth="1"/>
    <col min="13318" max="13570" width="9.140625" style="183"/>
    <col min="13571" max="13571" width="51.140625" style="183" bestFit="1" customWidth="1"/>
    <col min="13572" max="13572" width="13.140625" style="183" bestFit="1" customWidth="1"/>
    <col min="13573" max="13573" width="11.42578125" style="183" bestFit="1" customWidth="1"/>
    <col min="13574" max="13826" width="9.140625" style="183"/>
    <col min="13827" max="13827" width="51.140625" style="183" bestFit="1" customWidth="1"/>
    <col min="13828" max="13828" width="13.140625" style="183" bestFit="1" customWidth="1"/>
    <col min="13829" max="13829" width="11.42578125" style="183" bestFit="1" customWidth="1"/>
    <col min="13830" max="14082" width="9.140625" style="183"/>
    <col min="14083" max="14083" width="51.140625" style="183" bestFit="1" customWidth="1"/>
    <col min="14084" max="14084" width="13.140625" style="183" bestFit="1" customWidth="1"/>
    <col min="14085" max="14085" width="11.42578125" style="183" bestFit="1" customWidth="1"/>
    <col min="14086" max="14338" width="9.140625" style="183"/>
    <col min="14339" max="14339" width="51.140625" style="183" bestFit="1" customWidth="1"/>
    <col min="14340" max="14340" width="13.140625" style="183" bestFit="1" customWidth="1"/>
    <col min="14341" max="14341" width="11.42578125" style="183" bestFit="1" customWidth="1"/>
    <col min="14342" max="14594" width="9.140625" style="183"/>
    <col min="14595" max="14595" width="51.140625" style="183" bestFit="1" customWidth="1"/>
    <col min="14596" max="14596" width="13.140625" style="183" bestFit="1" customWidth="1"/>
    <col min="14597" max="14597" width="11.42578125" style="183" bestFit="1" customWidth="1"/>
    <col min="14598" max="14850" width="9.140625" style="183"/>
    <col min="14851" max="14851" width="51.140625" style="183" bestFit="1" customWidth="1"/>
    <col min="14852" max="14852" width="13.140625" style="183" bestFit="1" customWidth="1"/>
    <col min="14853" max="14853" width="11.42578125" style="183" bestFit="1" customWidth="1"/>
    <col min="14854" max="15106" width="9.140625" style="183"/>
    <col min="15107" max="15107" width="51.140625" style="183" bestFit="1" customWidth="1"/>
    <col min="15108" max="15108" width="13.140625" style="183" bestFit="1" customWidth="1"/>
    <col min="15109" max="15109" width="11.42578125" style="183" bestFit="1" customWidth="1"/>
    <col min="15110" max="15362" width="9.140625" style="183"/>
    <col min="15363" max="15363" width="51.140625" style="183" bestFit="1" customWidth="1"/>
    <col min="15364" max="15364" width="13.140625" style="183" bestFit="1" customWidth="1"/>
    <col min="15365" max="15365" width="11.42578125" style="183" bestFit="1" customWidth="1"/>
    <col min="15366" max="15618" width="9.140625" style="183"/>
    <col min="15619" max="15619" width="51.140625" style="183" bestFit="1" customWidth="1"/>
    <col min="15620" max="15620" width="13.140625" style="183" bestFit="1" customWidth="1"/>
    <col min="15621" max="15621" width="11.42578125" style="183" bestFit="1" customWidth="1"/>
    <col min="15622" max="15874" width="9.140625" style="183"/>
    <col min="15875" max="15875" width="51.140625" style="183" bestFit="1" customWidth="1"/>
    <col min="15876" max="15876" width="13.140625" style="183" bestFit="1" customWidth="1"/>
    <col min="15877" max="15877" width="11.42578125" style="183" bestFit="1" customWidth="1"/>
    <col min="15878" max="16130" width="9.140625" style="183"/>
    <col min="16131" max="16131" width="51.140625" style="183" bestFit="1" customWidth="1"/>
    <col min="16132" max="16132" width="13.140625" style="183" bestFit="1" customWidth="1"/>
    <col min="16133" max="16133" width="11.42578125" style="183" bestFit="1" customWidth="1"/>
    <col min="16134" max="16384" width="9.140625" style="183"/>
  </cols>
  <sheetData>
    <row r="2" spans="2:6" ht="15" customHeight="1">
      <c r="B2" s="1323" t="s">
        <v>351</v>
      </c>
      <c r="C2" s="1323"/>
      <c r="D2" s="1323"/>
      <c r="E2" s="1323"/>
      <c r="F2" s="182"/>
    </row>
    <row r="3" spans="2:6">
      <c r="B3" s="184"/>
      <c r="C3" s="184"/>
      <c r="D3" s="184"/>
      <c r="E3" s="184"/>
    </row>
    <row r="4" spans="2:6" ht="15" customHeight="1">
      <c r="B4" s="1324" t="s">
        <v>352</v>
      </c>
      <c r="C4" s="1325"/>
      <c r="D4" s="1324" t="s">
        <v>353</v>
      </c>
      <c r="E4" s="1325"/>
    </row>
    <row r="5" spans="2:6" ht="15" customHeight="1">
      <c r="B5" s="185" t="s">
        <v>354</v>
      </c>
      <c r="C5" s="185" t="s">
        <v>355</v>
      </c>
      <c r="D5" s="185" t="s">
        <v>356</v>
      </c>
      <c r="E5" s="185" t="s">
        <v>357</v>
      </c>
    </row>
    <row r="6" spans="2:6" ht="15" customHeight="1">
      <c r="B6" s="186" t="s">
        <v>358</v>
      </c>
      <c r="C6" s="187" t="s">
        <v>359</v>
      </c>
      <c r="D6" s="188">
        <v>0.2</v>
      </c>
      <c r="E6" s="188">
        <v>0.2</v>
      </c>
    </row>
    <row r="7" spans="2:6" ht="15" customHeight="1">
      <c r="B7" s="186" t="s">
        <v>360</v>
      </c>
      <c r="C7" s="187" t="s">
        <v>361</v>
      </c>
      <c r="D7" s="188">
        <v>1.4999999999999999E-2</v>
      </c>
      <c r="E7" s="188">
        <v>1.4999999999999999E-2</v>
      </c>
    </row>
    <row r="8" spans="2:6" ht="15" customHeight="1">
      <c r="B8" s="186" t="s">
        <v>362</v>
      </c>
      <c r="C8" s="187" t="s">
        <v>363</v>
      </c>
      <c r="D8" s="188">
        <v>0.01</v>
      </c>
      <c r="E8" s="188">
        <v>0.01</v>
      </c>
    </row>
    <row r="9" spans="2:6" ht="15" customHeight="1">
      <c r="B9" s="186" t="s">
        <v>364</v>
      </c>
      <c r="C9" s="187" t="s">
        <v>365</v>
      </c>
      <c r="D9" s="188">
        <v>2E-3</v>
      </c>
      <c r="E9" s="188">
        <v>2E-3</v>
      </c>
    </row>
    <row r="10" spans="2:6" ht="15" customHeight="1">
      <c r="B10" s="186" t="s">
        <v>366</v>
      </c>
      <c r="C10" s="187" t="s">
        <v>367</v>
      </c>
      <c r="D10" s="188">
        <v>6.0000000000000001E-3</v>
      </c>
      <c r="E10" s="188">
        <v>6.0000000000000001E-3</v>
      </c>
    </row>
    <row r="11" spans="2:6" ht="15" customHeight="1">
      <c r="B11" s="186" t="s">
        <v>368</v>
      </c>
      <c r="C11" s="187" t="s">
        <v>369</v>
      </c>
      <c r="D11" s="188">
        <v>2.5000000000000001E-2</v>
      </c>
      <c r="E11" s="188">
        <v>2.5000000000000001E-2</v>
      </c>
    </row>
    <row r="12" spans="2:6" ht="15" customHeight="1">
      <c r="B12" s="186" t="s">
        <v>370</v>
      </c>
      <c r="C12" s="187" t="s">
        <v>371</v>
      </c>
      <c r="D12" s="188">
        <v>0.03</v>
      </c>
      <c r="E12" s="188">
        <v>0.03</v>
      </c>
    </row>
    <row r="13" spans="2:6" ht="15" customHeight="1">
      <c r="B13" s="186" t="s">
        <v>372</v>
      </c>
      <c r="C13" s="187" t="s">
        <v>373</v>
      </c>
      <c r="D13" s="188">
        <v>0.08</v>
      </c>
      <c r="E13" s="188">
        <v>0.08</v>
      </c>
    </row>
    <row r="14" spans="2:6" ht="15" customHeight="1">
      <c r="B14" s="186" t="s">
        <v>374</v>
      </c>
      <c r="C14" s="187" t="s">
        <v>375</v>
      </c>
      <c r="D14" s="188">
        <v>0</v>
      </c>
      <c r="E14" s="188">
        <v>0</v>
      </c>
    </row>
    <row r="15" spans="2:6" ht="15" customHeight="1">
      <c r="B15" s="1326" t="s">
        <v>376</v>
      </c>
      <c r="C15" s="1327"/>
      <c r="D15" s="189">
        <f>SUM(D6:D14)</f>
        <v>0.36800000000000005</v>
      </c>
      <c r="E15" s="189">
        <f>SUM(E6:E14)</f>
        <v>0.36800000000000005</v>
      </c>
    </row>
    <row r="16" spans="2:6">
      <c r="B16" s="184"/>
      <c r="C16" s="184"/>
      <c r="D16" s="184"/>
      <c r="E16" s="184"/>
    </row>
    <row r="17" spans="2:5" ht="15" customHeight="1">
      <c r="B17" s="1324" t="s">
        <v>377</v>
      </c>
      <c r="C17" s="1325"/>
      <c r="D17" s="1324" t="s">
        <v>353</v>
      </c>
      <c r="E17" s="1325"/>
    </row>
    <row r="18" spans="2:5">
      <c r="B18" s="185" t="s">
        <v>354</v>
      </c>
      <c r="C18" s="185" t="s">
        <v>355</v>
      </c>
      <c r="D18" s="185" t="s">
        <v>356</v>
      </c>
      <c r="E18" s="185" t="s">
        <v>357</v>
      </c>
    </row>
    <row r="19" spans="2:5">
      <c r="B19" s="185"/>
      <c r="C19" s="185"/>
      <c r="D19" s="185"/>
      <c r="E19" s="185"/>
    </row>
    <row r="20" spans="2:5">
      <c r="B20" s="186" t="s">
        <v>378</v>
      </c>
      <c r="C20" s="187" t="s">
        <v>379</v>
      </c>
      <c r="D20" s="188">
        <v>0.18060000000000001</v>
      </c>
      <c r="E20" s="188" t="s">
        <v>380</v>
      </c>
    </row>
    <row r="21" spans="2:5">
      <c r="B21" s="186" t="s">
        <v>381</v>
      </c>
      <c r="C21" s="187" t="s">
        <v>382</v>
      </c>
      <c r="D21" s="188">
        <v>4.3299999999999998E-2</v>
      </c>
      <c r="E21" s="188" t="s">
        <v>380</v>
      </c>
    </row>
    <row r="22" spans="2:5">
      <c r="B22" s="186" t="s">
        <v>383</v>
      </c>
      <c r="C22" s="187" t="s">
        <v>384</v>
      </c>
      <c r="D22" s="188">
        <v>8.8000000000000005E-3</v>
      </c>
      <c r="E22" s="188">
        <v>6.7000000000000002E-3</v>
      </c>
    </row>
    <row r="23" spans="2:5">
      <c r="B23" s="186" t="s">
        <v>385</v>
      </c>
      <c r="C23" s="187" t="s">
        <v>386</v>
      </c>
      <c r="D23" s="188">
        <v>0.1087</v>
      </c>
      <c r="E23" s="188">
        <v>8.3299999999999999E-2</v>
      </c>
    </row>
    <row r="24" spans="2:5">
      <c r="B24" s="186" t="s">
        <v>387</v>
      </c>
      <c r="C24" s="187" t="s">
        <v>388</v>
      </c>
      <c r="D24" s="188">
        <v>6.9999999999999999E-4</v>
      </c>
      <c r="E24" s="188">
        <v>5.9999999999999995E-4</v>
      </c>
    </row>
    <row r="25" spans="2:5">
      <c r="B25" s="186" t="s">
        <v>389</v>
      </c>
      <c r="C25" s="187" t="s">
        <v>390</v>
      </c>
      <c r="D25" s="188">
        <v>7.1999999999999998E-3</v>
      </c>
      <c r="E25" s="188">
        <v>5.5999999999999999E-3</v>
      </c>
    </row>
    <row r="26" spans="2:5">
      <c r="B26" s="186" t="s">
        <v>391</v>
      </c>
      <c r="C26" s="187" t="s">
        <v>392</v>
      </c>
      <c r="D26" s="188">
        <v>2.1899999999999999E-2</v>
      </c>
      <c r="E26" s="188" t="s">
        <v>380</v>
      </c>
    </row>
    <row r="27" spans="2:5">
      <c r="B27" s="186" t="s">
        <v>393</v>
      </c>
      <c r="C27" s="187" t="s">
        <v>394</v>
      </c>
      <c r="D27" s="188">
        <v>1.1000000000000001E-3</v>
      </c>
      <c r="E27" s="188">
        <v>8.0000000000000004E-4</v>
      </c>
    </row>
    <row r="28" spans="2:5">
      <c r="B28" s="186" t="s">
        <v>395</v>
      </c>
      <c r="C28" s="187" t="s">
        <v>396</v>
      </c>
      <c r="D28" s="188">
        <v>7.9600000000000004E-2</v>
      </c>
      <c r="E28" s="188">
        <v>6.0999999999999999E-2</v>
      </c>
    </row>
    <row r="29" spans="2:5">
      <c r="B29" s="186" t="s">
        <v>397</v>
      </c>
      <c r="C29" s="190" t="s">
        <v>398</v>
      </c>
      <c r="D29" s="191">
        <v>2.9999999999999997E-4</v>
      </c>
      <c r="E29" s="191">
        <v>2.9999999999999997E-4</v>
      </c>
    </row>
    <row r="30" spans="2:5">
      <c r="B30" s="1326" t="s">
        <v>399</v>
      </c>
      <c r="C30" s="1327"/>
      <c r="D30" s="189">
        <f>SUM(D20:D29)</f>
        <v>0.45219999999999999</v>
      </c>
      <c r="E30" s="189">
        <f>SUM(E20:E29)</f>
        <v>0.15829999999999997</v>
      </c>
    </row>
    <row r="31" spans="2:5">
      <c r="B31" s="184"/>
      <c r="C31" s="184"/>
      <c r="D31" s="184"/>
      <c r="E31" s="184"/>
    </row>
    <row r="32" spans="2:5">
      <c r="B32" s="1324" t="s">
        <v>400</v>
      </c>
      <c r="C32" s="1325"/>
      <c r="D32" s="1324" t="s">
        <v>353</v>
      </c>
      <c r="E32" s="1325"/>
    </row>
    <row r="33" spans="2:5">
      <c r="B33" s="185" t="s">
        <v>354</v>
      </c>
      <c r="C33" s="185" t="s">
        <v>355</v>
      </c>
      <c r="D33" s="185" t="s">
        <v>356</v>
      </c>
      <c r="E33" s="185" t="s">
        <v>357</v>
      </c>
    </row>
    <row r="34" spans="2:5">
      <c r="B34" s="186" t="s">
        <v>401</v>
      </c>
      <c r="C34" s="187" t="s">
        <v>402</v>
      </c>
      <c r="D34" s="188">
        <v>4.7300000000000002E-2</v>
      </c>
      <c r="E34" s="188">
        <v>3.6299999999999999E-2</v>
      </c>
    </row>
    <row r="35" spans="2:5">
      <c r="B35" s="186" t="s">
        <v>403</v>
      </c>
      <c r="C35" s="187" t="s">
        <v>404</v>
      </c>
      <c r="D35" s="188">
        <v>1.1000000000000001E-3</v>
      </c>
      <c r="E35" s="188">
        <v>8.9999999999999998E-4</v>
      </c>
    </row>
    <row r="36" spans="2:5">
      <c r="B36" s="186" t="s">
        <v>405</v>
      </c>
      <c r="C36" s="187" t="s">
        <v>406</v>
      </c>
      <c r="D36" s="188">
        <v>5.3100000000000001E-2</v>
      </c>
      <c r="E36" s="188">
        <v>4.07E-2</v>
      </c>
    </row>
    <row r="37" spans="2:5">
      <c r="B37" s="186" t="s">
        <v>407</v>
      </c>
      <c r="C37" s="187" t="s">
        <v>408</v>
      </c>
      <c r="D37" s="188">
        <v>3.7600000000000001E-2</v>
      </c>
      <c r="E37" s="188">
        <v>2.8799999999999999E-2</v>
      </c>
    </row>
    <row r="38" spans="2:5">
      <c r="B38" s="186" t="s">
        <v>409</v>
      </c>
      <c r="C38" s="187" t="s">
        <v>410</v>
      </c>
      <c r="D38" s="188">
        <v>4.0000000000000001E-3</v>
      </c>
      <c r="E38" s="188">
        <v>3.0999999999999999E-3</v>
      </c>
    </row>
    <row r="39" spans="2:5">
      <c r="B39" s="1326" t="s">
        <v>411</v>
      </c>
      <c r="C39" s="1327"/>
      <c r="D39" s="189">
        <f>SUM(D34:D38)</f>
        <v>0.1431</v>
      </c>
      <c r="E39" s="189">
        <f>SUM(E34:E38)</f>
        <v>0.10979999999999999</v>
      </c>
    </row>
    <row r="40" spans="2:5">
      <c r="B40" s="184"/>
      <c r="C40" s="184"/>
      <c r="D40" s="184"/>
      <c r="E40" s="184"/>
    </row>
    <row r="41" spans="2:5">
      <c r="B41" s="1324" t="s">
        <v>412</v>
      </c>
      <c r="C41" s="1325"/>
      <c r="D41" s="1324" t="s">
        <v>353</v>
      </c>
      <c r="E41" s="1325"/>
    </row>
    <row r="42" spans="2:5">
      <c r="B42" s="185" t="s">
        <v>354</v>
      </c>
      <c r="C42" s="185" t="s">
        <v>355</v>
      </c>
      <c r="D42" s="185" t="s">
        <v>356</v>
      </c>
      <c r="E42" s="185" t="s">
        <v>357</v>
      </c>
    </row>
    <row r="43" spans="2:5">
      <c r="B43" s="186" t="s">
        <v>413</v>
      </c>
      <c r="C43" s="187" t="s">
        <v>414</v>
      </c>
      <c r="D43" s="188">
        <v>0.16639999999999999</v>
      </c>
      <c r="E43" s="188">
        <v>5.8299999999999998E-2</v>
      </c>
    </row>
    <row r="44" spans="2:5">
      <c r="B44" s="186" t="s">
        <v>415</v>
      </c>
      <c r="C44" s="187" t="s">
        <v>416</v>
      </c>
      <c r="D44" s="188">
        <v>4.1999999999999997E-3</v>
      </c>
      <c r="E44" s="188">
        <v>3.2000000000000002E-3</v>
      </c>
    </row>
    <row r="45" spans="2:5">
      <c r="B45" s="1326" t="s">
        <v>417</v>
      </c>
      <c r="C45" s="1327"/>
      <c r="D45" s="189">
        <f>SUM(D43:D44)</f>
        <v>0.1706</v>
      </c>
      <c r="E45" s="189">
        <f>SUM(E43:E44)</f>
        <v>6.1499999999999999E-2</v>
      </c>
    </row>
    <row r="46" spans="2:5">
      <c r="B46" s="192"/>
      <c r="C46" s="192"/>
      <c r="D46" s="192"/>
      <c r="E46" s="184"/>
    </row>
    <row r="47" spans="2:5" ht="20.25">
      <c r="B47" s="1328" t="s">
        <v>78</v>
      </c>
      <c r="C47" s="1329"/>
      <c r="D47" s="193">
        <v>1.1338999999999999</v>
      </c>
      <c r="E47" s="193">
        <f>E15+E30+E39+E45</f>
        <v>0.6976</v>
      </c>
    </row>
    <row r="51" spans="6:6">
      <c r="F51" s="183" t="s">
        <v>1031</v>
      </c>
    </row>
  </sheetData>
  <mergeCells count="14">
    <mergeCell ref="B45:C45"/>
    <mergeCell ref="B47:C47"/>
    <mergeCell ref="B30:C30"/>
    <mergeCell ref="B32:C32"/>
    <mergeCell ref="D32:E32"/>
    <mergeCell ref="B39:C39"/>
    <mergeCell ref="B41:C41"/>
    <mergeCell ref="D41:E41"/>
    <mergeCell ref="B2:E2"/>
    <mergeCell ref="B4:C4"/>
    <mergeCell ref="D4:E4"/>
    <mergeCell ref="B15:C15"/>
    <mergeCell ref="B17:C17"/>
    <mergeCell ref="D17:E17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1"/>
  <sheetViews>
    <sheetView tabSelected="1" view="pageBreakPreview" topLeftCell="C30" zoomScale="85" zoomScaleNormal="70" zoomScaleSheetLayoutView="85" workbookViewId="0">
      <selection activeCell="L28" sqref="L28:O28"/>
    </sheetView>
  </sheetViews>
  <sheetFormatPr defaultRowHeight="15"/>
  <cols>
    <col min="11" max="11" width="3.140625" customWidth="1"/>
    <col min="15" max="15" width="17.5703125" customWidth="1"/>
    <col min="17" max="17" width="9.140625" customWidth="1"/>
    <col min="19" max="19" width="14.7109375" customWidth="1"/>
    <col min="20" max="20" width="11.28515625" bestFit="1" customWidth="1"/>
    <col min="21" max="21" width="15.28515625" customWidth="1"/>
  </cols>
  <sheetData>
    <row r="1" spans="1:24" ht="15.75" thickBot="1">
      <c r="A1" s="103"/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  <c r="P1" s="104"/>
      <c r="Q1" s="104"/>
      <c r="R1" s="104"/>
      <c r="S1" s="103"/>
      <c r="T1" s="103"/>
      <c r="U1" s="103"/>
      <c r="V1" s="103"/>
      <c r="W1" s="103"/>
      <c r="X1" s="103"/>
    </row>
    <row r="2" spans="1:24" ht="15" customHeight="1">
      <c r="A2" s="103"/>
      <c r="B2" s="1334" t="s">
        <v>248</v>
      </c>
      <c r="C2" s="1335"/>
      <c r="D2" s="1335"/>
      <c r="E2" s="1335"/>
      <c r="F2" s="1335"/>
      <c r="G2" s="1335"/>
      <c r="H2" s="1335"/>
      <c r="I2" s="1335"/>
      <c r="J2" s="1335"/>
      <c r="K2" s="1335"/>
      <c r="L2" s="1335"/>
      <c r="M2" s="1335"/>
      <c r="N2" s="1335"/>
      <c r="O2" s="1336"/>
      <c r="P2" s="104"/>
      <c r="Q2" s="104"/>
      <c r="R2" s="104"/>
      <c r="S2" s="103"/>
      <c r="T2" s="103"/>
      <c r="U2" s="103"/>
      <c r="V2" s="103"/>
      <c r="W2" s="103"/>
      <c r="X2" s="103"/>
    </row>
    <row r="3" spans="1:24" ht="15.75" customHeight="1" thickBot="1">
      <c r="A3" s="103"/>
      <c r="B3" s="1337"/>
      <c r="C3" s="1338"/>
      <c r="D3" s="1338"/>
      <c r="E3" s="1338"/>
      <c r="F3" s="1338"/>
      <c r="G3" s="1338"/>
      <c r="H3" s="1338"/>
      <c r="I3" s="1338"/>
      <c r="J3" s="1338"/>
      <c r="K3" s="1338"/>
      <c r="L3" s="1338"/>
      <c r="M3" s="1338"/>
      <c r="N3" s="1338"/>
      <c r="O3" s="1339"/>
      <c r="P3" s="104"/>
      <c r="Q3" s="104"/>
      <c r="R3" s="104"/>
      <c r="S3" s="103"/>
      <c r="T3" s="103"/>
      <c r="U3" s="103"/>
      <c r="V3" s="103"/>
      <c r="W3" s="103"/>
      <c r="X3" s="103"/>
    </row>
    <row r="4" spans="1:24" ht="20.25">
      <c r="A4" s="103"/>
      <c r="B4" s="1340"/>
      <c r="C4" s="1341"/>
      <c r="D4" s="1341"/>
      <c r="E4" s="1341"/>
      <c r="F4" s="1341"/>
      <c r="G4" s="1341"/>
      <c r="H4" s="1341"/>
      <c r="I4" s="1341"/>
      <c r="J4" s="1341"/>
      <c r="K4" s="1341"/>
      <c r="L4" s="1341"/>
      <c r="M4" s="1341"/>
      <c r="N4" s="1341"/>
      <c r="O4" s="1342"/>
      <c r="P4" s="104"/>
      <c r="Q4" s="104"/>
      <c r="R4" s="104"/>
      <c r="S4" s="103"/>
      <c r="T4" s="103"/>
      <c r="U4" s="103"/>
      <c r="V4" s="103"/>
      <c r="W4" s="103"/>
      <c r="X4" s="103"/>
    </row>
    <row r="5" spans="1:24">
      <c r="A5" s="103"/>
      <c r="B5" s="105" t="s">
        <v>249</v>
      </c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6"/>
      <c r="O5" s="107"/>
      <c r="P5" s="104"/>
      <c r="Q5" s="104"/>
      <c r="R5" s="104"/>
      <c r="S5" s="103"/>
      <c r="T5" s="103"/>
      <c r="U5" s="103"/>
      <c r="V5" s="103"/>
      <c r="W5" s="103"/>
      <c r="X5" s="103"/>
    </row>
    <row r="6" spans="1:24">
      <c r="A6" s="103"/>
      <c r="B6" s="1343" t="s">
        <v>250</v>
      </c>
      <c r="C6" s="1344"/>
      <c r="D6" s="1344"/>
      <c r="E6" s="1344"/>
      <c r="F6" s="1344"/>
      <c r="G6" s="1344"/>
      <c r="H6" s="1344"/>
      <c r="I6" s="1344"/>
      <c r="J6" s="1344"/>
      <c r="K6" s="1344"/>
      <c r="L6" s="1345"/>
      <c r="M6" s="1345"/>
      <c r="N6" s="1345"/>
      <c r="O6" s="1346"/>
      <c r="P6" s="104"/>
      <c r="Q6" s="104"/>
      <c r="R6" s="104"/>
      <c r="S6" s="103"/>
      <c r="T6" s="103"/>
      <c r="U6" s="103"/>
      <c r="V6" s="103"/>
      <c r="W6" s="103"/>
      <c r="X6" s="103"/>
    </row>
    <row r="7" spans="1:24">
      <c r="A7" s="103"/>
      <c r="B7" s="1347" t="s">
        <v>251</v>
      </c>
      <c r="C7" s="1348"/>
      <c r="D7" s="1348"/>
      <c r="E7" s="1348"/>
      <c r="F7" s="1348"/>
      <c r="G7" s="1348"/>
      <c r="H7" s="1348"/>
      <c r="I7" s="1348"/>
      <c r="J7" s="1348"/>
      <c r="K7" s="1348"/>
      <c r="L7" s="1348"/>
      <c r="M7" s="1348"/>
      <c r="N7" s="1348"/>
      <c r="O7" s="1349"/>
      <c r="P7" s="104"/>
      <c r="Q7" s="104"/>
      <c r="R7" s="104"/>
      <c r="S7" s="103"/>
      <c r="T7" s="103"/>
      <c r="U7" s="103"/>
      <c r="V7" s="103"/>
      <c r="W7" s="103"/>
      <c r="X7" s="103"/>
    </row>
    <row r="8" spans="1:24">
      <c r="A8" s="103"/>
      <c r="B8" s="1330" t="s">
        <v>252</v>
      </c>
      <c r="C8" s="1331"/>
      <c r="D8" s="1331"/>
      <c r="E8" s="1331"/>
      <c r="F8" s="1331"/>
      <c r="G8" s="1331"/>
      <c r="H8" s="1331"/>
      <c r="I8" s="1331"/>
      <c r="J8" s="1331"/>
      <c r="K8" s="1331"/>
      <c r="L8" s="1332" t="s">
        <v>253</v>
      </c>
      <c r="M8" s="1332"/>
      <c r="N8" s="1332"/>
      <c r="O8" s="1333"/>
      <c r="P8" s="104"/>
      <c r="Q8" s="104"/>
      <c r="R8" s="104"/>
      <c r="S8" s="103"/>
      <c r="T8" s="103"/>
      <c r="U8" s="103"/>
      <c r="V8" s="103"/>
      <c r="W8" s="103"/>
      <c r="X8" s="103"/>
    </row>
    <row r="9" spans="1:24">
      <c r="A9" s="103"/>
      <c r="B9" s="1330" t="s">
        <v>254</v>
      </c>
      <c r="C9" s="1331"/>
      <c r="D9" s="1331"/>
      <c r="E9" s="1331"/>
      <c r="F9" s="1331"/>
      <c r="G9" s="1331"/>
      <c r="H9" s="1331"/>
      <c r="I9" s="1331"/>
      <c r="J9" s="1331"/>
      <c r="K9" s="1331"/>
      <c r="L9" s="1350">
        <v>0.03</v>
      </c>
      <c r="M9" s="1351"/>
      <c r="N9" s="1351"/>
      <c r="O9" s="1352"/>
      <c r="P9" s="104"/>
      <c r="Q9" s="104"/>
      <c r="R9" s="104"/>
      <c r="S9" s="103"/>
      <c r="T9" s="103"/>
      <c r="U9" s="103"/>
      <c r="V9" s="103"/>
      <c r="W9" s="103"/>
      <c r="X9" s="103"/>
    </row>
    <row r="10" spans="1:24">
      <c r="A10" s="103"/>
      <c r="B10" s="1330" t="s">
        <v>255</v>
      </c>
      <c r="C10" s="1331"/>
      <c r="D10" s="1331"/>
      <c r="E10" s="1331"/>
      <c r="F10" s="1331"/>
      <c r="G10" s="1331"/>
      <c r="H10" s="1331"/>
      <c r="I10" s="1331"/>
      <c r="J10" s="1331"/>
      <c r="K10" s="1331"/>
      <c r="L10" s="1350">
        <v>8.0000000000000002E-3</v>
      </c>
      <c r="M10" s="1351"/>
      <c r="N10" s="1351"/>
      <c r="O10" s="1352"/>
      <c r="P10" s="104"/>
      <c r="Q10" s="104"/>
      <c r="R10" s="104"/>
      <c r="S10" s="103"/>
      <c r="T10" s="103"/>
      <c r="U10" s="103"/>
      <c r="V10" s="103"/>
      <c r="W10" s="103"/>
      <c r="X10" s="103"/>
    </row>
    <row r="11" spans="1:24">
      <c r="A11" s="103"/>
      <c r="B11" s="1330" t="s">
        <v>256</v>
      </c>
      <c r="C11" s="1331"/>
      <c r="D11" s="1331"/>
      <c r="E11" s="1331"/>
      <c r="F11" s="1331"/>
      <c r="G11" s="1331"/>
      <c r="H11" s="1331"/>
      <c r="I11" s="1331"/>
      <c r="J11" s="1331"/>
      <c r="K11" s="1331"/>
      <c r="L11" s="1350">
        <v>9.7000000000000003E-3</v>
      </c>
      <c r="M11" s="1351"/>
      <c r="N11" s="1351"/>
      <c r="O11" s="1352"/>
      <c r="P11" s="104"/>
      <c r="Q11" s="104"/>
      <c r="R11" s="104"/>
      <c r="S11" s="103"/>
      <c r="T11" s="103"/>
      <c r="U11" s="103"/>
      <c r="V11" s="103"/>
      <c r="W11" s="103"/>
      <c r="X11" s="103"/>
    </row>
    <row r="12" spans="1:24">
      <c r="A12" s="103"/>
      <c r="B12" s="1330" t="s">
        <v>257</v>
      </c>
      <c r="C12" s="1331"/>
      <c r="D12" s="1331"/>
      <c r="E12" s="1331"/>
      <c r="F12" s="1331"/>
      <c r="G12" s="1331"/>
      <c r="H12" s="1331"/>
      <c r="I12" s="1331"/>
      <c r="J12" s="1331"/>
      <c r="K12" s="1331"/>
      <c r="L12" s="1350">
        <v>5.8999999999999999E-3</v>
      </c>
      <c r="M12" s="1351"/>
      <c r="N12" s="1351"/>
      <c r="O12" s="1352"/>
      <c r="P12" s="104"/>
      <c r="Q12" s="104"/>
      <c r="R12" s="104"/>
      <c r="S12" s="103"/>
      <c r="T12" s="103"/>
      <c r="U12" s="103"/>
      <c r="V12" s="103"/>
      <c r="W12" s="103"/>
      <c r="X12" s="103"/>
    </row>
    <row r="13" spans="1:24">
      <c r="A13" s="103"/>
      <c r="B13" s="1343" t="s">
        <v>258</v>
      </c>
      <c r="C13" s="1344"/>
      <c r="D13" s="1344"/>
      <c r="E13" s="1344"/>
      <c r="F13" s="1344"/>
      <c r="G13" s="1344"/>
      <c r="H13" s="1344"/>
      <c r="I13" s="1344"/>
      <c r="J13" s="1344"/>
      <c r="K13" s="1344"/>
      <c r="L13" s="1344"/>
      <c r="M13" s="1344"/>
      <c r="N13" s="1344"/>
      <c r="O13" s="1353"/>
      <c r="P13" s="104"/>
      <c r="Q13" s="104"/>
      <c r="R13" s="104"/>
      <c r="S13" s="103"/>
      <c r="T13" s="103"/>
      <c r="U13" s="103"/>
      <c r="V13" s="103"/>
      <c r="W13" s="103"/>
      <c r="X13" s="103"/>
    </row>
    <row r="14" spans="1:24">
      <c r="A14" s="103"/>
      <c r="B14" s="1330" t="s">
        <v>252</v>
      </c>
      <c r="C14" s="1331"/>
      <c r="D14" s="1331"/>
      <c r="E14" s="1331"/>
      <c r="F14" s="1331"/>
      <c r="G14" s="1331"/>
      <c r="H14" s="1331"/>
      <c r="I14" s="1331"/>
      <c r="J14" s="1331"/>
      <c r="K14" s="1331"/>
      <c r="L14" s="1332" t="s">
        <v>253</v>
      </c>
      <c r="M14" s="1332"/>
      <c r="N14" s="1332"/>
      <c r="O14" s="1333"/>
      <c r="P14" s="104"/>
      <c r="Q14" s="104"/>
      <c r="R14" s="104"/>
      <c r="S14" s="103"/>
      <c r="T14" s="103"/>
      <c r="U14" s="103"/>
      <c r="V14" s="103"/>
      <c r="W14" s="103"/>
      <c r="X14" s="103"/>
    </row>
    <row r="15" spans="1:24">
      <c r="A15" s="103"/>
      <c r="B15" s="1330" t="s">
        <v>259</v>
      </c>
      <c r="C15" s="1331"/>
      <c r="D15" s="1331"/>
      <c r="E15" s="1331"/>
      <c r="F15" s="1331"/>
      <c r="G15" s="1331"/>
      <c r="H15" s="1331"/>
      <c r="I15" s="1331"/>
      <c r="J15" s="1331"/>
      <c r="K15" s="1331"/>
      <c r="L15" s="1350">
        <f>L16+L18+L17+L19</f>
        <v>0.1065</v>
      </c>
      <c r="M15" s="1351"/>
      <c r="N15" s="1351"/>
      <c r="O15" s="1352"/>
      <c r="P15" s="104"/>
      <c r="Q15" s="104"/>
      <c r="R15" s="104"/>
      <c r="S15" s="103"/>
      <c r="T15" s="103"/>
      <c r="U15" s="103"/>
      <c r="V15" s="103"/>
      <c r="W15" s="103"/>
      <c r="X15" s="103"/>
    </row>
    <row r="16" spans="1:24">
      <c r="A16" s="103"/>
      <c r="B16" s="1330" t="s">
        <v>260</v>
      </c>
      <c r="C16" s="1331"/>
      <c r="D16" s="1331"/>
      <c r="E16" s="1331"/>
      <c r="F16" s="1331"/>
      <c r="G16" s="1331"/>
      <c r="H16" s="1331"/>
      <c r="I16" s="1331"/>
      <c r="J16" s="1331"/>
      <c r="K16" s="1331"/>
      <c r="L16" s="1354">
        <v>6.4999999999999997E-3</v>
      </c>
      <c r="M16" s="1332"/>
      <c r="N16" s="1332"/>
      <c r="O16" s="1333"/>
      <c r="P16" s="104"/>
      <c r="Q16" s="104"/>
      <c r="R16" s="104"/>
      <c r="S16" s="103"/>
      <c r="T16" s="103"/>
      <c r="U16" s="103"/>
      <c r="V16" s="103"/>
      <c r="W16" s="103"/>
      <c r="X16" s="103"/>
    </row>
    <row r="17" spans="1:24">
      <c r="A17" s="103"/>
      <c r="B17" s="1330" t="s">
        <v>261</v>
      </c>
      <c r="C17" s="1331"/>
      <c r="D17" s="1331"/>
      <c r="E17" s="1331"/>
      <c r="F17" s="1331"/>
      <c r="G17" s="1331"/>
      <c r="H17" s="1331"/>
      <c r="I17" s="1331"/>
      <c r="J17" s="1331"/>
      <c r="K17" s="1331"/>
      <c r="L17" s="1354">
        <v>0.03</v>
      </c>
      <c r="M17" s="1332"/>
      <c r="N17" s="1332"/>
      <c r="O17" s="1333"/>
      <c r="P17" s="104"/>
      <c r="Q17" s="104"/>
      <c r="R17" s="104"/>
      <c r="S17" s="103"/>
      <c r="T17" s="103"/>
      <c r="U17" s="103"/>
      <c r="V17" s="103"/>
      <c r="W17" s="103"/>
      <c r="X17" s="103"/>
    </row>
    <row r="18" spans="1:24">
      <c r="A18" s="103"/>
      <c r="B18" s="1330" t="s">
        <v>262</v>
      </c>
      <c r="C18" s="1331"/>
      <c r="D18" s="1331"/>
      <c r="E18" s="1331"/>
      <c r="F18" s="1331"/>
      <c r="G18" s="1331"/>
      <c r="H18" s="1331"/>
      <c r="I18" s="1331"/>
      <c r="J18" s="1331"/>
      <c r="K18" s="1331"/>
      <c r="L18" s="1354">
        <v>2.5000000000000001E-2</v>
      </c>
      <c r="M18" s="1332"/>
      <c r="N18" s="1332"/>
      <c r="O18" s="1333"/>
      <c r="P18" s="104"/>
      <c r="Q18" s="104"/>
      <c r="R18" s="104"/>
      <c r="S18" s="103"/>
      <c r="T18" s="103"/>
      <c r="U18" s="103"/>
      <c r="V18" s="103"/>
      <c r="W18" s="103"/>
      <c r="X18" s="103"/>
    </row>
    <row r="19" spans="1:24">
      <c r="A19" s="103"/>
      <c r="B19" s="1330" t="s">
        <v>263</v>
      </c>
      <c r="C19" s="1331"/>
      <c r="D19" s="1331"/>
      <c r="E19" s="1331"/>
      <c r="F19" s="1331"/>
      <c r="G19" s="1331"/>
      <c r="H19" s="1331"/>
      <c r="I19" s="1331"/>
      <c r="J19" s="1331"/>
      <c r="K19" s="1331"/>
      <c r="L19" s="1354">
        <v>4.4999999999999998E-2</v>
      </c>
      <c r="M19" s="1332"/>
      <c r="N19" s="1332"/>
      <c r="O19" s="1333"/>
      <c r="P19" s="104"/>
      <c r="Q19" s="104"/>
      <c r="R19" s="104"/>
      <c r="S19" s="103"/>
      <c r="T19" s="103"/>
      <c r="U19" s="103"/>
      <c r="V19" s="103"/>
      <c r="W19" s="103"/>
      <c r="X19" s="103"/>
    </row>
    <row r="20" spans="1:24">
      <c r="A20" s="103"/>
      <c r="B20" s="1330" t="s">
        <v>264</v>
      </c>
      <c r="C20" s="1331"/>
      <c r="D20" s="1331"/>
      <c r="E20" s="1331"/>
      <c r="F20" s="1331"/>
      <c r="G20" s="1331"/>
      <c r="H20" s="1331"/>
      <c r="I20" s="1331"/>
      <c r="J20" s="1331"/>
      <c r="K20" s="1331"/>
      <c r="L20" s="1350">
        <v>6.1600000000000002E-2</v>
      </c>
      <c r="M20" s="1351"/>
      <c r="N20" s="1351"/>
      <c r="O20" s="1352"/>
      <c r="P20" s="104"/>
      <c r="Q20" s="104"/>
      <c r="R20" s="104"/>
      <c r="S20" s="103"/>
      <c r="T20" s="103"/>
      <c r="U20" s="103"/>
      <c r="V20" s="103"/>
      <c r="W20" s="103"/>
      <c r="X20" s="103"/>
    </row>
    <row r="21" spans="1:24">
      <c r="A21" s="103"/>
      <c r="B21" s="1355"/>
      <c r="C21" s="1356"/>
      <c r="D21" s="1356"/>
      <c r="E21" s="1356"/>
      <c r="F21" s="1356"/>
      <c r="G21" s="1356"/>
      <c r="H21" s="1356"/>
      <c r="I21" s="1356"/>
      <c r="J21" s="1356"/>
      <c r="K21" s="1356"/>
      <c r="L21" s="1357"/>
      <c r="M21" s="1358"/>
      <c r="N21" s="1358"/>
      <c r="O21" s="1359"/>
      <c r="P21" s="104"/>
      <c r="Q21" s="104"/>
      <c r="R21" s="108"/>
      <c r="S21" s="103"/>
      <c r="T21" s="103"/>
      <c r="U21" s="103"/>
      <c r="V21" s="103"/>
      <c r="W21" s="103"/>
      <c r="X21" s="103"/>
    </row>
    <row r="22" spans="1:24">
      <c r="A22" s="103"/>
      <c r="B22" s="1362" t="s">
        <v>265</v>
      </c>
      <c r="C22" s="1363"/>
      <c r="D22" s="1363"/>
      <c r="E22" s="1363"/>
      <c r="F22" s="1363"/>
      <c r="G22" s="1363"/>
      <c r="H22" s="1363"/>
      <c r="I22" s="1363"/>
      <c r="J22" s="1364" t="s">
        <v>266</v>
      </c>
      <c r="K22" s="1365"/>
      <c r="L22" s="1366" t="s">
        <v>267</v>
      </c>
      <c r="M22" s="1367"/>
      <c r="N22" s="1367"/>
      <c r="O22" s="1368"/>
      <c r="P22" s="104"/>
      <c r="Q22" s="104"/>
      <c r="R22" s="108"/>
      <c r="S22" s="103"/>
      <c r="T22" s="109"/>
      <c r="U22" s="103"/>
      <c r="V22" s="103"/>
      <c r="W22" s="103"/>
      <c r="X22" s="103"/>
    </row>
    <row r="23" spans="1:24" ht="15" customHeight="1">
      <c r="A23" s="103"/>
      <c r="B23" s="1369" t="s">
        <v>268</v>
      </c>
      <c r="C23" s="1370"/>
      <c r="D23" s="1370"/>
      <c r="E23" s="1370"/>
      <c r="F23" s="1370"/>
      <c r="G23" s="1370"/>
      <c r="H23" s="1370"/>
      <c r="I23" s="1370"/>
      <c r="J23" s="1370"/>
      <c r="K23" s="1371"/>
      <c r="L23" s="1372" t="s">
        <v>269</v>
      </c>
      <c r="M23" s="1367"/>
      <c r="N23" s="1367"/>
      <c r="O23" s="1368"/>
      <c r="P23" s="104"/>
      <c r="Q23" s="104"/>
      <c r="R23" s="108"/>
      <c r="S23" s="110"/>
      <c r="T23" s="109"/>
      <c r="U23" s="110"/>
      <c r="V23" s="103"/>
      <c r="W23" s="103"/>
      <c r="X23" s="103"/>
    </row>
    <row r="24" spans="1:24" ht="15" customHeight="1">
      <c r="A24" s="103"/>
      <c r="B24" s="1369"/>
      <c r="C24" s="1370"/>
      <c r="D24" s="1370"/>
      <c r="E24" s="1370"/>
      <c r="F24" s="1370"/>
      <c r="G24" s="1370"/>
      <c r="H24" s="1370"/>
      <c r="I24" s="1370"/>
      <c r="J24" s="1370"/>
      <c r="K24" s="1371"/>
      <c r="L24" s="1373" t="s">
        <v>270</v>
      </c>
      <c r="M24" s="1374"/>
      <c r="N24" s="1374"/>
      <c r="O24" s="1375"/>
      <c r="P24" s="104"/>
      <c r="Q24" s="104"/>
      <c r="R24" s="108"/>
      <c r="S24" s="110"/>
      <c r="T24" s="109"/>
      <c r="U24" s="110"/>
      <c r="V24" s="103"/>
      <c r="W24" s="103"/>
      <c r="X24" s="103"/>
    </row>
    <row r="25" spans="1:24" ht="28.5" customHeight="1">
      <c r="A25" s="103"/>
      <c r="B25" s="1369"/>
      <c r="C25" s="1370"/>
      <c r="D25" s="1370"/>
      <c r="E25" s="1370"/>
      <c r="F25" s="1370"/>
      <c r="G25" s="1370"/>
      <c r="H25" s="1370"/>
      <c r="I25" s="1370"/>
      <c r="J25" s="1370"/>
      <c r="K25" s="1371"/>
      <c r="L25" s="1372" t="s">
        <v>271</v>
      </c>
      <c r="M25" s="1376"/>
      <c r="N25" s="1376"/>
      <c r="O25" s="1377"/>
      <c r="P25" s="104"/>
      <c r="Q25" s="104"/>
      <c r="R25" s="111"/>
      <c r="S25" s="110"/>
      <c r="T25" s="109"/>
      <c r="U25" s="110"/>
      <c r="V25" s="103"/>
      <c r="W25" s="103"/>
      <c r="X25" s="103"/>
    </row>
    <row r="26" spans="1:24" ht="44.25" customHeight="1">
      <c r="A26" s="103"/>
      <c r="B26" s="1378" t="s">
        <v>272</v>
      </c>
      <c r="C26" s="1379"/>
      <c r="D26" s="1379"/>
      <c r="E26" s="1379"/>
      <c r="F26" s="1379"/>
      <c r="G26" s="1379"/>
      <c r="H26" s="1379"/>
      <c r="I26" s="1379"/>
      <c r="J26" s="1379"/>
      <c r="K26" s="1380"/>
      <c r="L26" s="1384" t="s">
        <v>273</v>
      </c>
      <c r="M26" s="1385"/>
      <c r="N26" s="1385"/>
      <c r="O26" s="1386"/>
      <c r="P26" s="104"/>
      <c r="Q26" s="104"/>
      <c r="R26" s="108"/>
      <c r="S26" s="110"/>
      <c r="T26" s="109"/>
      <c r="U26" s="110"/>
      <c r="V26" s="103"/>
      <c r="W26" s="103"/>
      <c r="X26" s="103"/>
    </row>
    <row r="27" spans="1:24" ht="24.75" customHeight="1">
      <c r="A27" s="103"/>
      <c r="B27" s="1378"/>
      <c r="C27" s="1379"/>
      <c r="D27" s="1379"/>
      <c r="E27" s="1379"/>
      <c r="F27" s="1379"/>
      <c r="G27" s="1379"/>
      <c r="H27" s="1379"/>
      <c r="I27" s="1379"/>
      <c r="J27" s="1379"/>
      <c r="K27" s="1380"/>
      <c r="L27" s="1384" t="s">
        <v>274</v>
      </c>
      <c r="M27" s="1385"/>
      <c r="N27" s="1385"/>
      <c r="O27" s="1386"/>
      <c r="P27" s="104"/>
      <c r="Q27" s="104"/>
      <c r="R27" s="111"/>
      <c r="S27" s="110"/>
      <c r="T27" s="112"/>
      <c r="U27" s="109"/>
      <c r="V27" s="103"/>
      <c r="W27" s="103"/>
      <c r="X27" s="103"/>
    </row>
    <row r="28" spans="1:24" ht="31.5" customHeight="1">
      <c r="A28" s="103"/>
      <c r="B28" s="1381"/>
      <c r="C28" s="1382"/>
      <c r="D28" s="1382"/>
      <c r="E28" s="1382"/>
      <c r="F28" s="1382"/>
      <c r="G28" s="1382"/>
      <c r="H28" s="1382"/>
      <c r="I28" s="1382"/>
      <c r="J28" s="1382"/>
      <c r="K28" s="1383"/>
      <c r="L28" s="1387" t="s">
        <v>275</v>
      </c>
      <c r="M28" s="1388"/>
      <c r="N28" s="1388"/>
      <c r="O28" s="1389"/>
      <c r="P28" s="104"/>
      <c r="Q28" s="104"/>
      <c r="R28" s="108"/>
      <c r="S28" s="110"/>
      <c r="T28" s="103"/>
      <c r="U28" s="103"/>
      <c r="V28" s="103"/>
      <c r="W28" s="103"/>
      <c r="X28" s="103"/>
    </row>
    <row r="29" spans="1:24" ht="15.75">
      <c r="A29" s="103"/>
      <c r="B29" s="1390" t="s">
        <v>276</v>
      </c>
      <c r="C29" s="1391"/>
      <c r="D29" s="1391"/>
      <c r="E29" s="1391"/>
      <c r="F29" s="1391"/>
      <c r="G29" s="1391"/>
      <c r="H29" s="1391"/>
      <c r="I29" s="1391"/>
      <c r="J29" s="1391"/>
      <c r="K29" s="1391"/>
      <c r="L29" s="113"/>
      <c r="M29" s="114"/>
      <c r="N29" s="114"/>
      <c r="O29" s="115">
        <f>(((1+L9+L11+L10)*(1+L12)*(1+L20))/(1-L15))-1</f>
        <v>0.25215503759149449</v>
      </c>
      <c r="P29" s="104"/>
      <c r="Q29" s="104"/>
      <c r="R29" s="104"/>
      <c r="S29" s="103"/>
      <c r="T29" s="103"/>
      <c r="U29" s="103"/>
      <c r="V29" s="103"/>
      <c r="W29" s="103"/>
      <c r="X29" s="103"/>
    </row>
    <row r="30" spans="1:24">
      <c r="A30" s="103"/>
      <c r="B30" s="1343" t="s">
        <v>277</v>
      </c>
      <c r="C30" s="1344"/>
      <c r="D30" s="1344"/>
      <c r="E30" s="1344"/>
      <c r="F30" s="1344"/>
      <c r="G30" s="1344"/>
      <c r="H30" s="1344"/>
      <c r="I30" s="1344"/>
      <c r="J30" s="1344"/>
      <c r="K30" s="1344"/>
      <c r="L30" s="1360"/>
      <c r="M30" s="1360"/>
      <c r="N30" s="1360"/>
      <c r="O30" s="1361"/>
      <c r="P30" s="104"/>
      <c r="Q30" s="104"/>
      <c r="R30" s="104"/>
      <c r="S30" s="103"/>
      <c r="T30" s="103"/>
      <c r="U30" s="116"/>
      <c r="V30" s="103"/>
      <c r="W30" s="103"/>
      <c r="X30" s="103"/>
    </row>
    <row r="31" spans="1:24">
      <c r="A31" s="103"/>
      <c r="B31" s="1392" t="s">
        <v>278</v>
      </c>
      <c r="C31" s="1393"/>
      <c r="D31" s="1393"/>
      <c r="E31" s="1393"/>
      <c r="F31" s="117"/>
      <c r="G31" s="117"/>
      <c r="H31" s="117"/>
      <c r="I31" s="117"/>
      <c r="J31" s="117"/>
      <c r="K31" s="117"/>
      <c r="L31" s="118"/>
      <c r="M31" s="119" t="s">
        <v>0</v>
      </c>
      <c r="N31" s="117"/>
      <c r="O31" s="120"/>
      <c r="P31" s="104"/>
      <c r="Q31" s="104"/>
      <c r="R31" s="104"/>
      <c r="S31" s="121"/>
      <c r="T31" s="121"/>
      <c r="U31" s="112"/>
      <c r="V31" s="103"/>
      <c r="W31" s="103"/>
      <c r="X31" s="103"/>
    </row>
    <row r="32" spans="1:24">
      <c r="A32" s="103"/>
      <c r="B32" s="122"/>
      <c r="C32" s="123"/>
      <c r="D32" s="123"/>
      <c r="E32" s="123"/>
      <c r="F32" s="123"/>
      <c r="G32" s="123"/>
      <c r="H32" s="123"/>
      <c r="I32" s="123"/>
      <c r="J32" s="123"/>
      <c r="K32" s="123"/>
      <c r="L32" s="124"/>
      <c r="M32" s="125"/>
      <c r="N32" s="123"/>
      <c r="O32" s="126"/>
      <c r="P32" s="104"/>
      <c r="Q32" s="104"/>
      <c r="R32" s="104"/>
      <c r="S32" s="103"/>
      <c r="T32" s="103"/>
      <c r="U32" s="103"/>
      <c r="V32" s="103"/>
      <c r="W32" s="103"/>
      <c r="X32" s="103"/>
    </row>
    <row r="33" spans="1:24">
      <c r="A33" s="103"/>
      <c r="B33" s="1392" t="s">
        <v>279</v>
      </c>
      <c r="C33" s="1393"/>
      <c r="D33" s="1393"/>
      <c r="E33" s="117"/>
      <c r="F33" s="117"/>
      <c r="G33" s="117"/>
      <c r="H33" s="117"/>
      <c r="I33" s="117"/>
      <c r="J33" s="117"/>
      <c r="K33" s="117"/>
      <c r="L33" s="118"/>
      <c r="M33" s="119" t="s">
        <v>280</v>
      </c>
      <c r="N33" s="117"/>
      <c r="O33" s="120"/>
      <c r="P33" s="104"/>
      <c r="Q33" s="104"/>
      <c r="R33" s="104"/>
      <c r="S33" s="103"/>
      <c r="T33" s="103"/>
      <c r="U33" s="103"/>
      <c r="V33" s="103"/>
      <c r="W33" s="103"/>
      <c r="X33" s="103"/>
    </row>
    <row r="34" spans="1:24">
      <c r="A34" s="103"/>
      <c r="B34" s="127"/>
      <c r="C34" s="128"/>
      <c r="D34" s="128"/>
      <c r="E34" s="106"/>
      <c r="F34" s="106"/>
      <c r="G34" s="106"/>
      <c r="H34" s="106"/>
      <c r="I34" s="106"/>
      <c r="J34" s="106"/>
      <c r="K34" s="106"/>
      <c r="L34" s="129"/>
      <c r="M34" s="130"/>
      <c r="N34" s="106"/>
      <c r="O34" s="107"/>
      <c r="P34" s="104"/>
      <c r="Q34" s="104"/>
      <c r="R34" s="104"/>
      <c r="S34" s="103"/>
      <c r="T34" s="121"/>
      <c r="U34" s="103"/>
      <c r="V34" s="103"/>
      <c r="W34" s="103"/>
      <c r="X34" s="103"/>
    </row>
    <row r="35" spans="1:24">
      <c r="A35" s="103"/>
      <c r="B35" s="122"/>
      <c r="C35" s="123"/>
      <c r="D35" s="123"/>
      <c r="E35" s="123"/>
      <c r="F35" s="123"/>
      <c r="G35" s="123"/>
      <c r="H35" s="123"/>
      <c r="I35" s="123"/>
      <c r="J35" s="123"/>
      <c r="K35" s="123"/>
      <c r="L35" s="124"/>
      <c r="M35" s="125"/>
      <c r="N35" s="123"/>
      <c r="O35" s="126"/>
      <c r="P35" s="104"/>
      <c r="Q35" s="104"/>
      <c r="R35" s="104"/>
      <c r="S35" s="103"/>
      <c r="T35" s="103"/>
      <c r="U35" s="103"/>
      <c r="V35" s="103"/>
      <c r="W35" s="103"/>
      <c r="X35" s="103"/>
    </row>
    <row r="36" spans="1:24">
      <c r="A36" s="103"/>
      <c r="B36" s="131"/>
      <c r="C36" s="104"/>
      <c r="D36" s="104"/>
      <c r="E36" s="104"/>
      <c r="F36" s="104"/>
      <c r="G36" s="104"/>
      <c r="H36" s="104"/>
      <c r="I36" s="104"/>
      <c r="J36" s="104"/>
      <c r="K36" s="104"/>
      <c r="L36" s="104"/>
      <c r="M36" s="104"/>
      <c r="N36" s="104"/>
      <c r="O36" s="132"/>
      <c r="P36" s="104"/>
      <c r="Q36" s="104"/>
      <c r="R36" s="104"/>
      <c r="S36" s="103"/>
      <c r="T36" s="103"/>
      <c r="U36" s="103"/>
      <c r="V36" s="103"/>
      <c r="W36" s="103"/>
      <c r="X36" s="103"/>
    </row>
    <row r="37" spans="1:24">
      <c r="A37" s="103"/>
      <c r="B37" s="1394" t="s">
        <v>281</v>
      </c>
      <c r="C37" s="1395"/>
      <c r="D37" s="1395"/>
      <c r="E37" s="1395"/>
      <c r="F37" s="1395"/>
      <c r="G37" s="1395"/>
      <c r="H37" s="1395"/>
      <c r="I37" s="1395"/>
      <c r="J37" s="1395"/>
      <c r="K37" s="1395"/>
      <c r="L37" s="1395"/>
      <c r="M37" s="1395"/>
      <c r="N37" s="1395"/>
      <c r="O37" s="1396"/>
      <c r="P37" s="104"/>
      <c r="Q37" s="104"/>
      <c r="R37" s="104"/>
      <c r="S37" s="103"/>
      <c r="T37" s="103"/>
      <c r="U37" s="103"/>
      <c r="V37" s="103"/>
      <c r="W37" s="103"/>
      <c r="X37" s="103"/>
    </row>
    <row r="38" spans="1:24">
      <c r="A38" s="103"/>
      <c r="B38" s="1397" t="s">
        <v>282</v>
      </c>
      <c r="C38" s="1351"/>
      <c r="D38" s="1351"/>
      <c r="E38" s="1351"/>
      <c r="F38" s="1351"/>
      <c r="G38" s="1351"/>
      <c r="H38" s="1351"/>
      <c r="I38" s="1351"/>
      <c r="J38" s="1351"/>
      <c r="K38" s="1351"/>
      <c r="L38" s="1351" t="s">
        <v>283</v>
      </c>
      <c r="M38" s="1351"/>
      <c r="N38" s="1351"/>
      <c r="O38" s="1352"/>
      <c r="P38" s="104"/>
      <c r="Q38" s="104"/>
      <c r="R38" s="104"/>
      <c r="S38" s="103"/>
      <c r="T38" s="103"/>
      <c r="U38" s="103"/>
      <c r="V38" s="103"/>
      <c r="W38" s="103"/>
      <c r="X38" s="103"/>
    </row>
    <row r="39" spans="1:24">
      <c r="A39" s="103"/>
      <c r="B39" s="1330" t="s">
        <v>284</v>
      </c>
      <c r="C39" s="1331"/>
      <c r="D39" s="1331"/>
      <c r="E39" s="1331"/>
      <c r="F39" s="1331"/>
      <c r="G39" s="1331"/>
      <c r="H39" s="1331"/>
      <c r="I39" s="1331"/>
      <c r="J39" s="1331"/>
      <c r="K39" s="1331"/>
      <c r="L39" s="1354">
        <v>6.4999999999999997E-3</v>
      </c>
      <c r="M39" s="1354"/>
      <c r="N39" s="1354"/>
      <c r="O39" s="1398"/>
      <c r="P39" s="104"/>
      <c r="Q39" s="104"/>
      <c r="R39" s="104"/>
      <c r="S39" s="133"/>
      <c r="T39" s="103"/>
      <c r="U39" s="103"/>
      <c r="V39" s="103"/>
      <c r="W39" s="103"/>
      <c r="X39" s="103"/>
    </row>
    <row r="40" spans="1:24">
      <c r="A40" s="103"/>
      <c r="B40" s="1330" t="s">
        <v>285</v>
      </c>
      <c r="C40" s="1331"/>
      <c r="D40" s="1331"/>
      <c r="E40" s="1331"/>
      <c r="F40" s="1331"/>
      <c r="G40" s="1331"/>
      <c r="H40" s="1331"/>
      <c r="I40" s="1331"/>
      <c r="J40" s="1331"/>
      <c r="K40" s="1331"/>
      <c r="L40" s="1354">
        <v>0.03</v>
      </c>
      <c r="M40" s="1354"/>
      <c r="N40" s="1354"/>
      <c r="O40" s="1398"/>
      <c r="P40" s="104"/>
      <c r="Q40" s="104"/>
      <c r="R40" s="104"/>
      <c r="S40" s="109"/>
      <c r="T40" s="103"/>
      <c r="U40" s="103"/>
      <c r="V40" s="103"/>
      <c r="W40" s="103"/>
      <c r="X40" s="103"/>
    </row>
    <row r="41" spans="1:24">
      <c r="A41" s="103"/>
      <c r="B41" s="1330" t="s">
        <v>286</v>
      </c>
      <c r="C41" s="1331"/>
      <c r="D41" s="1331"/>
      <c r="E41" s="1331"/>
      <c r="F41" s="1331"/>
      <c r="G41" s="1331"/>
      <c r="H41" s="1331"/>
      <c r="I41" s="1331"/>
      <c r="J41" s="1331"/>
      <c r="K41" s="1331"/>
      <c r="L41" s="1354">
        <v>2.5000000000000001E-2</v>
      </c>
      <c r="M41" s="1354"/>
      <c r="N41" s="1354"/>
      <c r="O41" s="1398"/>
      <c r="P41" s="134"/>
      <c r="Q41" s="134"/>
      <c r="R41" s="134"/>
      <c r="S41" s="109"/>
      <c r="T41" s="103"/>
      <c r="U41" s="103"/>
      <c r="V41" s="103"/>
      <c r="W41" s="103"/>
      <c r="X41" s="103"/>
    </row>
    <row r="42" spans="1:24">
      <c r="A42" s="135"/>
      <c r="B42" s="1347" t="s">
        <v>287</v>
      </c>
      <c r="C42" s="1348"/>
      <c r="D42" s="1348"/>
      <c r="E42" s="1348"/>
      <c r="F42" s="1348"/>
      <c r="G42" s="1348"/>
      <c r="H42" s="1348"/>
      <c r="I42" s="1348"/>
      <c r="J42" s="1348"/>
      <c r="K42" s="1348"/>
      <c r="L42" s="1354">
        <f>L41+L40+L39</f>
        <v>6.1499999999999999E-2</v>
      </c>
      <c r="M42" s="1354"/>
      <c r="N42" s="1354"/>
      <c r="O42" s="1398"/>
      <c r="P42" s="104"/>
      <c r="Q42" s="104"/>
      <c r="R42" s="104"/>
      <c r="S42" s="135"/>
      <c r="T42" s="135"/>
      <c r="U42" s="135"/>
      <c r="V42" s="135"/>
      <c r="W42" s="135"/>
      <c r="X42" s="135"/>
    </row>
    <row r="43" spans="1:24">
      <c r="A43" s="103"/>
      <c r="B43" s="1330" t="s">
        <v>288</v>
      </c>
      <c r="C43" s="1331"/>
      <c r="D43" s="1331"/>
      <c r="E43" s="1331"/>
      <c r="F43" s="1331"/>
      <c r="G43" s="1331"/>
      <c r="H43" s="1331"/>
      <c r="I43" s="1331"/>
      <c r="J43" s="1331"/>
      <c r="K43" s="1331"/>
      <c r="L43" s="1354">
        <v>4.4999999999999998E-2</v>
      </c>
      <c r="M43" s="1354"/>
      <c r="N43" s="1354"/>
      <c r="O43" s="1398"/>
      <c r="P43" s="104"/>
      <c r="Q43" s="104"/>
      <c r="R43" s="104"/>
      <c r="S43" s="109"/>
      <c r="T43" s="103"/>
      <c r="U43" s="112"/>
      <c r="V43" s="103"/>
      <c r="W43" s="103"/>
      <c r="X43" s="103"/>
    </row>
    <row r="44" spans="1:24">
      <c r="A44" s="103"/>
      <c r="B44" s="1347" t="s">
        <v>25</v>
      </c>
      <c r="C44" s="1348"/>
      <c r="D44" s="1348"/>
      <c r="E44" s="1348"/>
      <c r="F44" s="1348"/>
      <c r="G44" s="1348"/>
      <c r="H44" s="1348"/>
      <c r="I44" s="1348"/>
      <c r="J44" s="1348"/>
      <c r="K44" s="1348"/>
      <c r="L44" s="1354">
        <f>L43+L42</f>
        <v>0.1065</v>
      </c>
      <c r="M44" s="1354"/>
      <c r="N44" s="1354"/>
      <c r="O44" s="1398"/>
      <c r="P44" s="104"/>
      <c r="Q44" s="104"/>
      <c r="R44" s="104"/>
      <c r="S44" s="103"/>
      <c r="T44" s="136"/>
      <c r="U44" s="103"/>
      <c r="V44" s="103"/>
      <c r="W44" s="103"/>
      <c r="X44" s="103"/>
    </row>
    <row r="45" spans="1:24">
      <c r="A45" s="103"/>
      <c r="B45" s="1355"/>
      <c r="C45" s="1356"/>
      <c r="D45" s="1356"/>
      <c r="E45" s="1356"/>
      <c r="F45" s="1356"/>
      <c r="G45" s="1356"/>
      <c r="H45" s="1356"/>
      <c r="I45" s="1356"/>
      <c r="J45" s="1356"/>
      <c r="K45" s="1356"/>
      <c r="L45" s="1357"/>
      <c r="M45" s="1357"/>
      <c r="N45" s="1357"/>
      <c r="O45" s="1399"/>
      <c r="P45" s="104"/>
      <c r="Q45" s="104"/>
      <c r="R45" s="104"/>
      <c r="S45" s="103"/>
      <c r="T45" s="103"/>
      <c r="U45" s="103"/>
      <c r="V45" s="103"/>
      <c r="W45" s="103"/>
      <c r="X45" s="103"/>
    </row>
    <row r="46" spans="1:24">
      <c r="A46" s="103"/>
      <c r="B46" s="1347" t="s">
        <v>289</v>
      </c>
      <c r="C46" s="1348"/>
      <c r="D46" s="1348"/>
      <c r="E46" s="1348"/>
      <c r="F46" s="1348"/>
      <c r="G46" s="1348"/>
      <c r="H46" s="1348"/>
      <c r="I46" s="1348"/>
      <c r="J46" s="1348"/>
      <c r="K46" s="1348"/>
      <c r="L46" s="1350">
        <f>L44</f>
        <v>0.1065</v>
      </c>
      <c r="M46" s="1350"/>
      <c r="N46" s="1350"/>
      <c r="O46" s="1400"/>
      <c r="P46" s="104"/>
      <c r="Q46" s="104"/>
      <c r="R46" s="104"/>
      <c r="S46" s="137"/>
      <c r="T46" s="103"/>
      <c r="U46" s="103"/>
      <c r="V46" s="103"/>
      <c r="W46" s="103"/>
      <c r="X46" s="103"/>
    </row>
    <row r="47" spans="1:24" ht="15" customHeight="1">
      <c r="A47" s="103"/>
      <c r="B47" s="1401" t="s">
        <v>290</v>
      </c>
      <c r="C47" s="1402"/>
      <c r="D47" s="1402"/>
      <c r="E47" s="1402"/>
      <c r="F47" s="1402"/>
      <c r="G47" s="1402"/>
      <c r="H47" s="1402"/>
      <c r="I47" s="1402"/>
      <c r="J47" s="1402"/>
      <c r="K47" s="1402"/>
      <c r="L47" s="1402"/>
      <c r="M47" s="1402"/>
      <c r="N47" s="1402"/>
      <c r="O47" s="1403"/>
      <c r="P47" s="104"/>
      <c r="Q47" s="104"/>
      <c r="R47" s="104"/>
      <c r="S47" s="121"/>
      <c r="T47" s="103"/>
      <c r="U47" s="103"/>
      <c r="V47" s="103"/>
      <c r="W47" s="103"/>
      <c r="X47" s="103"/>
    </row>
    <row r="48" spans="1:24" ht="15.75" thickBot="1">
      <c r="A48" s="103"/>
      <c r="B48" s="1404"/>
      <c r="C48" s="1405"/>
      <c r="D48" s="1405"/>
      <c r="E48" s="1405"/>
      <c r="F48" s="1405"/>
      <c r="G48" s="1405"/>
      <c r="H48" s="1405"/>
      <c r="I48" s="1405"/>
      <c r="J48" s="1405"/>
      <c r="K48" s="1405"/>
      <c r="L48" s="1405"/>
      <c r="M48" s="1405"/>
      <c r="N48" s="1405"/>
      <c r="O48" s="1406"/>
      <c r="P48" s="103"/>
      <c r="Q48" s="103"/>
      <c r="R48" s="103"/>
      <c r="S48" s="103"/>
      <c r="T48" s="103"/>
      <c r="U48" s="103"/>
      <c r="V48" s="103"/>
      <c r="W48" s="103"/>
      <c r="X48" s="103"/>
    </row>
    <row r="49" spans="1:24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</row>
    <row r="50" spans="1:24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</row>
    <row r="51" spans="1:24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</row>
  </sheetData>
  <mergeCells count="69">
    <mergeCell ref="B45:K45"/>
    <mergeCell ref="L45:O45"/>
    <mergeCell ref="B46:K46"/>
    <mergeCell ref="L46:O46"/>
    <mergeCell ref="B47:O48"/>
    <mergeCell ref="B42:K42"/>
    <mergeCell ref="L42:O42"/>
    <mergeCell ref="B43:K43"/>
    <mergeCell ref="L43:O43"/>
    <mergeCell ref="B44:K44"/>
    <mergeCell ref="L44:O44"/>
    <mergeCell ref="B39:K39"/>
    <mergeCell ref="L39:O39"/>
    <mergeCell ref="B40:K40"/>
    <mergeCell ref="L40:O40"/>
    <mergeCell ref="B41:K41"/>
    <mergeCell ref="L41:O41"/>
    <mergeCell ref="B31:E31"/>
    <mergeCell ref="B33:D33"/>
    <mergeCell ref="B37:K37"/>
    <mergeCell ref="L37:O37"/>
    <mergeCell ref="B38:K38"/>
    <mergeCell ref="L38:O38"/>
    <mergeCell ref="B30:K30"/>
    <mergeCell ref="L30:O30"/>
    <mergeCell ref="B22:I22"/>
    <mergeCell ref="J22:K22"/>
    <mergeCell ref="L22:O22"/>
    <mergeCell ref="B23:K25"/>
    <mergeCell ref="L23:O23"/>
    <mergeCell ref="L24:O24"/>
    <mergeCell ref="L25:O25"/>
    <mergeCell ref="B26:K28"/>
    <mergeCell ref="L26:O26"/>
    <mergeCell ref="L27:O27"/>
    <mergeCell ref="L28:O28"/>
    <mergeCell ref="B29:K29"/>
    <mergeCell ref="B19:K19"/>
    <mergeCell ref="L19:O19"/>
    <mergeCell ref="B20:K20"/>
    <mergeCell ref="L20:O20"/>
    <mergeCell ref="B21:K21"/>
    <mergeCell ref="L21:O21"/>
    <mergeCell ref="B16:K16"/>
    <mergeCell ref="L16:O16"/>
    <mergeCell ref="B17:K17"/>
    <mergeCell ref="L17:O17"/>
    <mergeCell ref="B18:K18"/>
    <mergeCell ref="L18:O18"/>
    <mergeCell ref="B15:K15"/>
    <mergeCell ref="L15:O15"/>
    <mergeCell ref="B9:K9"/>
    <mergeCell ref="L9:O9"/>
    <mergeCell ref="B10:K10"/>
    <mergeCell ref="L10:O10"/>
    <mergeCell ref="B11:K11"/>
    <mergeCell ref="L11:O11"/>
    <mergeCell ref="B12:K12"/>
    <mergeCell ref="L12:O12"/>
    <mergeCell ref="B13:O13"/>
    <mergeCell ref="B14:K14"/>
    <mergeCell ref="L14:O14"/>
    <mergeCell ref="B8:K8"/>
    <mergeCell ref="L8:O8"/>
    <mergeCell ref="B2:O3"/>
    <mergeCell ref="B4:O4"/>
    <mergeCell ref="B6:K6"/>
    <mergeCell ref="L6:O6"/>
    <mergeCell ref="B7:O7"/>
  </mergeCells>
  <pageMargins left="0.78740157480314965" right="0.78740157480314965" top="0.78740157480314965" bottom="0.78740157480314965" header="0.31496062992125984" footer="0.31496062992125984"/>
  <pageSetup paperSize="9" scale="6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6"/>
  <sheetViews>
    <sheetView view="pageBreakPreview" zoomScale="85" zoomScaleNormal="100" zoomScaleSheetLayoutView="85" workbookViewId="0">
      <selection activeCell="A59" sqref="A59"/>
    </sheetView>
  </sheetViews>
  <sheetFormatPr defaultRowHeight="15"/>
  <cols>
    <col min="1" max="1" width="17.42578125" style="26" bestFit="1" customWidth="1"/>
    <col min="2" max="2" width="17.140625" style="27" customWidth="1"/>
    <col min="3" max="3" width="35.85546875" style="27" customWidth="1"/>
    <col min="4" max="4" width="6.85546875" style="27" customWidth="1"/>
    <col min="5" max="5" width="8.85546875" style="28" bestFit="1" customWidth="1"/>
    <col min="6" max="6" width="11.28515625" style="29" bestFit="1" customWidth="1"/>
    <col min="7" max="7" width="13.5703125" style="29" bestFit="1" customWidth="1"/>
    <col min="8" max="8" width="23.5703125" style="29" customWidth="1"/>
    <col min="257" max="257" width="17.42578125" bestFit="1" customWidth="1"/>
    <col min="258" max="258" width="8.7109375" customWidth="1"/>
    <col min="259" max="259" width="58.85546875" customWidth="1"/>
    <col min="260" max="260" width="6.85546875" customWidth="1"/>
    <col min="261" max="261" width="8.42578125" bestFit="1" customWidth="1"/>
    <col min="262" max="262" width="11.28515625" bestFit="1" customWidth="1"/>
    <col min="263" max="264" width="13.5703125" bestFit="1" customWidth="1"/>
    <col min="513" max="513" width="17.42578125" bestFit="1" customWidth="1"/>
    <col min="514" max="514" width="8.7109375" customWidth="1"/>
    <col min="515" max="515" width="58.85546875" customWidth="1"/>
    <col min="516" max="516" width="6.85546875" customWidth="1"/>
    <col min="517" max="517" width="8.42578125" bestFit="1" customWidth="1"/>
    <col min="518" max="518" width="11.28515625" bestFit="1" customWidth="1"/>
    <col min="519" max="520" width="13.5703125" bestFit="1" customWidth="1"/>
    <col min="769" max="769" width="17.42578125" bestFit="1" customWidth="1"/>
    <col min="770" max="770" width="8.7109375" customWidth="1"/>
    <col min="771" max="771" width="58.85546875" customWidth="1"/>
    <col min="772" max="772" width="6.85546875" customWidth="1"/>
    <col min="773" max="773" width="8.42578125" bestFit="1" customWidth="1"/>
    <col min="774" max="774" width="11.28515625" bestFit="1" customWidth="1"/>
    <col min="775" max="776" width="13.5703125" bestFit="1" customWidth="1"/>
    <col min="1025" max="1025" width="17.42578125" bestFit="1" customWidth="1"/>
    <col min="1026" max="1026" width="8.7109375" customWidth="1"/>
    <col min="1027" max="1027" width="58.85546875" customWidth="1"/>
    <col min="1028" max="1028" width="6.85546875" customWidth="1"/>
    <col min="1029" max="1029" width="8.42578125" bestFit="1" customWidth="1"/>
    <col min="1030" max="1030" width="11.28515625" bestFit="1" customWidth="1"/>
    <col min="1031" max="1032" width="13.5703125" bestFit="1" customWidth="1"/>
    <col min="1281" max="1281" width="17.42578125" bestFit="1" customWidth="1"/>
    <col min="1282" max="1282" width="8.7109375" customWidth="1"/>
    <col min="1283" max="1283" width="58.85546875" customWidth="1"/>
    <col min="1284" max="1284" width="6.85546875" customWidth="1"/>
    <col min="1285" max="1285" width="8.42578125" bestFit="1" customWidth="1"/>
    <col min="1286" max="1286" width="11.28515625" bestFit="1" customWidth="1"/>
    <col min="1287" max="1288" width="13.5703125" bestFit="1" customWidth="1"/>
    <col min="1537" max="1537" width="17.42578125" bestFit="1" customWidth="1"/>
    <col min="1538" max="1538" width="8.7109375" customWidth="1"/>
    <col min="1539" max="1539" width="58.85546875" customWidth="1"/>
    <col min="1540" max="1540" width="6.85546875" customWidth="1"/>
    <col min="1541" max="1541" width="8.42578125" bestFit="1" customWidth="1"/>
    <col min="1542" max="1542" width="11.28515625" bestFit="1" customWidth="1"/>
    <col min="1543" max="1544" width="13.5703125" bestFit="1" customWidth="1"/>
    <col min="1793" max="1793" width="17.42578125" bestFit="1" customWidth="1"/>
    <col min="1794" max="1794" width="8.7109375" customWidth="1"/>
    <col min="1795" max="1795" width="58.85546875" customWidth="1"/>
    <col min="1796" max="1796" width="6.85546875" customWidth="1"/>
    <col min="1797" max="1797" width="8.42578125" bestFit="1" customWidth="1"/>
    <col min="1798" max="1798" width="11.28515625" bestFit="1" customWidth="1"/>
    <col min="1799" max="1800" width="13.5703125" bestFit="1" customWidth="1"/>
    <col min="2049" max="2049" width="17.42578125" bestFit="1" customWidth="1"/>
    <col min="2050" max="2050" width="8.7109375" customWidth="1"/>
    <col min="2051" max="2051" width="58.85546875" customWidth="1"/>
    <col min="2052" max="2052" width="6.85546875" customWidth="1"/>
    <col min="2053" max="2053" width="8.42578125" bestFit="1" customWidth="1"/>
    <col min="2054" max="2054" width="11.28515625" bestFit="1" customWidth="1"/>
    <col min="2055" max="2056" width="13.5703125" bestFit="1" customWidth="1"/>
    <col min="2305" max="2305" width="17.42578125" bestFit="1" customWidth="1"/>
    <col min="2306" max="2306" width="8.7109375" customWidth="1"/>
    <col min="2307" max="2307" width="58.85546875" customWidth="1"/>
    <col min="2308" max="2308" width="6.85546875" customWidth="1"/>
    <col min="2309" max="2309" width="8.42578125" bestFit="1" customWidth="1"/>
    <col min="2310" max="2310" width="11.28515625" bestFit="1" customWidth="1"/>
    <col min="2311" max="2312" width="13.5703125" bestFit="1" customWidth="1"/>
    <col min="2561" max="2561" width="17.42578125" bestFit="1" customWidth="1"/>
    <col min="2562" max="2562" width="8.7109375" customWidth="1"/>
    <col min="2563" max="2563" width="58.85546875" customWidth="1"/>
    <col min="2564" max="2564" width="6.85546875" customWidth="1"/>
    <col min="2565" max="2565" width="8.42578125" bestFit="1" customWidth="1"/>
    <col min="2566" max="2566" width="11.28515625" bestFit="1" customWidth="1"/>
    <col min="2567" max="2568" width="13.5703125" bestFit="1" customWidth="1"/>
    <col min="2817" max="2817" width="17.42578125" bestFit="1" customWidth="1"/>
    <col min="2818" max="2818" width="8.7109375" customWidth="1"/>
    <col min="2819" max="2819" width="58.85546875" customWidth="1"/>
    <col min="2820" max="2820" width="6.85546875" customWidth="1"/>
    <col min="2821" max="2821" width="8.42578125" bestFit="1" customWidth="1"/>
    <col min="2822" max="2822" width="11.28515625" bestFit="1" customWidth="1"/>
    <col min="2823" max="2824" width="13.5703125" bestFit="1" customWidth="1"/>
    <col min="3073" max="3073" width="17.42578125" bestFit="1" customWidth="1"/>
    <col min="3074" max="3074" width="8.7109375" customWidth="1"/>
    <col min="3075" max="3075" width="58.85546875" customWidth="1"/>
    <col min="3076" max="3076" width="6.85546875" customWidth="1"/>
    <col min="3077" max="3077" width="8.42578125" bestFit="1" customWidth="1"/>
    <col min="3078" max="3078" width="11.28515625" bestFit="1" customWidth="1"/>
    <col min="3079" max="3080" width="13.5703125" bestFit="1" customWidth="1"/>
    <col min="3329" max="3329" width="17.42578125" bestFit="1" customWidth="1"/>
    <col min="3330" max="3330" width="8.7109375" customWidth="1"/>
    <col min="3331" max="3331" width="58.85546875" customWidth="1"/>
    <col min="3332" max="3332" width="6.85546875" customWidth="1"/>
    <col min="3333" max="3333" width="8.42578125" bestFit="1" customWidth="1"/>
    <col min="3334" max="3334" width="11.28515625" bestFit="1" customWidth="1"/>
    <col min="3335" max="3336" width="13.5703125" bestFit="1" customWidth="1"/>
    <col min="3585" max="3585" width="17.42578125" bestFit="1" customWidth="1"/>
    <col min="3586" max="3586" width="8.7109375" customWidth="1"/>
    <col min="3587" max="3587" width="58.85546875" customWidth="1"/>
    <col min="3588" max="3588" width="6.85546875" customWidth="1"/>
    <col min="3589" max="3589" width="8.42578125" bestFit="1" customWidth="1"/>
    <col min="3590" max="3590" width="11.28515625" bestFit="1" customWidth="1"/>
    <col min="3591" max="3592" width="13.5703125" bestFit="1" customWidth="1"/>
    <col min="3841" max="3841" width="17.42578125" bestFit="1" customWidth="1"/>
    <col min="3842" max="3842" width="8.7109375" customWidth="1"/>
    <col min="3843" max="3843" width="58.85546875" customWidth="1"/>
    <col min="3844" max="3844" width="6.85546875" customWidth="1"/>
    <col min="3845" max="3845" width="8.42578125" bestFit="1" customWidth="1"/>
    <col min="3846" max="3846" width="11.28515625" bestFit="1" customWidth="1"/>
    <col min="3847" max="3848" width="13.5703125" bestFit="1" customWidth="1"/>
    <col min="4097" max="4097" width="17.42578125" bestFit="1" customWidth="1"/>
    <col min="4098" max="4098" width="8.7109375" customWidth="1"/>
    <col min="4099" max="4099" width="58.85546875" customWidth="1"/>
    <col min="4100" max="4100" width="6.85546875" customWidth="1"/>
    <col min="4101" max="4101" width="8.42578125" bestFit="1" customWidth="1"/>
    <col min="4102" max="4102" width="11.28515625" bestFit="1" customWidth="1"/>
    <col min="4103" max="4104" width="13.5703125" bestFit="1" customWidth="1"/>
    <col min="4353" max="4353" width="17.42578125" bestFit="1" customWidth="1"/>
    <col min="4354" max="4354" width="8.7109375" customWidth="1"/>
    <col min="4355" max="4355" width="58.85546875" customWidth="1"/>
    <col min="4356" max="4356" width="6.85546875" customWidth="1"/>
    <col min="4357" max="4357" width="8.42578125" bestFit="1" customWidth="1"/>
    <col min="4358" max="4358" width="11.28515625" bestFit="1" customWidth="1"/>
    <col min="4359" max="4360" width="13.5703125" bestFit="1" customWidth="1"/>
    <col min="4609" max="4609" width="17.42578125" bestFit="1" customWidth="1"/>
    <col min="4610" max="4610" width="8.7109375" customWidth="1"/>
    <col min="4611" max="4611" width="58.85546875" customWidth="1"/>
    <col min="4612" max="4612" width="6.85546875" customWidth="1"/>
    <col min="4613" max="4613" width="8.42578125" bestFit="1" customWidth="1"/>
    <col min="4614" max="4614" width="11.28515625" bestFit="1" customWidth="1"/>
    <col min="4615" max="4616" width="13.5703125" bestFit="1" customWidth="1"/>
    <col min="4865" max="4865" width="17.42578125" bestFit="1" customWidth="1"/>
    <col min="4866" max="4866" width="8.7109375" customWidth="1"/>
    <col min="4867" max="4867" width="58.85546875" customWidth="1"/>
    <col min="4868" max="4868" width="6.85546875" customWidth="1"/>
    <col min="4869" max="4869" width="8.42578125" bestFit="1" customWidth="1"/>
    <col min="4870" max="4870" width="11.28515625" bestFit="1" customWidth="1"/>
    <col min="4871" max="4872" width="13.5703125" bestFit="1" customWidth="1"/>
    <col min="5121" max="5121" width="17.42578125" bestFit="1" customWidth="1"/>
    <col min="5122" max="5122" width="8.7109375" customWidth="1"/>
    <col min="5123" max="5123" width="58.85546875" customWidth="1"/>
    <col min="5124" max="5124" width="6.85546875" customWidth="1"/>
    <col min="5125" max="5125" width="8.42578125" bestFit="1" customWidth="1"/>
    <col min="5126" max="5126" width="11.28515625" bestFit="1" customWidth="1"/>
    <col min="5127" max="5128" width="13.5703125" bestFit="1" customWidth="1"/>
    <col min="5377" max="5377" width="17.42578125" bestFit="1" customWidth="1"/>
    <col min="5378" max="5378" width="8.7109375" customWidth="1"/>
    <col min="5379" max="5379" width="58.85546875" customWidth="1"/>
    <col min="5380" max="5380" width="6.85546875" customWidth="1"/>
    <col min="5381" max="5381" width="8.42578125" bestFit="1" customWidth="1"/>
    <col min="5382" max="5382" width="11.28515625" bestFit="1" customWidth="1"/>
    <col min="5383" max="5384" width="13.5703125" bestFit="1" customWidth="1"/>
    <col min="5633" max="5633" width="17.42578125" bestFit="1" customWidth="1"/>
    <col min="5634" max="5634" width="8.7109375" customWidth="1"/>
    <col min="5635" max="5635" width="58.85546875" customWidth="1"/>
    <col min="5636" max="5636" width="6.85546875" customWidth="1"/>
    <col min="5637" max="5637" width="8.42578125" bestFit="1" customWidth="1"/>
    <col min="5638" max="5638" width="11.28515625" bestFit="1" customWidth="1"/>
    <col min="5639" max="5640" width="13.5703125" bestFit="1" customWidth="1"/>
    <col min="5889" max="5889" width="17.42578125" bestFit="1" customWidth="1"/>
    <col min="5890" max="5890" width="8.7109375" customWidth="1"/>
    <col min="5891" max="5891" width="58.85546875" customWidth="1"/>
    <col min="5892" max="5892" width="6.85546875" customWidth="1"/>
    <col min="5893" max="5893" width="8.42578125" bestFit="1" customWidth="1"/>
    <col min="5894" max="5894" width="11.28515625" bestFit="1" customWidth="1"/>
    <col min="5895" max="5896" width="13.5703125" bestFit="1" customWidth="1"/>
    <col min="6145" max="6145" width="17.42578125" bestFit="1" customWidth="1"/>
    <col min="6146" max="6146" width="8.7109375" customWidth="1"/>
    <col min="6147" max="6147" width="58.85546875" customWidth="1"/>
    <col min="6148" max="6148" width="6.85546875" customWidth="1"/>
    <col min="6149" max="6149" width="8.42578125" bestFit="1" customWidth="1"/>
    <col min="6150" max="6150" width="11.28515625" bestFit="1" customWidth="1"/>
    <col min="6151" max="6152" width="13.5703125" bestFit="1" customWidth="1"/>
    <col min="6401" max="6401" width="17.42578125" bestFit="1" customWidth="1"/>
    <col min="6402" max="6402" width="8.7109375" customWidth="1"/>
    <col min="6403" max="6403" width="58.85546875" customWidth="1"/>
    <col min="6404" max="6404" width="6.85546875" customWidth="1"/>
    <col min="6405" max="6405" width="8.42578125" bestFit="1" customWidth="1"/>
    <col min="6406" max="6406" width="11.28515625" bestFit="1" customWidth="1"/>
    <col min="6407" max="6408" width="13.5703125" bestFit="1" customWidth="1"/>
    <col min="6657" max="6657" width="17.42578125" bestFit="1" customWidth="1"/>
    <col min="6658" max="6658" width="8.7109375" customWidth="1"/>
    <col min="6659" max="6659" width="58.85546875" customWidth="1"/>
    <col min="6660" max="6660" width="6.85546875" customWidth="1"/>
    <col min="6661" max="6661" width="8.42578125" bestFit="1" customWidth="1"/>
    <col min="6662" max="6662" width="11.28515625" bestFit="1" customWidth="1"/>
    <col min="6663" max="6664" width="13.5703125" bestFit="1" customWidth="1"/>
    <col min="6913" max="6913" width="17.42578125" bestFit="1" customWidth="1"/>
    <col min="6914" max="6914" width="8.7109375" customWidth="1"/>
    <col min="6915" max="6915" width="58.85546875" customWidth="1"/>
    <col min="6916" max="6916" width="6.85546875" customWidth="1"/>
    <col min="6917" max="6917" width="8.42578125" bestFit="1" customWidth="1"/>
    <col min="6918" max="6918" width="11.28515625" bestFit="1" customWidth="1"/>
    <col min="6919" max="6920" width="13.5703125" bestFit="1" customWidth="1"/>
    <col min="7169" max="7169" width="17.42578125" bestFit="1" customWidth="1"/>
    <col min="7170" max="7170" width="8.7109375" customWidth="1"/>
    <col min="7171" max="7171" width="58.85546875" customWidth="1"/>
    <col min="7172" max="7172" width="6.85546875" customWidth="1"/>
    <col min="7173" max="7173" width="8.42578125" bestFit="1" customWidth="1"/>
    <col min="7174" max="7174" width="11.28515625" bestFit="1" customWidth="1"/>
    <col min="7175" max="7176" width="13.5703125" bestFit="1" customWidth="1"/>
    <col min="7425" max="7425" width="17.42578125" bestFit="1" customWidth="1"/>
    <col min="7426" max="7426" width="8.7109375" customWidth="1"/>
    <col min="7427" max="7427" width="58.85546875" customWidth="1"/>
    <col min="7428" max="7428" width="6.85546875" customWidth="1"/>
    <col min="7429" max="7429" width="8.42578125" bestFit="1" customWidth="1"/>
    <col min="7430" max="7430" width="11.28515625" bestFit="1" customWidth="1"/>
    <col min="7431" max="7432" width="13.5703125" bestFit="1" customWidth="1"/>
    <col min="7681" max="7681" width="17.42578125" bestFit="1" customWidth="1"/>
    <col min="7682" max="7682" width="8.7109375" customWidth="1"/>
    <col min="7683" max="7683" width="58.85546875" customWidth="1"/>
    <col min="7684" max="7684" width="6.85546875" customWidth="1"/>
    <col min="7685" max="7685" width="8.42578125" bestFit="1" customWidth="1"/>
    <col min="7686" max="7686" width="11.28515625" bestFit="1" customWidth="1"/>
    <col min="7687" max="7688" width="13.5703125" bestFit="1" customWidth="1"/>
    <col min="7937" max="7937" width="17.42578125" bestFit="1" customWidth="1"/>
    <col min="7938" max="7938" width="8.7109375" customWidth="1"/>
    <col min="7939" max="7939" width="58.85546875" customWidth="1"/>
    <col min="7940" max="7940" width="6.85546875" customWidth="1"/>
    <col min="7941" max="7941" width="8.42578125" bestFit="1" customWidth="1"/>
    <col min="7942" max="7942" width="11.28515625" bestFit="1" customWidth="1"/>
    <col min="7943" max="7944" width="13.5703125" bestFit="1" customWidth="1"/>
    <col min="8193" max="8193" width="17.42578125" bestFit="1" customWidth="1"/>
    <col min="8194" max="8194" width="8.7109375" customWidth="1"/>
    <col min="8195" max="8195" width="58.85546875" customWidth="1"/>
    <col min="8196" max="8196" width="6.85546875" customWidth="1"/>
    <col min="8197" max="8197" width="8.42578125" bestFit="1" customWidth="1"/>
    <col min="8198" max="8198" width="11.28515625" bestFit="1" customWidth="1"/>
    <col min="8199" max="8200" width="13.5703125" bestFit="1" customWidth="1"/>
    <col min="8449" max="8449" width="17.42578125" bestFit="1" customWidth="1"/>
    <col min="8450" max="8450" width="8.7109375" customWidth="1"/>
    <col min="8451" max="8451" width="58.85546875" customWidth="1"/>
    <col min="8452" max="8452" width="6.85546875" customWidth="1"/>
    <col min="8453" max="8453" width="8.42578125" bestFit="1" customWidth="1"/>
    <col min="8454" max="8454" width="11.28515625" bestFit="1" customWidth="1"/>
    <col min="8455" max="8456" width="13.5703125" bestFit="1" customWidth="1"/>
    <col min="8705" max="8705" width="17.42578125" bestFit="1" customWidth="1"/>
    <col min="8706" max="8706" width="8.7109375" customWidth="1"/>
    <col min="8707" max="8707" width="58.85546875" customWidth="1"/>
    <col min="8708" max="8708" width="6.85546875" customWidth="1"/>
    <col min="8709" max="8709" width="8.42578125" bestFit="1" customWidth="1"/>
    <col min="8710" max="8710" width="11.28515625" bestFit="1" customWidth="1"/>
    <col min="8711" max="8712" width="13.5703125" bestFit="1" customWidth="1"/>
    <col min="8961" max="8961" width="17.42578125" bestFit="1" customWidth="1"/>
    <col min="8962" max="8962" width="8.7109375" customWidth="1"/>
    <col min="8963" max="8963" width="58.85546875" customWidth="1"/>
    <col min="8964" max="8964" width="6.85546875" customWidth="1"/>
    <col min="8965" max="8965" width="8.42578125" bestFit="1" customWidth="1"/>
    <col min="8966" max="8966" width="11.28515625" bestFit="1" customWidth="1"/>
    <col min="8967" max="8968" width="13.5703125" bestFit="1" customWidth="1"/>
    <col min="9217" max="9217" width="17.42578125" bestFit="1" customWidth="1"/>
    <col min="9218" max="9218" width="8.7109375" customWidth="1"/>
    <col min="9219" max="9219" width="58.85546875" customWidth="1"/>
    <col min="9220" max="9220" width="6.85546875" customWidth="1"/>
    <col min="9221" max="9221" width="8.42578125" bestFit="1" customWidth="1"/>
    <col min="9222" max="9222" width="11.28515625" bestFit="1" customWidth="1"/>
    <col min="9223" max="9224" width="13.5703125" bestFit="1" customWidth="1"/>
    <col min="9473" max="9473" width="17.42578125" bestFit="1" customWidth="1"/>
    <col min="9474" max="9474" width="8.7109375" customWidth="1"/>
    <col min="9475" max="9475" width="58.85546875" customWidth="1"/>
    <col min="9476" max="9476" width="6.85546875" customWidth="1"/>
    <col min="9477" max="9477" width="8.42578125" bestFit="1" customWidth="1"/>
    <col min="9478" max="9478" width="11.28515625" bestFit="1" customWidth="1"/>
    <col min="9479" max="9480" width="13.5703125" bestFit="1" customWidth="1"/>
    <col min="9729" max="9729" width="17.42578125" bestFit="1" customWidth="1"/>
    <col min="9730" max="9730" width="8.7109375" customWidth="1"/>
    <col min="9731" max="9731" width="58.85546875" customWidth="1"/>
    <col min="9732" max="9732" width="6.85546875" customWidth="1"/>
    <col min="9733" max="9733" width="8.42578125" bestFit="1" customWidth="1"/>
    <col min="9734" max="9734" width="11.28515625" bestFit="1" customWidth="1"/>
    <col min="9735" max="9736" width="13.5703125" bestFit="1" customWidth="1"/>
    <col min="9985" max="9985" width="17.42578125" bestFit="1" customWidth="1"/>
    <col min="9986" max="9986" width="8.7109375" customWidth="1"/>
    <col min="9987" max="9987" width="58.85546875" customWidth="1"/>
    <col min="9988" max="9988" width="6.85546875" customWidth="1"/>
    <col min="9989" max="9989" width="8.42578125" bestFit="1" customWidth="1"/>
    <col min="9990" max="9990" width="11.28515625" bestFit="1" customWidth="1"/>
    <col min="9991" max="9992" width="13.5703125" bestFit="1" customWidth="1"/>
    <col min="10241" max="10241" width="17.42578125" bestFit="1" customWidth="1"/>
    <col min="10242" max="10242" width="8.7109375" customWidth="1"/>
    <col min="10243" max="10243" width="58.85546875" customWidth="1"/>
    <col min="10244" max="10244" width="6.85546875" customWidth="1"/>
    <col min="10245" max="10245" width="8.42578125" bestFit="1" customWidth="1"/>
    <col min="10246" max="10246" width="11.28515625" bestFit="1" customWidth="1"/>
    <col min="10247" max="10248" width="13.5703125" bestFit="1" customWidth="1"/>
    <col min="10497" max="10497" width="17.42578125" bestFit="1" customWidth="1"/>
    <col min="10498" max="10498" width="8.7109375" customWidth="1"/>
    <col min="10499" max="10499" width="58.85546875" customWidth="1"/>
    <col min="10500" max="10500" width="6.85546875" customWidth="1"/>
    <col min="10501" max="10501" width="8.42578125" bestFit="1" customWidth="1"/>
    <col min="10502" max="10502" width="11.28515625" bestFit="1" customWidth="1"/>
    <col min="10503" max="10504" width="13.5703125" bestFit="1" customWidth="1"/>
    <col min="10753" max="10753" width="17.42578125" bestFit="1" customWidth="1"/>
    <col min="10754" max="10754" width="8.7109375" customWidth="1"/>
    <col min="10755" max="10755" width="58.85546875" customWidth="1"/>
    <col min="10756" max="10756" width="6.85546875" customWidth="1"/>
    <col min="10757" max="10757" width="8.42578125" bestFit="1" customWidth="1"/>
    <col min="10758" max="10758" width="11.28515625" bestFit="1" customWidth="1"/>
    <col min="10759" max="10760" width="13.5703125" bestFit="1" customWidth="1"/>
    <col min="11009" max="11009" width="17.42578125" bestFit="1" customWidth="1"/>
    <col min="11010" max="11010" width="8.7109375" customWidth="1"/>
    <col min="11011" max="11011" width="58.85546875" customWidth="1"/>
    <col min="11012" max="11012" width="6.85546875" customWidth="1"/>
    <col min="11013" max="11013" width="8.42578125" bestFit="1" customWidth="1"/>
    <col min="11014" max="11014" width="11.28515625" bestFit="1" customWidth="1"/>
    <col min="11015" max="11016" width="13.5703125" bestFit="1" customWidth="1"/>
    <col min="11265" max="11265" width="17.42578125" bestFit="1" customWidth="1"/>
    <col min="11266" max="11266" width="8.7109375" customWidth="1"/>
    <col min="11267" max="11267" width="58.85546875" customWidth="1"/>
    <col min="11268" max="11268" width="6.85546875" customWidth="1"/>
    <col min="11269" max="11269" width="8.42578125" bestFit="1" customWidth="1"/>
    <col min="11270" max="11270" width="11.28515625" bestFit="1" customWidth="1"/>
    <col min="11271" max="11272" width="13.5703125" bestFit="1" customWidth="1"/>
    <col min="11521" max="11521" width="17.42578125" bestFit="1" customWidth="1"/>
    <col min="11522" max="11522" width="8.7109375" customWidth="1"/>
    <col min="11523" max="11523" width="58.85546875" customWidth="1"/>
    <col min="11524" max="11524" width="6.85546875" customWidth="1"/>
    <col min="11525" max="11525" width="8.42578125" bestFit="1" customWidth="1"/>
    <col min="11526" max="11526" width="11.28515625" bestFit="1" customWidth="1"/>
    <col min="11527" max="11528" width="13.5703125" bestFit="1" customWidth="1"/>
    <col min="11777" max="11777" width="17.42578125" bestFit="1" customWidth="1"/>
    <col min="11778" max="11778" width="8.7109375" customWidth="1"/>
    <col min="11779" max="11779" width="58.85546875" customWidth="1"/>
    <col min="11780" max="11780" width="6.85546875" customWidth="1"/>
    <col min="11781" max="11781" width="8.42578125" bestFit="1" customWidth="1"/>
    <col min="11782" max="11782" width="11.28515625" bestFit="1" customWidth="1"/>
    <col min="11783" max="11784" width="13.5703125" bestFit="1" customWidth="1"/>
    <col min="12033" max="12033" width="17.42578125" bestFit="1" customWidth="1"/>
    <col min="12034" max="12034" width="8.7109375" customWidth="1"/>
    <col min="12035" max="12035" width="58.85546875" customWidth="1"/>
    <col min="12036" max="12036" width="6.85546875" customWidth="1"/>
    <col min="12037" max="12037" width="8.42578125" bestFit="1" customWidth="1"/>
    <col min="12038" max="12038" width="11.28515625" bestFit="1" customWidth="1"/>
    <col min="12039" max="12040" width="13.5703125" bestFit="1" customWidth="1"/>
    <col min="12289" max="12289" width="17.42578125" bestFit="1" customWidth="1"/>
    <col min="12290" max="12290" width="8.7109375" customWidth="1"/>
    <col min="12291" max="12291" width="58.85546875" customWidth="1"/>
    <col min="12292" max="12292" width="6.85546875" customWidth="1"/>
    <col min="12293" max="12293" width="8.42578125" bestFit="1" customWidth="1"/>
    <col min="12294" max="12294" width="11.28515625" bestFit="1" customWidth="1"/>
    <col min="12295" max="12296" width="13.5703125" bestFit="1" customWidth="1"/>
    <col min="12545" max="12545" width="17.42578125" bestFit="1" customWidth="1"/>
    <col min="12546" max="12546" width="8.7109375" customWidth="1"/>
    <col min="12547" max="12547" width="58.85546875" customWidth="1"/>
    <col min="12548" max="12548" width="6.85546875" customWidth="1"/>
    <col min="12549" max="12549" width="8.42578125" bestFit="1" customWidth="1"/>
    <col min="12550" max="12550" width="11.28515625" bestFit="1" customWidth="1"/>
    <col min="12551" max="12552" width="13.5703125" bestFit="1" customWidth="1"/>
    <col min="12801" max="12801" width="17.42578125" bestFit="1" customWidth="1"/>
    <col min="12802" max="12802" width="8.7109375" customWidth="1"/>
    <col min="12803" max="12803" width="58.85546875" customWidth="1"/>
    <col min="12804" max="12804" width="6.85546875" customWidth="1"/>
    <col min="12805" max="12805" width="8.42578125" bestFit="1" customWidth="1"/>
    <col min="12806" max="12806" width="11.28515625" bestFit="1" customWidth="1"/>
    <col min="12807" max="12808" width="13.5703125" bestFit="1" customWidth="1"/>
    <col min="13057" max="13057" width="17.42578125" bestFit="1" customWidth="1"/>
    <col min="13058" max="13058" width="8.7109375" customWidth="1"/>
    <col min="13059" max="13059" width="58.85546875" customWidth="1"/>
    <col min="13060" max="13060" width="6.85546875" customWidth="1"/>
    <col min="13061" max="13061" width="8.42578125" bestFit="1" customWidth="1"/>
    <col min="13062" max="13062" width="11.28515625" bestFit="1" customWidth="1"/>
    <col min="13063" max="13064" width="13.5703125" bestFit="1" customWidth="1"/>
    <col min="13313" max="13313" width="17.42578125" bestFit="1" customWidth="1"/>
    <col min="13314" max="13314" width="8.7109375" customWidth="1"/>
    <col min="13315" max="13315" width="58.85546875" customWidth="1"/>
    <col min="13316" max="13316" width="6.85546875" customWidth="1"/>
    <col min="13317" max="13317" width="8.42578125" bestFit="1" customWidth="1"/>
    <col min="13318" max="13318" width="11.28515625" bestFit="1" customWidth="1"/>
    <col min="13319" max="13320" width="13.5703125" bestFit="1" customWidth="1"/>
    <col min="13569" max="13569" width="17.42578125" bestFit="1" customWidth="1"/>
    <col min="13570" max="13570" width="8.7109375" customWidth="1"/>
    <col min="13571" max="13571" width="58.85546875" customWidth="1"/>
    <col min="13572" max="13572" width="6.85546875" customWidth="1"/>
    <col min="13573" max="13573" width="8.42578125" bestFit="1" customWidth="1"/>
    <col min="13574" max="13574" width="11.28515625" bestFit="1" customWidth="1"/>
    <col min="13575" max="13576" width="13.5703125" bestFit="1" customWidth="1"/>
    <col min="13825" max="13825" width="17.42578125" bestFit="1" customWidth="1"/>
    <col min="13826" max="13826" width="8.7109375" customWidth="1"/>
    <col min="13827" max="13827" width="58.85546875" customWidth="1"/>
    <col min="13828" max="13828" width="6.85546875" customWidth="1"/>
    <col min="13829" max="13829" width="8.42578125" bestFit="1" customWidth="1"/>
    <col min="13830" max="13830" width="11.28515625" bestFit="1" customWidth="1"/>
    <col min="13831" max="13832" width="13.5703125" bestFit="1" customWidth="1"/>
    <col min="14081" max="14081" width="17.42578125" bestFit="1" customWidth="1"/>
    <col min="14082" max="14082" width="8.7109375" customWidth="1"/>
    <col min="14083" max="14083" width="58.85546875" customWidth="1"/>
    <col min="14084" max="14084" width="6.85546875" customWidth="1"/>
    <col min="14085" max="14085" width="8.42578125" bestFit="1" customWidth="1"/>
    <col min="14086" max="14086" width="11.28515625" bestFit="1" customWidth="1"/>
    <col min="14087" max="14088" width="13.5703125" bestFit="1" customWidth="1"/>
    <col min="14337" max="14337" width="17.42578125" bestFit="1" customWidth="1"/>
    <col min="14338" max="14338" width="8.7109375" customWidth="1"/>
    <col min="14339" max="14339" width="58.85546875" customWidth="1"/>
    <col min="14340" max="14340" width="6.85546875" customWidth="1"/>
    <col min="14341" max="14341" width="8.42578125" bestFit="1" customWidth="1"/>
    <col min="14342" max="14342" width="11.28515625" bestFit="1" customWidth="1"/>
    <col min="14343" max="14344" width="13.5703125" bestFit="1" customWidth="1"/>
    <col min="14593" max="14593" width="17.42578125" bestFit="1" customWidth="1"/>
    <col min="14594" max="14594" width="8.7109375" customWidth="1"/>
    <col min="14595" max="14595" width="58.85546875" customWidth="1"/>
    <col min="14596" max="14596" width="6.85546875" customWidth="1"/>
    <col min="14597" max="14597" width="8.42578125" bestFit="1" customWidth="1"/>
    <col min="14598" max="14598" width="11.28515625" bestFit="1" customWidth="1"/>
    <col min="14599" max="14600" width="13.5703125" bestFit="1" customWidth="1"/>
    <col min="14849" max="14849" width="17.42578125" bestFit="1" customWidth="1"/>
    <col min="14850" max="14850" width="8.7109375" customWidth="1"/>
    <col min="14851" max="14851" width="58.85546875" customWidth="1"/>
    <col min="14852" max="14852" width="6.85546875" customWidth="1"/>
    <col min="14853" max="14853" width="8.42578125" bestFit="1" customWidth="1"/>
    <col min="14854" max="14854" width="11.28515625" bestFit="1" customWidth="1"/>
    <col min="14855" max="14856" width="13.5703125" bestFit="1" customWidth="1"/>
    <col min="15105" max="15105" width="17.42578125" bestFit="1" customWidth="1"/>
    <col min="15106" max="15106" width="8.7109375" customWidth="1"/>
    <col min="15107" max="15107" width="58.85546875" customWidth="1"/>
    <col min="15108" max="15108" width="6.85546875" customWidth="1"/>
    <col min="15109" max="15109" width="8.42578125" bestFit="1" customWidth="1"/>
    <col min="15110" max="15110" width="11.28515625" bestFit="1" customWidth="1"/>
    <col min="15111" max="15112" width="13.5703125" bestFit="1" customWidth="1"/>
    <col min="15361" max="15361" width="17.42578125" bestFit="1" customWidth="1"/>
    <col min="15362" max="15362" width="8.7109375" customWidth="1"/>
    <col min="15363" max="15363" width="58.85546875" customWidth="1"/>
    <col min="15364" max="15364" width="6.85546875" customWidth="1"/>
    <col min="15365" max="15365" width="8.42578125" bestFit="1" customWidth="1"/>
    <col min="15366" max="15366" width="11.28515625" bestFit="1" customWidth="1"/>
    <col min="15367" max="15368" width="13.5703125" bestFit="1" customWidth="1"/>
    <col min="15617" max="15617" width="17.42578125" bestFit="1" customWidth="1"/>
    <col min="15618" max="15618" width="8.7109375" customWidth="1"/>
    <col min="15619" max="15619" width="58.85546875" customWidth="1"/>
    <col min="15620" max="15620" width="6.85546875" customWidth="1"/>
    <col min="15621" max="15621" width="8.42578125" bestFit="1" customWidth="1"/>
    <col min="15622" max="15622" width="11.28515625" bestFit="1" customWidth="1"/>
    <col min="15623" max="15624" width="13.5703125" bestFit="1" customWidth="1"/>
    <col min="15873" max="15873" width="17.42578125" bestFit="1" customWidth="1"/>
    <col min="15874" max="15874" width="8.7109375" customWidth="1"/>
    <col min="15875" max="15875" width="58.85546875" customWidth="1"/>
    <col min="15876" max="15876" width="6.85546875" customWidth="1"/>
    <col min="15877" max="15877" width="8.42578125" bestFit="1" customWidth="1"/>
    <col min="15878" max="15878" width="11.28515625" bestFit="1" customWidth="1"/>
    <col min="15879" max="15880" width="13.5703125" bestFit="1" customWidth="1"/>
    <col min="16129" max="16129" width="17.42578125" bestFit="1" customWidth="1"/>
    <col min="16130" max="16130" width="8.7109375" customWidth="1"/>
    <col min="16131" max="16131" width="58.85546875" customWidth="1"/>
    <col min="16132" max="16132" width="6.85546875" customWidth="1"/>
    <col min="16133" max="16133" width="8.42578125" bestFit="1" customWidth="1"/>
    <col min="16134" max="16134" width="11.28515625" bestFit="1" customWidth="1"/>
    <col min="16135" max="16136" width="13.5703125" bestFit="1" customWidth="1"/>
  </cols>
  <sheetData>
    <row r="1" spans="1:13">
      <c r="A1" s="961"/>
      <c r="B1" s="962"/>
      <c r="C1" s="1073" t="s">
        <v>17</v>
      </c>
      <c r="D1" s="1074"/>
      <c r="E1" s="1074"/>
      <c r="F1" s="1074"/>
      <c r="G1" s="1074"/>
      <c r="H1" s="1075"/>
    </row>
    <row r="2" spans="1:13">
      <c r="A2" s="962"/>
      <c r="B2" s="962"/>
      <c r="C2" s="1076"/>
      <c r="D2" s="1077"/>
      <c r="E2" s="1077"/>
      <c r="F2" s="1077"/>
      <c r="G2" s="1077"/>
      <c r="H2" s="1078"/>
    </row>
    <row r="3" spans="1:13">
      <c r="A3" s="962"/>
      <c r="B3" s="962"/>
      <c r="C3" s="1076"/>
      <c r="D3" s="1077"/>
      <c r="E3" s="1077"/>
      <c r="F3" s="1077"/>
      <c r="G3" s="1077"/>
      <c r="H3" s="1078"/>
    </row>
    <row r="4" spans="1:13">
      <c r="A4" s="962"/>
      <c r="B4" s="962"/>
      <c r="C4" s="1076"/>
      <c r="D4" s="1077"/>
      <c r="E4" s="1077"/>
      <c r="F4" s="1077"/>
      <c r="G4" s="1077"/>
      <c r="H4" s="1078"/>
    </row>
    <row r="5" spans="1:13">
      <c r="A5" s="962"/>
      <c r="B5" s="962"/>
      <c r="C5" s="1079"/>
      <c r="D5" s="1080"/>
      <c r="E5" s="1080"/>
      <c r="F5" s="1080"/>
      <c r="G5" s="1080"/>
      <c r="H5" s="1081"/>
    </row>
    <row r="6" spans="1:13">
      <c r="A6" s="1073" t="s">
        <v>80</v>
      </c>
      <c r="B6" s="1082"/>
      <c r="C6" s="1073" t="s">
        <v>1035</v>
      </c>
      <c r="D6" s="1074"/>
      <c r="E6" s="1074"/>
      <c r="F6" s="1074"/>
      <c r="G6" s="1074"/>
      <c r="H6" s="1075"/>
    </row>
    <row r="7" spans="1:13">
      <c r="A7" s="1083"/>
      <c r="B7" s="1084"/>
      <c r="C7" s="1079"/>
      <c r="D7" s="1080"/>
      <c r="E7" s="1080"/>
      <c r="F7" s="1080"/>
      <c r="G7" s="1080"/>
      <c r="H7" s="1081"/>
    </row>
    <row r="8" spans="1:13" ht="15.75" customHeight="1">
      <c r="A8" s="1073" t="s">
        <v>1516</v>
      </c>
      <c r="B8" s="1075"/>
      <c r="C8" s="1073" t="s">
        <v>1038</v>
      </c>
      <c r="D8" s="1074"/>
      <c r="E8" s="1074"/>
      <c r="F8" s="1074"/>
      <c r="G8" s="1074"/>
      <c r="H8" s="1075"/>
    </row>
    <row r="9" spans="1:13">
      <c r="A9" s="1079"/>
      <c r="B9" s="1081"/>
      <c r="C9" s="1079"/>
      <c r="D9" s="1080"/>
      <c r="E9" s="1080"/>
      <c r="F9" s="1080"/>
      <c r="G9" s="1080"/>
      <c r="H9" s="1081"/>
    </row>
    <row r="10" spans="1:13" ht="27.75" customHeight="1">
      <c r="A10" s="1085" t="s">
        <v>220</v>
      </c>
      <c r="B10" s="1086"/>
      <c r="C10" s="102" t="s">
        <v>221</v>
      </c>
      <c r="D10" s="251"/>
      <c r="E10" s="251"/>
      <c r="F10" s="251"/>
      <c r="G10" s="251"/>
      <c r="H10" s="252"/>
    </row>
    <row r="11" spans="1:13">
      <c r="A11" s="964" t="s">
        <v>1036</v>
      </c>
      <c r="B11" s="964"/>
      <c r="C11" s="964"/>
      <c r="D11" s="964"/>
      <c r="E11" s="964"/>
      <c r="F11" s="964"/>
      <c r="G11" s="965" t="s">
        <v>2</v>
      </c>
      <c r="H11" s="966">
        <f>[5]BDI!O29</f>
        <v>0.25215503759149449</v>
      </c>
    </row>
    <row r="12" spans="1:13">
      <c r="A12" s="964" t="s">
        <v>1037</v>
      </c>
      <c r="B12" s="964"/>
      <c r="C12" s="964"/>
      <c r="D12" s="964"/>
      <c r="E12" s="964"/>
      <c r="F12" s="964"/>
      <c r="G12" s="965"/>
      <c r="H12" s="966"/>
    </row>
    <row r="13" spans="1:13">
      <c r="A13" s="968" t="s">
        <v>18</v>
      </c>
      <c r="B13" s="968" t="s">
        <v>19</v>
      </c>
      <c r="C13" s="968" t="s">
        <v>20</v>
      </c>
      <c r="D13" s="972"/>
      <c r="E13" s="972"/>
      <c r="F13" s="972"/>
      <c r="G13" s="972"/>
      <c r="H13" s="972"/>
    </row>
    <row r="14" spans="1:13">
      <c r="A14" s="969"/>
      <c r="B14" s="968"/>
      <c r="C14" s="968"/>
      <c r="D14" s="1" t="s">
        <v>21</v>
      </c>
      <c r="E14" s="2" t="s">
        <v>22</v>
      </c>
      <c r="F14" s="3" t="s">
        <v>23</v>
      </c>
      <c r="G14" s="3" t="s">
        <v>24</v>
      </c>
      <c r="H14" s="3" t="s">
        <v>25</v>
      </c>
    </row>
    <row r="15" spans="1:13" ht="26.25" customHeight="1">
      <c r="A15" s="4"/>
      <c r="B15" s="4" t="s">
        <v>26</v>
      </c>
      <c r="C15" s="5" t="s">
        <v>5</v>
      </c>
      <c r="D15" s="4"/>
      <c r="E15" s="6"/>
      <c r="F15" s="7"/>
      <c r="G15" s="7"/>
      <c r="H15" s="7">
        <f>SUM(H16:H21)</f>
        <v>8711.2150816692319</v>
      </c>
    </row>
    <row r="16" spans="1:13" ht="26.25" customHeight="1">
      <c r="A16" s="38" t="s">
        <v>1084</v>
      </c>
      <c r="B16" s="337" t="s">
        <v>6</v>
      </c>
      <c r="C16" s="258" t="s">
        <v>10</v>
      </c>
      <c r="D16" s="337" t="s">
        <v>7</v>
      </c>
      <c r="E16" s="99">
        <v>900</v>
      </c>
      <c r="F16" s="314">
        <v>2.73</v>
      </c>
      <c r="G16" s="329">
        <f>F16+F16*$H$11</f>
        <v>3.4183832526247802</v>
      </c>
      <c r="H16" s="10">
        <f t="shared" ref="H16:H21" si="0">G16*E16</f>
        <v>3076.5449273623021</v>
      </c>
      <c r="I16" s="1091" t="s">
        <v>587</v>
      </c>
      <c r="J16" s="1092"/>
      <c r="K16" s="1092"/>
      <c r="L16" s="1092"/>
      <c r="M16" s="1092"/>
    </row>
    <row r="17" spans="1:13">
      <c r="A17" s="38" t="str">
        <f>COMPOSIÇÕES!B160</f>
        <v>COMPOSIÇÃO 15</v>
      </c>
      <c r="B17" s="337" t="s">
        <v>29</v>
      </c>
      <c r="C17" s="258" t="str">
        <f>COMPOSIÇÕES!C160</f>
        <v>DEMOLIÇÃO DE PEDRA CALCÁREA</v>
      </c>
      <c r="D17" s="337" t="s">
        <v>7</v>
      </c>
      <c r="E17" s="99">
        <v>80</v>
      </c>
      <c r="F17" s="314">
        <f>COMPOSIÇÕES!G166</f>
        <v>30.396599999999999</v>
      </c>
      <c r="G17" s="329">
        <f>F17+F17*$H$11</f>
        <v>38.061255815653624</v>
      </c>
      <c r="H17" s="10">
        <f t="shared" si="0"/>
        <v>3044.9004652522899</v>
      </c>
      <c r="I17" s="1091" t="s">
        <v>587</v>
      </c>
      <c r="J17" s="1092"/>
      <c r="K17" s="1092"/>
      <c r="L17" s="1092"/>
      <c r="M17" s="1092"/>
    </row>
    <row r="18" spans="1:13" s="11" customFormat="1" ht="41.25" customHeight="1">
      <c r="A18" s="1" t="s">
        <v>16</v>
      </c>
      <c r="B18" s="337" t="s">
        <v>31</v>
      </c>
      <c r="C18" s="8" t="s">
        <v>27</v>
      </c>
      <c r="D18" s="1" t="s">
        <v>7</v>
      </c>
      <c r="E18" s="100">
        <v>42</v>
      </c>
      <c r="F18" s="10">
        <v>2.62</v>
      </c>
      <c r="G18" s="101">
        <f t="shared" ref="G18:G65" si="1">F18+F18*$H$11</f>
        <v>3.2806461984897157</v>
      </c>
      <c r="H18" s="10">
        <f t="shared" si="0"/>
        <v>137.78714033656806</v>
      </c>
      <c r="I18" s="1091" t="s">
        <v>97</v>
      </c>
      <c r="J18" s="1092"/>
      <c r="K18" s="1092"/>
      <c r="L18" s="1092"/>
      <c r="M18" s="1092"/>
    </row>
    <row r="19" spans="1:13" s="11" customFormat="1" ht="37.5" customHeight="1">
      <c r="A19" s="1" t="s">
        <v>28</v>
      </c>
      <c r="B19" s="337" t="s">
        <v>79</v>
      </c>
      <c r="C19" s="8" t="s">
        <v>8</v>
      </c>
      <c r="D19" s="1" t="s">
        <v>7</v>
      </c>
      <c r="E19" s="100">
        <v>42</v>
      </c>
      <c r="F19" s="10">
        <v>18.8</v>
      </c>
      <c r="G19" s="101">
        <f t="shared" si="1"/>
        <v>23.540514706720096</v>
      </c>
      <c r="H19" s="10">
        <f t="shared" si="0"/>
        <v>988.70161768224398</v>
      </c>
      <c r="I19" s="1070" t="s">
        <v>97</v>
      </c>
      <c r="J19" s="1071"/>
      <c r="K19" s="1071"/>
      <c r="L19" s="1071"/>
      <c r="M19" s="1071"/>
    </row>
    <row r="20" spans="1:13" s="11" customFormat="1">
      <c r="A20" s="1" t="str">
        <f>COMPOSIÇÕES!B133</f>
        <v>COMPOSIÇÃO 12</v>
      </c>
      <c r="B20" s="337" t="s">
        <v>196</v>
      </c>
      <c r="C20" s="8" t="str">
        <f>COMPOSIÇÕES!C133</f>
        <v>DEMOLIÇÃO DE FORROS</v>
      </c>
      <c r="D20" s="1" t="s">
        <v>7</v>
      </c>
      <c r="E20" s="100">
        <f>'MEMORIA VOVO PESSOINHHA '!L211</f>
        <v>156.745</v>
      </c>
      <c r="F20" s="10">
        <f>COMPOSIÇÕES!G139</f>
        <v>3.9748000000000001</v>
      </c>
      <c r="G20" s="101">
        <f t="shared" si="1"/>
        <v>4.9770658434186723</v>
      </c>
      <c r="H20" s="10">
        <f t="shared" si="0"/>
        <v>780.1301856266598</v>
      </c>
      <c r="I20" s="1070" t="s">
        <v>458</v>
      </c>
      <c r="J20" s="1071"/>
      <c r="K20" s="1071"/>
      <c r="L20" s="1071"/>
      <c r="M20" s="1071"/>
    </row>
    <row r="21" spans="1:13" s="11" customFormat="1">
      <c r="A21" s="1" t="str">
        <f>COMPOSIÇÕES!B95</f>
        <v>COMPOSIÇÃO 08</v>
      </c>
      <c r="B21" s="337" t="s">
        <v>637</v>
      </c>
      <c r="C21" s="8" t="str">
        <f>COMPOSIÇÕES!C95</f>
        <v>DEMOLIÇAO DE REBOCO</v>
      </c>
      <c r="D21" s="1" t="s">
        <v>7</v>
      </c>
      <c r="E21" s="100">
        <v>63</v>
      </c>
      <c r="F21" s="10">
        <f>COMPOSIÇÕES!G100</f>
        <v>8.66</v>
      </c>
      <c r="G21" s="101">
        <f t="shared" si="1"/>
        <v>10.843662625542343</v>
      </c>
      <c r="H21" s="10">
        <f t="shared" si="0"/>
        <v>683.1507454091676</v>
      </c>
      <c r="I21" s="1070" t="s">
        <v>598</v>
      </c>
      <c r="J21" s="1071"/>
      <c r="K21" s="1071"/>
      <c r="L21" s="1071"/>
      <c r="M21" s="1071"/>
    </row>
    <row r="22" spans="1:13" s="11" customFormat="1" ht="13.5" customHeight="1">
      <c r="A22" s="951"/>
      <c r="B22" s="952"/>
      <c r="C22" s="952"/>
      <c r="D22" s="952"/>
      <c r="E22" s="952"/>
      <c r="F22" s="952"/>
      <c r="G22" s="952"/>
      <c r="H22" s="953"/>
      <c r="I22" s="326"/>
      <c r="J22" s="328"/>
      <c r="K22" s="328"/>
      <c r="L22" s="328"/>
      <c r="M22" s="328"/>
    </row>
    <row r="23" spans="1:13" s="11" customFormat="1" ht="18.75" customHeight="1">
      <c r="A23" s="4"/>
      <c r="B23" s="4" t="s">
        <v>11</v>
      </c>
      <c r="C23" s="5" t="s">
        <v>624</v>
      </c>
      <c r="D23" s="4"/>
      <c r="E23" s="6"/>
      <c r="F23" s="7"/>
      <c r="G23" s="7"/>
      <c r="H23" s="7">
        <f>SUM(H24)</f>
        <v>1862.4929675647165</v>
      </c>
      <c r="I23" s="326"/>
      <c r="J23" s="328"/>
      <c r="K23" s="328"/>
      <c r="L23" s="328"/>
      <c r="M23" s="328"/>
    </row>
    <row r="24" spans="1:13" s="11" customFormat="1" ht="91.5" customHeight="1">
      <c r="A24" s="337" t="s">
        <v>625</v>
      </c>
      <c r="B24" s="337" t="s">
        <v>12</v>
      </c>
      <c r="C24" s="344" t="s">
        <v>635</v>
      </c>
      <c r="D24" s="337" t="s">
        <v>7</v>
      </c>
      <c r="E24" s="99">
        <v>21</v>
      </c>
      <c r="F24" s="32">
        <v>70.83</v>
      </c>
      <c r="G24" s="329">
        <f>F24+F24*$H$11</f>
        <v>88.690141312605547</v>
      </c>
      <c r="H24" s="32">
        <f>G24*E24</f>
        <v>1862.4929675647165</v>
      </c>
      <c r="I24" s="326"/>
      <c r="J24" s="328"/>
      <c r="K24" s="328"/>
      <c r="L24" s="328"/>
      <c r="M24" s="328"/>
    </row>
    <row r="25" spans="1:13">
      <c r="A25" s="1090"/>
      <c r="B25" s="1090"/>
      <c r="C25" s="1090"/>
      <c r="D25" s="1090"/>
      <c r="E25" s="1090"/>
      <c r="F25" s="1090"/>
      <c r="G25" s="1090"/>
      <c r="H25" s="1090"/>
      <c r="I25" s="218"/>
      <c r="J25" s="219"/>
      <c r="K25" s="219"/>
      <c r="L25" s="219"/>
      <c r="M25" s="219"/>
    </row>
    <row r="26" spans="1:13">
      <c r="A26" s="4"/>
      <c r="B26" s="4" t="s">
        <v>13</v>
      </c>
      <c r="C26" s="5" t="s">
        <v>34</v>
      </c>
      <c r="D26" s="4"/>
      <c r="E26" s="6"/>
      <c r="F26" s="7"/>
      <c r="G26" s="7"/>
      <c r="H26" s="7">
        <f>SUM(H27:H33)</f>
        <v>31389.617851861978</v>
      </c>
      <c r="I26" s="218"/>
      <c r="J26" s="218"/>
      <c r="K26" s="218"/>
      <c r="L26" s="219"/>
      <c r="M26" s="219"/>
    </row>
    <row r="27" spans="1:13" ht="39.75" customHeight="1">
      <c r="A27" s="1" t="s">
        <v>36</v>
      </c>
      <c r="B27" s="1" t="s">
        <v>14</v>
      </c>
      <c r="C27" s="386" t="s">
        <v>839</v>
      </c>
      <c r="D27" s="13" t="s">
        <v>7</v>
      </c>
      <c r="E27" s="9">
        <v>404.48</v>
      </c>
      <c r="F27" s="32">
        <v>13.67</v>
      </c>
      <c r="G27" s="101">
        <f t="shared" si="1"/>
        <v>17.116959363875729</v>
      </c>
      <c r="H27" s="10">
        <f t="shared" ref="H27:H33" si="2">G27*E27</f>
        <v>6923.4677235004556</v>
      </c>
      <c r="I27" s="1070" t="s">
        <v>599</v>
      </c>
      <c r="J27" s="1071"/>
      <c r="K27" s="1071"/>
      <c r="L27" s="1071"/>
      <c r="M27" s="1071"/>
    </row>
    <row r="28" spans="1:13" ht="37.5" customHeight="1">
      <c r="A28" s="1" t="s">
        <v>1285</v>
      </c>
      <c r="B28" s="370" t="s">
        <v>35</v>
      </c>
      <c r="C28" s="386" t="s">
        <v>841</v>
      </c>
      <c r="D28" s="13" t="s">
        <v>7</v>
      </c>
      <c r="E28" s="9">
        <f>'MEMORIA VOVO PESSOINHHA '!L652</f>
        <v>592.03059999999994</v>
      </c>
      <c r="F28" s="32">
        <v>14.26</v>
      </c>
      <c r="G28" s="101">
        <f t="shared" si="1"/>
        <v>17.855730836054711</v>
      </c>
      <c r="H28" s="10">
        <f t="shared" si="2"/>
        <v>10571.139040307971</v>
      </c>
      <c r="I28" s="1070" t="s">
        <v>599</v>
      </c>
      <c r="J28" s="1071"/>
      <c r="K28" s="1071"/>
      <c r="L28" s="1071"/>
      <c r="M28" s="1071"/>
    </row>
    <row r="29" spans="1:13" ht="39" customHeight="1">
      <c r="A29" s="370" t="str">
        <f>COMPOSIÇÕES!B188</f>
        <v>COMPOSIÇÃO 18</v>
      </c>
      <c r="B29" s="370" t="s">
        <v>37</v>
      </c>
      <c r="C29" s="386" t="str">
        <f>COMPOSIÇÕES!C188</f>
        <v>PINTURA DE ACABAMENTO COM APLICAÇÃO DE 02 DEMÃOS DE ESMALTE SOBRE PAREDE (EXTERNO E INTERNO)</v>
      </c>
      <c r="D29" s="13" t="s">
        <v>7</v>
      </c>
      <c r="E29" s="9">
        <f>'MEMORIA VOVO PESSOINHHA '!L684</f>
        <v>296.01529999999997</v>
      </c>
      <c r="F29" s="32">
        <f>COMPOSIÇÕES!G195</f>
        <v>15.700000000000001</v>
      </c>
      <c r="G29" s="364">
        <f t="shared" si="1"/>
        <v>19.658834090186463</v>
      </c>
      <c r="H29" s="10">
        <f t="shared" si="2"/>
        <v>5819.3156708567722</v>
      </c>
      <c r="I29" s="362"/>
      <c r="J29" s="363"/>
      <c r="K29" s="363"/>
      <c r="L29" s="363"/>
      <c r="M29" s="363"/>
    </row>
    <row r="30" spans="1:13" ht="28.5" customHeight="1">
      <c r="A30" s="1" t="str">
        <f>COMPOSIÇÕES!B622</f>
        <v>COMPOSIÇÃO 29</v>
      </c>
      <c r="B30" s="370" t="s">
        <v>39</v>
      </c>
      <c r="C30" s="344" t="str">
        <f>COMPOSIÇÕES!C622</f>
        <v>APLICAÇÃO MECÂNICA DE PINTURA COM TINTA LÁTEX PVA EM TETO, DUAS DEMÃOS</v>
      </c>
      <c r="D30" s="13" t="s">
        <v>482</v>
      </c>
      <c r="E30" s="9">
        <f>'MEMORIA VOVO PESSOINHHA '!L718</f>
        <v>156.745</v>
      </c>
      <c r="F30" s="32">
        <f>COMPOSIÇÕES!G630</f>
        <v>10.499575999999999</v>
      </c>
      <c r="G30" s="101">
        <f>F30+F30*$H$11</f>
        <v>13.147096980974752</v>
      </c>
      <c r="H30" s="10">
        <f t="shared" si="2"/>
        <v>2060.7417162828874</v>
      </c>
      <c r="I30" s="1070" t="s">
        <v>599</v>
      </c>
      <c r="J30" s="1071"/>
      <c r="K30" s="1071"/>
      <c r="L30" s="1071"/>
      <c r="M30" s="1071"/>
    </row>
    <row r="31" spans="1:13" ht="72">
      <c r="A31" s="1" t="s">
        <v>617</v>
      </c>
      <c r="B31" s="370" t="s">
        <v>627</v>
      </c>
      <c r="C31" s="8" t="s">
        <v>41</v>
      </c>
      <c r="D31" s="13" t="s">
        <v>7</v>
      </c>
      <c r="E31" s="9">
        <v>45</v>
      </c>
      <c r="F31" s="32">
        <v>8.44</v>
      </c>
      <c r="G31" s="101">
        <f>F31+F31*$H$11</f>
        <v>10.568188517272212</v>
      </c>
      <c r="H31" s="10">
        <f t="shared" si="2"/>
        <v>475.56848327724953</v>
      </c>
      <c r="I31" s="1070" t="s">
        <v>599</v>
      </c>
      <c r="J31" s="1071"/>
      <c r="K31" s="1071"/>
      <c r="L31" s="1071"/>
      <c r="M31" s="1071"/>
    </row>
    <row r="32" spans="1:13" ht="24.75" customHeight="1">
      <c r="A32" s="1" t="str">
        <f>COMPOSIÇÕES!B74</f>
        <v>COMPOSIÇÃO 07</v>
      </c>
      <c r="B32" s="370" t="s">
        <v>639</v>
      </c>
      <c r="C32" s="912" t="str">
        <f>COMPOSIÇÕES!C74</f>
        <v>PREPARO DE SUPERFICIE COM LIXAMENO DE PAREDES E TETOS</v>
      </c>
      <c r="D32" s="13" t="s">
        <v>7</v>
      </c>
      <c r="E32" s="9">
        <f>E28+E27</f>
        <v>996.51059999999995</v>
      </c>
      <c r="F32" s="32">
        <f>COMPOSIÇÕES!G80</f>
        <v>3.2896000000000005</v>
      </c>
      <c r="G32" s="101">
        <f t="shared" si="1"/>
        <v>4.119089211660981</v>
      </c>
      <c r="H32" s="10">
        <f t="shared" si="2"/>
        <v>4104.716061765811</v>
      </c>
      <c r="I32" s="1070" t="s">
        <v>599</v>
      </c>
      <c r="J32" s="1071"/>
      <c r="K32" s="1071"/>
      <c r="L32" s="1071"/>
      <c r="M32" s="1071"/>
    </row>
    <row r="33" spans="1:13" ht="54" customHeight="1">
      <c r="A33" s="270" t="s">
        <v>618</v>
      </c>
      <c r="B33" s="370" t="s">
        <v>665</v>
      </c>
      <c r="C33" s="231" t="s">
        <v>619</v>
      </c>
      <c r="D33" s="271" t="s">
        <v>7</v>
      </c>
      <c r="E33" s="34">
        <v>92.4</v>
      </c>
      <c r="F33" s="346">
        <v>12.4</v>
      </c>
      <c r="G33" s="273">
        <f t="shared" si="1"/>
        <v>15.526722466134533</v>
      </c>
      <c r="H33" s="10">
        <f t="shared" si="2"/>
        <v>1434.669155870831</v>
      </c>
      <c r="I33" s="1070" t="s">
        <v>600</v>
      </c>
      <c r="J33" s="1071"/>
      <c r="K33" s="1071"/>
      <c r="L33" s="1071"/>
      <c r="M33" s="1071"/>
    </row>
    <row r="34" spans="1:13">
      <c r="A34" s="968"/>
      <c r="B34" s="968"/>
      <c r="C34" s="968"/>
      <c r="D34" s="968"/>
      <c r="E34" s="968"/>
      <c r="F34" s="968"/>
      <c r="G34" s="968"/>
      <c r="H34" s="968"/>
      <c r="I34" s="218"/>
      <c r="J34" s="218"/>
      <c r="K34" s="218"/>
      <c r="L34" s="219"/>
      <c r="M34" s="219"/>
    </row>
    <row r="35" spans="1:13">
      <c r="A35" s="4"/>
      <c r="B35" s="4" t="s">
        <v>197</v>
      </c>
      <c r="C35" s="5" t="s">
        <v>43</v>
      </c>
      <c r="D35" s="4"/>
      <c r="E35" s="6"/>
      <c r="F35" s="7"/>
      <c r="G35" s="7"/>
      <c r="H35" s="7">
        <f>SUM(H36:H39)</f>
        <v>11267.016243752027</v>
      </c>
      <c r="I35" s="218"/>
      <c r="J35" s="218"/>
      <c r="K35" s="218"/>
      <c r="L35" s="219"/>
      <c r="M35" s="219"/>
    </row>
    <row r="36" spans="1:13" s="11" customFormat="1" ht="70.5" customHeight="1">
      <c r="A36" s="1" t="s">
        <v>1339</v>
      </c>
      <c r="B36" s="1" t="s">
        <v>45</v>
      </c>
      <c r="C36" s="344" t="s">
        <v>915</v>
      </c>
      <c r="D36" s="13" t="s">
        <v>7</v>
      </c>
      <c r="E36" s="9">
        <v>63</v>
      </c>
      <c r="F36" s="10">
        <v>3.85</v>
      </c>
      <c r="G36" s="101">
        <f t="shared" si="1"/>
        <v>4.8207968947272537</v>
      </c>
      <c r="H36" s="10">
        <f>E36*G36</f>
        <v>303.71020436781697</v>
      </c>
      <c r="I36" s="1091" t="s">
        <v>597</v>
      </c>
      <c r="J36" s="1091"/>
      <c r="K36" s="1091"/>
      <c r="L36" s="1091"/>
      <c r="M36" s="218"/>
    </row>
    <row r="37" spans="1:13" s="11" customFormat="1" ht="91.5" customHeight="1">
      <c r="A37" s="1" t="s">
        <v>47</v>
      </c>
      <c r="B37" s="780" t="s">
        <v>198</v>
      </c>
      <c r="C37" s="8" t="s">
        <v>48</v>
      </c>
      <c r="D37" s="13" t="s">
        <v>7</v>
      </c>
      <c r="E37" s="9">
        <v>63</v>
      </c>
      <c r="F37" s="10">
        <v>32.93</v>
      </c>
      <c r="G37" s="101">
        <f t="shared" si="1"/>
        <v>41.233465387887911</v>
      </c>
      <c r="H37" s="10">
        <f>E37*G37</f>
        <v>2597.7083194369384</v>
      </c>
      <c r="I37" s="1091" t="s">
        <v>597</v>
      </c>
      <c r="J37" s="1091"/>
      <c r="K37" s="1091"/>
      <c r="L37" s="1091"/>
      <c r="M37" s="218"/>
    </row>
    <row r="38" spans="1:13" s="11" customFormat="1" ht="77.25" customHeight="1">
      <c r="A38" s="1" t="s">
        <v>49</v>
      </c>
      <c r="B38" s="780" t="s">
        <v>50</v>
      </c>
      <c r="C38" s="8" t="s">
        <v>51</v>
      </c>
      <c r="D38" s="13" t="s">
        <v>30</v>
      </c>
      <c r="E38" s="9">
        <v>42</v>
      </c>
      <c r="F38" s="10">
        <v>76.88</v>
      </c>
      <c r="G38" s="101">
        <f t="shared" si="1"/>
        <v>96.265679290034086</v>
      </c>
      <c r="H38" s="10">
        <f>E38*G38</f>
        <v>4043.1585301814316</v>
      </c>
      <c r="I38" s="1091" t="s">
        <v>97</v>
      </c>
      <c r="J38" s="1091"/>
      <c r="K38" s="1091"/>
      <c r="L38" s="1091"/>
      <c r="M38" s="218"/>
    </row>
    <row r="39" spans="1:13" s="11" customFormat="1" ht="63.75" customHeight="1">
      <c r="A39" s="337" t="s">
        <v>1549</v>
      </c>
      <c r="B39" s="780" t="s">
        <v>439</v>
      </c>
      <c r="C39" s="258" t="s">
        <v>82</v>
      </c>
      <c r="D39" s="13" t="s">
        <v>7</v>
      </c>
      <c r="E39" s="31">
        <f>E17</f>
        <v>80</v>
      </c>
      <c r="F39" s="314">
        <v>43.15</v>
      </c>
      <c r="G39" s="329">
        <f>F39+F39*$H$11</f>
        <v>54.030489872072984</v>
      </c>
      <c r="H39" s="10">
        <f>E39*G39</f>
        <v>4322.4391897658388</v>
      </c>
      <c r="I39" s="327"/>
      <c r="J39" s="327"/>
      <c r="K39" s="327"/>
      <c r="L39" s="327"/>
      <c r="M39" s="218"/>
    </row>
    <row r="40" spans="1:13">
      <c r="A40" s="1090"/>
      <c r="B40" s="1090"/>
      <c r="C40" s="1090"/>
      <c r="D40" s="1090"/>
      <c r="E40" s="1090"/>
      <c r="F40" s="1090"/>
      <c r="G40" s="1090"/>
      <c r="H40" s="1090"/>
      <c r="I40" s="218"/>
      <c r="J40" s="218"/>
      <c r="K40" s="218"/>
      <c r="L40" s="219"/>
      <c r="M40" s="219"/>
    </row>
    <row r="41" spans="1:13">
      <c r="A41" s="4"/>
      <c r="B41" s="4" t="s">
        <v>199</v>
      </c>
      <c r="C41" s="5" t="s">
        <v>53</v>
      </c>
      <c r="D41" s="4"/>
      <c r="E41" s="6"/>
      <c r="F41" s="7"/>
      <c r="G41" s="7"/>
      <c r="H41" s="7">
        <f>SUM(H42:H47)</f>
        <v>14946.551874798899</v>
      </c>
      <c r="I41" s="218"/>
      <c r="J41" s="218"/>
      <c r="K41" s="218"/>
      <c r="L41" s="219"/>
      <c r="M41" s="219"/>
    </row>
    <row r="42" spans="1:13" ht="60">
      <c r="A42" s="1" t="str">
        <f>COMPOSIÇÕES!B24</f>
        <v>COMPOSIÇÃO 03</v>
      </c>
      <c r="B42" s="1" t="s">
        <v>54</v>
      </c>
      <c r="C42" s="8" t="str">
        <f>COMPOSIÇÕES!C24</f>
        <v>FORNECIMENTO E ASSENTAMENTO DE FERROLHO / FECHO CHATO, DE SOBREPOR, EM FERRO ZINCADO, REFORCADO, 6", COM PORTA CADEADO, PARA PORTAO, PORTA E JANELA</v>
      </c>
      <c r="D42" s="13" t="s">
        <v>21</v>
      </c>
      <c r="E42" s="31">
        <v>10</v>
      </c>
      <c r="F42" s="844">
        <f>COMPOSIÇÕES!G30</f>
        <v>18.646000000000001</v>
      </c>
      <c r="G42" s="101">
        <f>F42+F42*$H$11</f>
        <v>23.347682830931006</v>
      </c>
      <c r="H42" s="10">
        <f t="shared" ref="H42:H47" si="3">E42*G42</f>
        <v>233.47682830931006</v>
      </c>
      <c r="I42" s="1070" t="s">
        <v>458</v>
      </c>
      <c r="J42" s="1071"/>
      <c r="K42" s="1071"/>
      <c r="L42" s="1071"/>
      <c r="M42" s="219"/>
    </row>
    <row r="43" spans="1:13" s="11" customFormat="1" ht="66" customHeight="1">
      <c r="A43" s="1" t="s">
        <v>579</v>
      </c>
      <c r="B43" s="337" t="s">
        <v>55</v>
      </c>
      <c r="C43" s="258" t="s">
        <v>580</v>
      </c>
      <c r="D43" s="13" t="s">
        <v>21</v>
      </c>
      <c r="E43" s="31">
        <v>8</v>
      </c>
      <c r="F43" s="216">
        <v>316.89999999999998</v>
      </c>
      <c r="G43" s="101">
        <f t="shared" si="1"/>
        <v>396.80793141274455</v>
      </c>
      <c r="H43" s="10">
        <f t="shared" si="3"/>
        <v>3174.4634513019564</v>
      </c>
      <c r="I43" s="1070" t="s">
        <v>237</v>
      </c>
      <c r="J43" s="1071"/>
      <c r="K43" s="1071"/>
      <c r="L43" s="1071"/>
      <c r="M43" s="218"/>
    </row>
    <row r="44" spans="1:13" s="11" customFormat="1" ht="66" customHeight="1">
      <c r="A44" s="270" t="s">
        <v>581</v>
      </c>
      <c r="B44" s="337" t="s">
        <v>85</v>
      </c>
      <c r="C44" s="283" t="s">
        <v>582</v>
      </c>
      <c r="D44" s="271" t="s">
        <v>21</v>
      </c>
      <c r="E44" s="34">
        <v>5</v>
      </c>
      <c r="F44" s="272">
        <v>258.88</v>
      </c>
      <c r="G44" s="273">
        <f>F44+F44*$H$11</f>
        <v>324.15789613168607</v>
      </c>
      <c r="H44" s="10">
        <f t="shared" si="3"/>
        <v>1620.7894806584304</v>
      </c>
      <c r="I44" s="1070" t="s">
        <v>237</v>
      </c>
      <c r="J44" s="1071"/>
      <c r="K44" s="1071"/>
      <c r="L44" s="1071"/>
      <c r="M44" s="218"/>
    </row>
    <row r="45" spans="1:13" s="14" customFormat="1">
      <c r="A45" s="30" t="str">
        <f>COMPOSIÇÕES!B46</f>
        <v>COMPOSIÇÃO 05</v>
      </c>
      <c r="B45" s="337" t="s">
        <v>200</v>
      </c>
      <c r="C45" s="176" t="str">
        <f>COMPOSIÇÕES!C46</f>
        <v>REVISÃO DE ESQUADRIA DE FERRO</v>
      </c>
      <c r="D45" s="1" t="s">
        <v>7</v>
      </c>
      <c r="E45" s="1">
        <v>45</v>
      </c>
      <c r="F45" s="32">
        <f>COMPOSIÇÕES!G55</f>
        <v>137.42116300000001</v>
      </c>
      <c r="G45" s="101">
        <f t="shared" si="1"/>
        <v>172.07260152213189</v>
      </c>
      <c r="H45" s="10">
        <f t="shared" si="3"/>
        <v>7743.2670684959348</v>
      </c>
      <c r="I45" s="1068" t="s">
        <v>596</v>
      </c>
      <c r="J45" s="1069"/>
      <c r="K45" s="1069"/>
      <c r="L45" s="1069"/>
      <c r="M45" s="219"/>
    </row>
    <row r="46" spans="1:13" s="14" customFormat="1">
      <c r="A46" s="204" t="str">
        <f>COMPOSIÇÕES!B59</f>
        <v>COMPOSIÇÃO 06</v>
      </c>
      <c r="B46" s="337" t="s">
        <v>536</v>
      </c>
      <c r="C46" s="143" t="str">
        <f>COMPOSIÇÕES!C59</f>
        <v>REVISÃO DE ESQUADRIA DE MADEIRA</v>
      </c>
      <c r="D46" s="1" t="s">
        <v>7</v>
      </c>
      <c r="E46" s="34">
        <v>21</v>
      </c>
      <c r="F46" s="32">
        <f>COMPOSIÇÕES!G70</f>
        <v>52.650000000000006</v>
      </c>
      <c r="G46" s="101">
        <f>F46+F46*$H$11</f>
        <v>65.925962729192193</v>
      </c>
      <c r="H46" s="10">
        <f t="shared" si="3"/>
        <v>1384.445217313036</v>
      </c>
      <c r="I46" s="1068" t="s">
        <v>458</v>
      </c>
      <c r="J46" s="1069"/>
      <c r="K46" s="1069"/>
      <c r="L46" s="1069"/>
      <c r="M46" s="219"/>
    </row>
    <row r="47" spans="1:13" s="14" customFormat="1" ht="69" customHeight="1">
      <c r="A47" s="216" t="s">
        <v>433</v>
      </c>
      <c r="B47" s="337" t="s">
        <v>432</v>
      </c>
      <c r="C47" s="195" t="s">
        <v>434</v>
      </c>
      <c r="D47" s="1" t="s">
        <v>21</v>
      </c>
      <c r="E47" s="34">
        <v>5</v>
      </c>
      <c r="F47" s="32">
        <v>126.2</v>
      </c>
      <c r="G47" s="101">
        <f t="shared" si="1"/>
        <v>158.02196574404661</v>
      </c>
      <c r="H47" s="10">
        <f t="shared" si="3"/>
        <v>790.10982872023305</v>
      </c>
      <c r="I47" s="1070" t="s">
        <v>458</v>
      </c>
      <c r="J47" s="1070"/>
      <c r="K47" s="1070"/>
      <c r="L47" s="1070"/>
      <c r="M47" s="219"/>
    </row>
    <row r="48" spans="1:13">
      <c r="A48" s="286"/>
      <c r="B48" s="286"/>
      <c r="C48" s="287"/>
      <c r="D48" s="288"/>
      <c r="E48" s="289"/>
      <c r="F48" s="290"/>
      <c r="G48" s="290"/>
      <c r="H48" s="290"/>
      <c r="I48" s="218"/>
      <c r="J48" s="218"/>
      <c r="K48" s="218"/>
      <c r="L48" s="219"/>
      <c r="M48" s="219"/>
    </row>
    <row r="49" spans="1:13">
      <c r="A49" s="4"/>
      <c r="B49" s="4" t="s">
        <v>158</v>
      </c>
      <c r="C49" s="5" t="s">
        <v>57</v>
      </c>
      <c r="D49" s="4"/>
      <c r="E49" s="6"/>
      <c r="F49" s="7"/>
      <c r="G49" s="7"/>
      <c r="H49" s="7">
        <f>SUM(H50:H52)</f>
        <v>15421.168112952388</v>
      </c>
      <c r="I49" s="218"/>
      <c r="J49" s="218"/>
      <c r="K49" s="218"/>
      <c r="L49" s="219"/>
      <c r="M49" s="219"/>
    </row>
    <row r="50" spans="1:13" ht="48">
      <c r="A50" s="1" t="s">
        <v>481</v>
      </c>
      <c r="B50" s="865" t="s">
        <v>59</v>
      </c>
      <c r="C50" s="36" t="s">
        <v>483</v>
      </c>
      <c r="D50" s="13" t="s">
        <v>482</v>
      </c>
      <c r="E50" s="9">
        <v>25</v>
      </c>
      <c r="F50" s="10">
        <v>68.97</v>
      </c>
      <c r="G50" s="101">
        <f t="shared" si="1"/>
        <v>86.361132942685373</v>
      </c>
      <c r="H50" s="10">
        <f>E50*G50</f>
        <v>2159.0283235671345</v>
      </c>
      <c r="I50" s="1070" t="s">
        <v>97</v>
      </c>
      <c r="J50" s="1071"/>
      <c r="K50" s="1071"/>
      <c r="L50" s="1071"/>
      <c r="M50" s="1071"/>
    </row>
    <row r="51" spans="1:13" ht="30.75" customHeight="1">
      <c r="A51" s="1" t="s">
        <v>520</v>
      </c>
      <c r="B51" s="865" t="s">
        <v>61</v>
      </c>
      <c r="C51" s="195" t="s">
        <v>521</v>
      </c>
      <c r="D51" s="13" t="s">
        <v>7</v>
      </c>
      <c r="E51" s="9">
        <f>'MEMORIA VOVO PESSOINHHA '!L806</f>
        <v>156.745</v>
      </c>
      <c r="F51" s="10">
        <v>35.130000000000003</v>
      </c>
      <c r="G51" s="101">
        <f t="shared" si="1"/>
        <v>43.988206470589205</v>
      </c>
      <c r="H51" s="10">
        <f>E51*G51</f>
        <v>6894.931423232505</v>
      </c>
      <c r="I51" s="1070" t="s">
        <v>593</v>
      </c>
      <c r="J51" s="1071"/>
      <c r="K51" s="1071"/>
      <c r="L51" s="1071"/>
      <c r="M51" s="1071"/>
    </row>
    <row r="52" spans="1:13" s="11" customFormat="1" ht="36">
      <c r="A52" s="1" t="s">
        <v>58</v>
      </c>
      <c r="B52" s="865" t="s">
        <v>469</v>
      </c>
      <c r="C52" s="8" t="s">
        <v>60</v>
      </c>
      <c r="D52" s="13" t="s">
        <v>7</v>
      </c>
      <c r="E52" s="9">
        <f>'MEMORIA VOVO PESSOINHHA '!L815</f>
        <v>300</v>
      </c>
      <c r="F52" s="10">
        <v>16.95</v>
      </c>
      <c r="G52" s="101">
        <f t="shared" si="1"/>
        <v>21.224027887175829</v>
      </c>
      <c r="H52" s="10">
        <f>E52*G52</f>
        <v>6367.2083661527486</v>
      </c>
      <c r="I52" s="1070" t="s">
        <v>592</v>
      </c>
      <c r="J52" s="1071"/>
      <c r="K52" s="1071"/>
      <c r="L52" s="1071"/>
      <c r="M52" s="1071"/>
    </row>
    <row r="53" spans="1:13">
      <c r="A53" s="948"/>
      <c r="B53" s="949"/>
      <c r="C53" s="949"/>
      <c r="D53" s="949"/>
      <c r="E53" s="949"/>
      <c r="F53" s="949"/>
      <c r="G53" s="949"/>
      <c r="H53" s="950"/>
      <c r="I53" s="218"/>
      <c r="J53" s="218"/>
      <c r="K53" s="218"/>
      <c r="L53" s="219"/>
      <c r="M53" s="219"/>
    </row>
    <row r="54" spans="1:13" ht="23.25" customHeight="1">
      <c r="A54" s="4"/>
      <c r="B54" s="4" t="s">
        <v>201</v>
      </c>
      <c r="C54" s="5" t="s">
        <v>63</v>
      </c>
      <c r="D54" s="4"/>
      <c r="E54" s="6"/>
      <c r="F54" s="7"/>
      <c r="G54" s="7"/>
      <c r="H54" s="7">
        <f>SUM(H55:H59)</f>
        <v>1972.0931714103724</v>
      </c>
      <c r="I54" s="218"/>
      <c r="J54" s="218"/>
      <c r="K54" s="218"/>
      <c r="L54" s="219"/>
      <c r="M54" s="219"/>
    </row>
    <row r="55" spans="1:13" ht="23.25" customHeight="1">
      <c r="A55" s="1" t="s">
        <v>468</v>
      </c>
      <c r="B55" s="15" t="s">
        <v>64</v>
      </c>
      <c r="C55" s="8" t="s">
        <v>470</v>
      </c>
      <c r="D55" s="16" t="s">
        <v>21</v>
      </c>
      <c r="E55" s="17">
        <v>6</v>
      </c>
      <c r="F55" s="10">
        <v>12.25</v>
      </c>
      <c r="G55" s="101">
        <f t="shared" si="1"/>
        <v>15.338899210495807</v>
      </c>
      <c r="H55" s="10">
        <f>E55*G55</f>
        <v>92.033395262974835</v>
      </c>
      <c r="I55" s="1070" t="s">
        <v>237</v>
      </c>
      <c r="J55" s="1071"/>
      <c r="K55" s="1071"/>
      <c r="L55" s="1071"/>
      <c r="M55" s="219"/>
    </row>
    <row r="56" spans="1:13" ht="37.5" customHeight="1">
      <c r="A56" s="1" t="s">
        <v>583</v>
      </c>
      <c r="B56" s="15" t="s">
        <v>101</v>
      </c>
      <c r="C56" s="195" t="s">
        <v>586</v>
      </c>
      <c r="D56" s="16" t="s">
        <v>21</v>
      </c>
      <c r="E56" s="17">
        <v>6</v>
      </c>
      <c r="F56" s="10">
        <v>8.57</v>
      </c>
      <c r="G56" s="101">
        <f>F56+F56*$H$11</f>
        <v>10.730968672159108</v>
      </c>
      <c r="H56" s="10">
        <f>E56*G56</f>
        <v>64.385812032954647</v>
      </c>
      <c r="I56" s="266"/>
      <c r="J56" s="259"/>
      <c r="K56" s="259"/>
      <c r="L56" s="259"/>
      <c r="M56" s="219"/>
    </row>
    <row r="57" spans="1:13" s="11" customFormat="1">
      <c r="A57" s="38" t="str">
        <f>COMPOSIÇÕES!B32</f>
        <v>COMPOSIÇÃO 04</v>
      </c>
      <c r="B57" s="15" t="s">
        <v>429</v>
      </c>
      <c r="C57" s="39" t="str">
        <f>COMPOSIÇÕES!C32</f>
        <v>REVISÃO DE PONTO DE ESGOTO</v>
      </c>
      <c r="D57" s="16" t="s">
        <v>21</v>
      </c>
      <c r="E57" s="17">
        <v>11</v>
      </c>
      <c r="F57" s="10">
        <f>COMPOSIÇÕES!G41</f>
        <v>35.792659999999998</v>
      </c>
      <c r="G57" s="101">
        <f t="shared" si="1"/>
        <v>44.81795952779958</v>
      </c>
      <c r="H57" s="10">
        <f>E57*G57</f>
        <v>492.9975548057954</v>
      </c>
      <c r="I57" s="1070" t="s">
        <v>237</v>
      </c>
      <c r="J57" s="1071"/>
      <c r="K57" s="1071"/>
      <c r="L57" s="1071"/>
      <c r="M57" s="218"/>
    </row>
    <row r="58" spans="1:13" s="11" customFormat="1" ht="51.75" customHeight="1">
      <c r="A58" s="216" t="s">
        <v>541</v>
      </c>
      <c r="B58" s="15" t="s">
        <v>546</v>
      </c>
      <c r="C58" s="195" t="s">
        <v>542</v>
      </c>
      <c r="D58" s="16" t="s">
        <v>21</v>
      </c>
      <c r="E58" s="284">
        <v>2</v>
      </c>
      <c r="F58" s="257">
        <v>215.56</v>
      </c>
      <c r="G58" s="101">
        <f t="shared" si="1"/>
        <v>269.91453990322253</v>
      </c>
      <c r="H58" s="10">
        <f>E58*G58</f>
        <v>539.82907980644507</v>
      </c>
      <c r="I58" s="1070" t="s">
        <v>237</v>
      </c>
      <c r="J58" s="1071"/>
      <c r="K58" s="1071"/>
      <c r="L58" s="1071"/>
      <c r="M58" s="218"/>
    </row>
    <row r="59" spans="1:13" s="11" customFormat="1" ht="54" customHeight="1">
      <c r="A59" s="1" t="s">
        <v>430</v>
      </c>
      <c r="B59" s="15" t="s">
        <v>547</v>
      </c>
      <c r="C59" s="195" t="s">
        <v>431</v>
      </c>
      <c r="D59" s="16" t="s">
        <v>21</v>
      </c>
      <c r="E59" s="17">
        <v>10</v>
      </c>
      <c r="F59" s="10">
        <v>62.52</v>
      </c>
      <c r="G59" s="101">
        <f t="shared" si="1"/>
        <v>78.284732950220246</v>
      </c>
      <c r="H59" s="10">
        <f>E59*G59</f>
        <v>782.84732950220246</v>
      </c>
      <c r="I59" s="1070" t="s">
        <v>237</v>
      </c>
      <c r="J59" s="1071"/>
      <c r="K59" s="1071"/>
      <c r="L59" s="1071"/>
      <c r="M59" s="218"/>
    </row>
    <row r="60" spans="1:13" s="11" customFormat="1">
      <c r="A60" s="948"/>
      <c r="B60" s="949"/>
      <c r="C60" s="949"/>
      <c r="D60" s="949"/>
      <c r="E60" s="949"/>
      <c r="F60" s="949"/>
      <c r="G60" s="949"/>
      <c r="H60" s="950"/>
      <c r="I60" s="218"/>
      <c r="J60" s="218"/>
      <c r="K60" s="218"/>
      <c r="L60" s="218"/>
      <c r="M60" s="218"/>
    </row>
    <row r="61" spans="1:13" s="11" customFormat="1" ht="35.25" customHeight="1">
      <c r="A61" s="4"/>
      <c r="B61" s="4" t="s">
        <v>630</v>
      </c>
      <c r="C61" s="5" t="s">
        <v>66</v>
      </c>
      <c r="D61" s="4"/>
      <c r="E61" s="6"/>
      <c r="F61" s="7"/>
      <c r="G61" s="194"/>
      <c r="H61" s="7">
        <f>SUM(H62:H65)</f>
        <v>1839.6160950279198</v>
      </c>
      <c r="I61" s="218"/>
      <c r="J61" s="218"/>
      <c r="K61" s="218"/>
      <c r="L61" s="218"/>
      <c r="M61" s="218"/>
    </row>
    <row r="62" spans="1:13" ht="55.5" customHeight="1">
      <c r="A62" s="216" t="s">
        <v>427</v>
      </c>
      <c r="B62" s="15" t="s">
        <v>68</v>
      </c>
      <c r="C62" s="195" t="s">
        <v>428</v>
      </c>
      <c r="D62" s="16" t="s">
        <v>21</v>
      </c>
      <c r="E62" s="17">
        <v>5</v>
      </c>
      <c r="F62" s="10">
        <v>21.14</v>
      </c>
      <c r="G62" s="101">
        <f t="shared" si="1"/>
        <v>26.470557494684194</v>
      </c>
      <c r="H62" s="10">
        <f>E62*G62</f>
        <v>132.35278747342096</v>
      </c>
      <c r="I62" s="1072" t="s">
        <v>458</v>
      </c>
      <c r="J62" s="1072"/>
      <c r="K62" s="1072"/>
      <c r="L62" s="1072"/>
      <c r="M62" s="219"/>
    </row>
    <row r="63" spans="1:13" ht="41.25" customHeight="1">
      <c r="A63" s="1" t="s">
        <v>70</v>
      </c>
      <c r="B63" s="15" t="s">
        <v>202</v>
      </c>
      <c r="C63" s="8" t="s">
        <v>71</v>
      </c>
      <c r="D63" s="16" t="s">
        <v>21</v>
      </c>
      <c r="E63" s="17">
        <v>10</v>
      </c>
      <c r="F63" s="10">
        <v>18.54</v>
      </c>
      <c r="G63" s="101">
        <f t="shared" si="1"/>
        <v>23.214954396946307</v>
      </c>
      <c r="H63" s="10">
        <f>E63*G63</f>
        <v>232.14954396946308</v>
      </c>
      <c r="I63" s="1072" t="s">
        <v>591</v>
      </c>
      <c r="J63" s="1072"/>
      <c r="K63" s="1072"/>
      <c r="L63" s="1072"/>
      <c r="M63" s="219"/>
    </row>
    <row r="64" spans="1:13" ht="41.25" customHeight="1">
      <c r="A64" s="1" t="s">
        <v>423</v>
      </c>
      <c r="B64" s="15" t="s">
        <v>525</v>
      </c>
      <c r="C64" s="195" t="s">
        <v>424</v>
      </c>
      <c r="D64" s="13" t="s">
        <v>21</v>
      </c>
      <c r="E64" s="18">
        <v>33</v>
      </c>
      <c r="F64" s="10">
        <v>33.799999999999997</v>
      </c>
      <c r="G64" s="101">
        <f t="shared" si="1"/>
        <v>42.322840270592508</v>
      </c>
      <c r="H64" s="10">
        <f>E64*G64</f>
        <v>1396.6537289295527</v>
      </c>
      <c r="I64" s="1072" t="s">
        <v>590</v>
      </c>
      <c r="J64" s="1072"/>
      <c r="K64" s="1072"/>
      <c r="L64" s="1072"/>
      <c r="M64" s="219"/>
    </row>
    <row r="65" spans="1:13" ht="52.5" customHeight="1">
      <c r="A65" s="1" t="s">
        <v>425</v>
      </c>
      <c r="B65" s="15" t="s">
        <v>549</v>
      </c>
      <c r="C65" s="195" t="s">
        <v>426</v>
      </c>
      <c r="D65" s="13" t="s">
        <v>21</v>
      </c>
      <c r="E65" s="18">
        <v>2</v>
      </c>
      <c r="F65" s="10">
        <v>31.33</v>
      </c>
      <c r="G65" s="101">
        <f t="shared" si="1"/>
        <v>39.230017327741521</v>
      </c>
      <c r="H65" s="10">
        <f>E65*G65</f>
        <v>78.460034655483042</v>
      </c>
      <c r="I65" s="1072" t="s">
        <v>458</v>
      </c>
      <c r="J65" s="1072"/>
      <c r="K65" s="1072"/>
      <c r="L65" s="1072"/>
      <c r="M65" s="219"/>
    </row>
    <row r="66" spans="1:13">
      <c r="A66" s="948"/>
      <c r="B66" s="949"/>
      <c r="C66" s="949"/>
      <c r="D66" s="949"/>
      <c r="E66" s="949"/>
      <c r="F66" s="949"/>
      <c r="G66" s="949"/>
      <c r="H66" s="950"/>
      <c r="I66" s="218"/>
      <c r="J66" s="218"/>
      <c r="K66" s="218"/>
      <c r="L66" s="219"/>
      <c r="M66" s="219"/>
    </row>
    <row r="67" spans="1:13" ht="12.75" customHeight="1">
      <c r="A67" s="4"/>
      <c r="B67" s="4" t="s">
        <v>631</v>
      </c>
      <c r="C67" s="5" t="s">
        <v>516</v>
      </c>
      <c r="D67" s="4"/>
      <c r="E67" s="6"/>
      <c r="F67" s="7"/>
      <c r="G67" s="7"/>
      <c r="H67" s="7">
        <f>SUM(H68)</f>
        <v>1399.9093320272909</v>
      </c>
      <c r="I67" s="253"/>
      <c r="J67" s="253"/>
      <c r="K67" s="253"/>
      <c r="L67" s="253"/>
      <c r="M67" s="219"/>
    </row>
    <row r="68" spans="1:13" ht="56.25" customHeight="1">
      <c r="A68" s="393" t="s">
        <v>517</v>
      </c>
      <c r="B68" s="15" t="s">
        <v>75</v>
      </c>
      <c r="C68" s="195" t="s">
        <v>518</v>
      </c>
      <c r="D68" s="19" t="s">
        <v>7</v>
      </c>
      <c r="E68" s="18">
        <v>25</v>
      </c>
      <c r="F68" s="10">
        <v>44.72</v>
      </c>
      <c r="G68" s="389">
        <f>F68+F68*$H$11</f>
        <v>55.996373281091635</v>
      </c>
      <c r="H68" s="10">
        <f>E68*G68</f>
        <v>1399.9093320272909</v>
      </c>
      <c r="I68" s="326"/>
      <c r="J68" s="326"/>
      <c r="K68" s="326"/>
      <c r="L68" s="326"/>
      <c r="M68" s="219"/>
    </row>
    <row r="69" spans="1:13" ht="12.75" customHeight="1">
      <c r="A69" s="948"/>
      <c r="B69" s="949"/>
      <c r="C69" s="949"/>
      <c r="D69" s="949"/>
      <c r="E69" s="949"/>
      <c r="F69" s="949"/>
      <c r="G69" s="949"/>
      <c r="H69" s="950"/>
      <c r="I69" s="326"/>
      <c r="J69" s="326"/>
      <c r="K69" s="326"/>
      <c r="L69" s="326"/>
      <c r="M69" s="219"/>
    </row>
    <row r="70" spans="1:13" ht="23.25" customHeight="1">
      <c r="A70" s="4"/>
      <c r="B70" s="4" t="s">
        <v>632</v>
      </c>
      <c r="C70" s="5" t="s">
        <v>73</v>
      </c>
      <c r="D70" s="4"/>
      <c r="E70" s="6"/>
      <c r="F70" s="7"/>
      <c r="G70" s="7"/>
      <c r="H70" s="7">
        <f>SUM(H71)</f>
        <v>673.65941022422419</v>
      </c>
      <c r="I70" s="253"/>
      <c r="J70" s="253"/>
      <c r="K70" s="253"/>
      <c r="L70" s="253"/>
      <c r="M70" s="219"/>
    </row>
    <row r="71" spans="1:13">
      <c r="A71" s="393" t="str">
        <f>COMPOSIÇÕES!B144</f>
        <v>COMPOSIÇÃO 13</v>
      </c>
      <c r="B71" s="15" t="s">
        <v>629</v>
      </c>
      <c r="C71" s="258" t="str">
        <f>COMPOSIÇÕES!C144</f>
        <v>LIMPEZA GERAL</v>
      </c>
      <c r="D71" s="19" t="s">
        <v>7</v>
      </c>
      <c r="E71" s="309">
        <v>200</v>
      </c>
      <c r="F71" s="32">
        <f>COMPOSIÇÕES!G151</f>
        <v>2.6900000000000004</v>
      </c>
      <c r="G71" s="389">
        <f>F71+F71*$H$11</f>
        <v>3.3682970511211208</v>
      </c>
      <c r="H71" s="32">
        <f>E71*G71</f>
        <v>673.65941022422419</v>
      </c>
      <c r="I71" s="388"/>
      <c r="J71" s="388"/>
      <c r="K71" s="388"/>
      <c r="L71" s="388"/>
      <c r="M71" s="219"/>
    </row>
    <row r="72" spans="1:13">
      <c r="A72" s="1065"/>
      <c r="B72" s="1066"/>
      <c r="C72" s="1066"/>
      <c r="D72" s="1066"/>
      <c r="E72" s="1066"/>
      <c r="F72" s="1066"/>
      <c r="G72" s="1066"/>
      <c r="H72" s="1067"/>
      <c r="I72" s="218"/>
      <c r="J72" s="218"/>
      <c r="K72" s="219"/>
      <c r="L72" s="219"/>
      <c r="M72" s="219"/>
    </row>
    <row r="73" spans="1:13">
      <c r="A73" s="1087" t="s">
        <v>78</v>
      </c>
      <c r="B73" s="1088"/>
      <c r="C73" s="1088"/>
      <c r="D73" s="1088"/>
      <c r="E73" s="1088"/>
      <c r="F73" s="1088"/>
      <c r="G73" s="1089"/>
      <c r="H73" s="291">
        <f>SUM(H70,H67,H61,H54,H49,H41,H35,H26,H23,H15)</f>
        <v>89483.340141289053</v>
      </c>
      <c r="I73" s="218"/>
      <c r="J73" s="218"/>
      <c r="K73" s="219"/>
      <c r="L73" s="219"/>
      <c r="M73" s="219"/>
    </row>
    <row r="74" spans="1:13">
      <c r="A74" s="12"/>
      <c r="B74" s="12"/>
      <c r="C74" s="12"/>
      <c r="D74" s="12"/>
      <c r="E74" s="12"/>
      <c r="F74" s="12"/>
      <c r="G74" s="12"/>
      <c r="H74" s="12"/>
      <c r="I74" s="12"/>
      <c r="J74" s="12"/>
    </row>
    <row r="75" spans="1:13">
      <c r="A75" s="20"/>
      <c r="B75" s="20"/>
      <c r="C75" s="20"/>
      <c r="D75" s="20"/>
      <c r="E75" s="20"/>
      <c r="F75" s="21"/>
      <c r="G75" s="21"/>
      <c r="H75" s="21"/>
    </row>
    <row r="76" spans="1:13">
      <c r="A76" s="22"/>
      <c r="B76" s="23"/>
      <c r="C76" s="23"/>
      <c r="D76" s="23"/>
      <c r="E76" s="24"/>
      <c r="F76" s="25"/>
      <c r="G76" s="25"/>
      <c r="H76" s="25"/>
    </row>
  </sheetData>
  <mergeCells count="57">
    <mergeCell ref="I43:L43"/>
    <mergeCell ref="I45:L45"/>
    <mergeCell ref="D13:H13"/>
    <mergeCell ref="I18:M18"/>
    <mergeCell ref="I16:M16"/>
    <mergeCell ref="I21:M21"/>
    <mergeCell ref="I30:M30"/>
    <mergeCell ref="I33:M33"/>
    <mergeCell ref="I28:M28"/>
    <mergeCell ref="I17:M17"/>
    <mergeCell ref="A73:G73"/>
    <mergeCell ref="I19:M19"/>
    <mergeCell ref="A25:H25"/>
    <mergeCell ref="I27:M27"/>
    <mergeCell ref="I20:M20"/>
    <mergeCell ref="I47:L47"/>
    <mergeCell ref="I31:M31"/>
    <mergeCell ref="I32:M32"/>
    <mergeCell ref="A34:H34"/>
    <mergeCell ref="I36:L36"/>
    <mergeCell ref="I37:L37"/>
    <mergeCell ref="I38:L38"/>
    <mergeCell ref="A40:H40"/>
    <mergeCell ref="A22:H22"/>
    <mergeCell ref="I44:L44"/>
    <mergeCell ref="I42:L42"/>
    <mergeCell ref="A53:H53"/>
    <mergeCell ref="A13:A14"/>
    <mergeCell ref="B13:B14"/>
    <mergeCell ref="C13:C14"/>
    <mergeCell ref="A1:B5"/>
    <mergeCell ref="C1:H5"/>
    <mergeCell ref="A6:B7"/>
    <mergeCell ref="C6:H7"/>
    <mergeCell ref="A8:B9"/>
    <mergeCell ref="C8:H9"/>
    <mergeCell ref="A10:B10"/>
    <mergeCell ref="A11:F11"/>
    <mergeCell ref="G11:G12"/>
    <mergeCell ref="H11:H12"/>
    <mergeCell ref="A12:F12"/>
    <mergeCell ref="A60:H60"/>
    <mergeCell ref="A72:H72"/>
    <mergeCell ref="I46:L46"/>
    <mergeCell ref="I52:M52"/>
    <mergeCell ref="I55:L55"/>
    <mergeCell ref="I57:L57"/>
    <mergeCell ref="A66:H66"/>
    <mergeCell ref="A69:H69"/>
    <mergeCell ref="I50:M50"/>
    <mergeCell ref="I51:M51"/>
    <mergeCell ref="I58:L58"/>
    <mergeCell ref="I59:L59"/>
    <mergeCell ref="I62:L62"/>
    <mergeCell ref="I64:L64"/>
    <mergeCell ref="I65:L65"/>
    <mergeCell ref="I63:L63"/>
  </mergeCells>
  <printOptions horizontalCentered="1"/>
  <pageMargins left="0.78740157480314965" right="0.78740157480314965" top="0.78740157480314965" bottom="0.78740157480314965" header="0.31496062992125984" footer="0.31496062992125984"/>
  <pageSetup paperSize="9" scale="50" orientation="portrait" r:id="rId1"/>
  <headerFooter>
    <oddFooter>Página &amp;P de &amp;N</oddFooter>
  </headerFooter>
  <rowBreaks count="1" manualBreakCount="1">
    <brk id="40" max="7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L880"/>
  <sheetViews>
    <sheetView showGridLines="0" view="pageBreakPreview" zoomScale="85" zoomScaleNormal="100" zoomScaleSheetLayoutView="85" workbookViewId="0">
      <selection activeCell="H761" sqref="H761"/>
    </sheetView>
  </sheetViews>
  <sheetFormatPr defaultRowHeight="15"/>
  <cols>
    <col min="2" max="2" width="7.5703125" customWidth="1"/>
    <col min="3" max="8" width="10.7109375" customWidth="1"/>
    <col min="9" max="9" width="12" customWidth="1"/>
    <col min="10" max="10" width="12.85546875" customWidth="1"/>
    <col min="11" max="12" width="10.7109375" customWidth="1"/>
  </cols>
  <sheetData>
    <row r="1" spans="2:12" ht="15.75" thickBot="1"/>
    <row r="2" spans="2:12">
      <c r="B2" s="1033" t="s">
        <v>103</v>
      </c>
      <c r="C2" s="1034"/>
      <c r="D2" s="1039" t="str">
        <f>'[6]PLANILHA ORÇAMENTÁRIA'!E2</f>
        <v>PREFEITURA MUNICIPAL DE ITAMBÉ</v>
      </c>
      <c r="E2" s="1040"/>
      <c r="F2" s="1040"/>
      <c r="G2" s="1040"/>
      <c r="H2" s="1040"/>
      <c r="I2" s="1041"/>
      <c r="J2" s="1042"/>
      <c r="K2" s="1043"/>
      <c r="L2" s="1044"/>
    </row>
    <row r="3" spans="2:12">
      <c r="B3" s="1035"/>
      <c r="C3" s="1036"/>
      <c r="D3" s="1051" t="s">
        <v>1041</v>
      </c>
      <c r="E3" s="1052"/>
      <c r="F3" s="1052"/>
      <c r="G3" s="1052"/>
      <c r="H3" s="1052"/>
      <c r="I3" s="1053"/>
      <c r="J3" s="1045"/>
      <c r="K3" s="1046"/>
      <c r="L3" s="1047"/>
    </row>
    <row r="4" spans="2:12" ht="66.75" customHeight="1">
      <c r="B4" s="1035"/>
      <c r="C4" s="1036"/>
      <c r="D4" s="1054" t="s">
        <v>1040</v>
      </c>
      <c r="E4" s="1055"/>
      <c r="F4" s="1055"/>
      <c r="G4" s="1055"/>
      <c r="H4" s="1055"/>
      <c r="I4" s="1056"/>
      <c r="J4" s="1045"/>
      <c r="K4" s="1046"/>
      <c r="L4" s="1047"/>
    </row>
    <row r="5" spans="2:12" ht="9.75" customHeight="1" thickBot="1">
      <c r="B5" s="1037"/>
      <c r="C5" s="1038"/>
      <c r="D5" s="1057"/>
      <c r="E5" s="1058"/>
      <c r="F5" s="1058"/>
      <c r="G5" s="1058"/>
      <c r="H5" s="1058"/>
      <c r="I5" s="1059"/>
      <c r="J5" s="1048"/>
      <c r="K5" s="1049"/>
      <c r="L5" s="1050"/>
    </row>
    <row r="6" spans="2:12" hidden="1">
      <c r="B6" s="40"/>
      <c r="C6" s="40"/>
      <c r="D6" s="40"/>
      <c r="E6" s="40"/>
      <c r="F6" s="40"/>
      <c r="G6" s="40"/>
      <c r="H6" s="40"/>
      <c r="I6" s="40"/>
      <c r="J6" s="41"/>
      <c r="K6" s="40"/>
      <c r="L6" s="40"/>
    </row>
    <row r="7" spans="2:12" hidden="1">
      <c r="B7" s="1060" t="s">
        <v>104</v>
      </c>
      <c r="C7" s="1060"/>
      <c r="D7" s="42" t="e">
        <f>'[6]PLANILHA ORÇAMENTÁRIA'!J6</f>
        <v>#REF!</v>
      </c>
      <c r="E7" s="43"/>
      <c r="F7" s="256" t="s">
        <v>105</v>
      </c>
      <c r="G7" s="42" t="e">
        <f>'[6]PLANILHA ORÇAMENTÁRIA'!J7</f>
        <v>#REF!</v>
      </c>
      <c r="H7" s="45" t="s">
        <v>1</v>
      </c>
      <c r="I7" s="46"/>
      <c r="J7" s="46" t="str">
        <f>'[6]PLANILHA ORÇAMENTÁRIA'!B8</f>
        <v>SINAPI - FEV/2019 DESONERADO</v>
      </c>
      <c r="K7" s="43"/>
      <c r="L7" s="43"/>
    </row>
    <row r="8" spans="2:12" hidden="1">
      <c r="B8" s="256" t="s">
        <v>106</v>
      </c>
      <c r="C8" s="1061" t="e">
        <f>'[6]PLANILHA ORÇAMENTÁRIA'!J8</f>
        <v>#REF!</v>
      </c>
      <c r="D8" s="1061"/>
      <c r="E8" s="43"/>
      <c r="F8" s="256" t="s">
        <v>0</v>
      </c>
      <c r="G8" s="47">
        <f>'[6]PLANILHA ORÇAMENTÁRIA'!J5</f>
        <v>43641</v>
      </c>
      <c r="H8" s="46"/>
      <c r="I8" s="48"/>
      <c r="J8" s="46"/>
      <c r="K8" s="43"/>
      <c r="L8" s="43"/>
    </row>
    <row r="9" spans="2:12" hidden="1">
      <c r="B9" s="49"/>
      <c r="C9" s="50"/>
      <c r="D9" s="46"/>
      <c r="E9" s="46"/>
      <c r="F9" s="46"/>
      <c r="G9" s="46"/>
      <c r="H9" s="46"/>
      <c r="I9" s="46"/>
      <c r="J9" s="46"/>
      <c r="K9" s="43"/>
      <c r="L9" s="51"/>
    </row>
    <row r="10" spans="2:12" hidden="1">
      <c r="B10" s="52" t="s">
        <v>107</v>
      </c>
      <c r="C10" s="53" t="s">
        <v>108</v>
      </c>
      <c r="D10" s="54"/>
      <c r="E10" s="55"/>
      <c r="F10" s="56"/>
      <c r="G10" s="54"/>
      <c r="H10" s="57" t="s">
        <v>109</v>
      </c>
      <c r="I10" s="53" t="s">
        <v>110</v>
      </c>
      <c r="J10" s="46"/>
      <c r="K10" s="43"/>
      <c r="L10" s="51"/>
    </row>
    <row r="11" spans="2:12" hidden="1">
      <c r="B11" s="49"/>
      <c r="C11" s="50"/>
      <c r="D11" s="46"/>
      <c r="E11" s="46"/>
      <c r="F11" s="46"/>
      <c r="G11" s="46"/>
      <c r="H11" s="46"/>
      <c r="I11" s="46"/>
      <c r="J11" s="46"/>
      <c r="K11" s="43"/>
      <c r="L11" s="51"/>
    </row>
    <row r="12" spans="2:12" hidden="1">
      <c r="B12" s="58" t="str">
        <f>'[6]PLANILHA ORÇAMENTÁRIA'!D11</f>
        <v>1.0</v>
      </c>
      <c r="C12" s="1000" t="str">
        <f>'[6]PLANILHA ORÇAMENTÁRIA'!E11</f>
        <v>SERVIÇOS PRELIMINARES</v>
      </c>
      <c r="D12" s="1000"/>
      <c r="E12" s="1000"/>
      <c r="F12" s="1000"/>
      <c r="G12" s="1000"/>
      <c r="H12" s="1000"/>
      <c r="I12" s="1000"/>
      <c r="J12" s="1000"/>
      <c r="K12" s="59"/>
      <c r="L12" s="59"/>
    </row>
    <row r="13" spans="2:12" hidden="1">
      <c r="B13" s="60" t="str">
        <f>'[6]PLANILHA ORÇAMENTÁRIA'!D12</f>
        <v>1.1</v>
      </c>
      <c r="C13" s="1003" t="str">
        <f>'[6]PLANILHA ORÇAMENTÁRIA'!E12</f>
        <v>PLACA DE OBRA EM CHAPA DE ACO GALVANIZADO</v>
      </c>
      <c r="D13" s="1003"/>
      <c r="E13" s="1003"/>
      <c r="F13" s="1003"/>
      <c r="G13" s="1003"/>
      <c r="H13" s="1003"/>
      <c r="I13" s="1003"/>
      <c r="J13" s="1003"/>
      <c r="K13" s="61" t="str">
        <f>'[6]PLANILHA ORÇAMENTÁRIA'!F12</f>
        <v>M2</v>
      </c>
      <c r="L13" s="62">
        <f>K16</f>
        <v>6</v>
      </c>
    </row>
    <row r="14" spans="2:12" hidden="1">
      <c r="B14" s="63"/>
      <c r="C14" s="1004" t="s">
        <v>20</v>
      </c>
      <c r="D14" s="1004"/>
      <c r="E14" s="1004"/>
      <c r="F14" s="64" t="s">
        <v>3</v>
      </c>
      <c r="G14" s="254" t="s">
        <v>111</v>
      </c>
      <c r="H14" s="64" t="s">
        <v>112</v>
      </c>
      <c r="I14" s="254" t="s">
        <v>113</v>
      </c>
      <c r="J14" s="254" t="s">
        <v>114</v>
      </c>
      <c r="K14" s="66" t="s">
        <v>25</v>
      </c>
      <c r="L14" s="67"/>
    </row>
    <row r="15" spans="2:12" hidden="1">
      <c r="B15" s="63"/>
      <c r="C15" s="1001" t="s">
        <v>115</v>
      </c>
      <c r="D15" s="1001"/>
      <c r="E15" s="1001"/>
      <c r="F15" s="68"/>
      <c r="G15" s="68">
        <v>2</v>
      </c>
      <c r="H15" s="68"/>
      <c r="I15" s="68">
        <v>3</v>
      </c>
      <c r="J15" s="68"/>
      <c r="K15" s="69">
        <f>TRUNC(G15*I15,2)</f>
        <v>6</v>
      </c>
      <c r="L15" s="67"/>
    </row>
    <row r="16" spans="2:12" hidden="1">
      <c r="B16" s="63"/>
      <c r="C16" s="1002" t="s">
        <v>116</v>
      </c>
      <c r="D16" s="1002"/>
      <c r="E16" s="1002"/>
      <c r="F16" s="1002"/>
      <c r="G16" s="1002"/>
      <c r="H16" s="1002"/>
      <c r="I16" s="1002"/>
      <c r="J16" s="1002"/>
      <c r="K16" s="70">
        <f>SUM(K15:K15)</f>
        <v>6</v>
      </c>
      <c r="L16" s="67"/>
    </row>
    <row r="17" spans="2:12" hidden="1"/>
    <row r="18" spans="2:12" ht="25.5" hidden="1" customHeight="1">
      <c r="B18" s="60" t="str">
        <f>'[6]PLANILHA ORÇAMENTÁRIA'!D13</f>
        <v>1.2</v>
      </c>
      <c r="C18" s="1003" t="str">
        <f>'[6]PLANILHA ORÇAMENTÁRIA'!E13</f>
        <v>LIMPEZA MECANIZADA DE TERRENO COM REMOCAO DE CAMADA VEGETAL, UTILIZANDO MOTONIVELADORA</v>
      </c>
      <c r="D18" s="1003"/>
      <c r="E18" s="1003"/>
      <c r="F18" s="1003"/>
      <c r="G18" s="1003"/>
      <c r="H18" s="1003"/>
      <c r="I18" s="1003"/>
      <c r="J18" s="1003"/>
      <c r="K18" s="61" t="str">
        <f>'[6]PLANILHA ORÇAMENTÁRIA'!F13</f>
        <v>M2</v>
      </c>
      <c r="L18" s="62">
        <f>K21</f>
        <v>780.75</v>
      </c>
    </row>
    <row r="19" spans="2:12" hidden="1">
      <c r="B19" s="63"/>
      <c r="C19" s="1004" t="s">
        <v>20</v>
      </c>
      <c r="D19" s="1004"/>
      <c r="E19" s="1004"/>
      <c r="F19" s="64" t="s">
        <v>117</v>
      </c>
      <c r="G19" s="254" t="s">
        <v>111</v>
      </c>
      <c r="H19" s="64" t="s">
        <v>112</v>
      </c>
      <c r="I19" s="254" t="s">
        <v>113</v>
      </c>
      <c r="J19" s="254" t="s">
        <v>114</v>
      </c>
      <c r="K19" s="66" t="s">
        <v>25</v>
      </c>
      <c r="L19" s="67"/>
    </row>
    <row r="20" spans="2:12" ht="27.75" hidden="1" customHeight="1">
      <c r="B20" s="63"/>
      <c r="C20" s="1001" t="s">
        <v>118</v>
      </c>
      <c r="D20" s="1001"/>
      <c r="E20" s="1001"/>
      <c r="F20" s="68">
        <v>780.75</v>
      </c>
      <c r="G20" s="68"/>
      <c r="H20" s="68"/>
      <c r="I20" s="68"/>
      <c r="J20" s="68"/>
      <c r="K20" s="69">
        <f>F20</f>
        <v>780.75</v>
      </c>
      <c r="L20" s="67"/>
    </row>
    <row r="21" spans="2:12" hidden="1">
      <c r="B21" s="63"/>
      <c r="C21" s="1002" t="s">
        <v>116</v>
      </c>
      <c r="D21" s="1002"/>
      <c r="E21" s="1002"/>
      <c r="F21" s="1002"/>
      <c r="G21" s="1002"/>
      <c r="H21" s="1002"/>
      <c r="I21" s="1002"/>
      <c r="J21" s="1002"/>
      <c r="K21" s="70">
        <f>SUM(K20:K20)</f>
        <v>780.75</v>
      </c>
      <c r="L21" s="67"/>
    </row>
    <row r="22" spans="2:12" hidden="1">
      <c r="B22" s="63"/>
      <c r="C22" s="71"/>
      <c r="D22" s="71"/>
      <c r="E22" s="71"/>
      <c r="F22" s="71"/>
      <c r="G22" s="71"/>
      <c r="H22" s="71"/>
      <c r="I22" s="71"/>
      <c r="J22" s="71"/>
      <c r="K22" s="72"/>
      <c r="L22" s="67"/>
    </row>
    <row r="23" spans="2:12" ht="15" hidden="1" customHeight="1">
      <c r="B23" s="60" t="str">
        <f>'[6]PLANILHA ORÇAMENTÁRIA'!D14</f>
        <v>1.3</v>
      </c>
      <c r="C23" s="1003" t="str">
        <f>'[6]PLANILHA ORÇAMENTÁRIA'!E14</f>
        <v>LOCAÇÃO DA OBRA - EXECUÇÃO DE GABARITO</v>
      </c>
      <c r="D23" s="1003"/>
      <c r="E23" s="1003"/>
      <c r="F23" s="1003"/>
      <c r="G23" s="1003"/>
      <c r="H23" s="1003"/>
      <c r="I23" s="1003"/>
      <c r="J23" s="1003"/>
      <c r="K23" s="61" t="str">
        <f>'[6]PLANILHA ORÇAMENTÁRIA'!F14</f>
        <v>M2</v>
      </c>
      <c r="L23" s="62">
        <f>K27</f>
        <v>157.78</v>
      </c>
    </row>
    <row r="24" spans="2:12" hidden="1">
      <c r="B24" s="63"/>
      <c r="C24" s="1004" t="s">
        <v>20</v>
      </c>
      <c r="D24" s="1004"/>
      <c r="E24" s="1004"/>
      <c r="F24" s="64" t="s">
        <v>22</v>
      </c>
      <c r="G24" s="254" t="s">
        <v>111</v>
      </c>
      <c r="H24" s="64" t="s">
        <v>112</v>
      </c>
      <c r="I24" s="254" t="s">
        <v>113</v>
      </c>
      <c r="J24" s="254" t="s">
        <v>114</v>
      </c>
      <c r="K24" s="66" t="s">
        <v>25</v>
      </c>
      <c r="L24" s="67"/>
    </row>
    <row r="25" spans="2:12" hidden="1">
      <c r="B25" s="63"/>
      <c r="C25" s="1001" t="s">
        <v>119</v>
      </c>
      <c r="D25" s="1001"/>
      <c r="E25" s="1001"/>
      <c r="F25" s="68">
        <v>1</v>
      </c>
      <c r="G25" s="68"/>
      <c r="H25" s="68">
        <v>6.7</v>
      </c>
      <c r="I25" s="68">
        <v>12</v>
      </c>
      <c r="J25" s="68"/>
      <c r="K25" s="69">
        <f>PRODUCT(F25:I25)</f>
        <v>80.400000000000006</v>
      </c>
      <c r="L25" s="67"/>
    </row>
    <row r="26" spans="2:12" hidden="1">
      <c r="B26" s="63"/>
      <c r="C26" s="1001" t="s">
        <v>120</v>
      </c>
      <c r="D26" s="1001"/>
      <c r="E26" s="1001"/>
      <c r="F26" s="68">
        <v>4</v>
      </c>
      <c r="G26" s="68"/>
      <c r="H26" s="68">
        <v>3.65</v>
      </c>
      <c r="I26" s="68">
        <v>5.3</v>
      </c>
      <c r="J26" s="68"/>
      <c r="K26" s="69">
        <f>PRODUCT(F26:I26)</f>
        <v>77.38</v>
      </c>
      <c r="L26" s="67"/>
    </row>
    <row r="27" spans="2:12" hidden="1">
      <c r="B27" s="63"/>
      <c r="C27" s="1002" t="s">
        <v>116</v>
      </c>
      <c r="D27" s="1002"/>
      <c r="E27" s="1002"/>
      <c r="F27" s="1002"/>
      <c r="G27" s="1002"/>
      <c r="H27" s="1002"/>
      <c r="I27" s="1002"/>
      <c r="J27" s="1002"/>
      <c r="K27" s="70">
        <f>SUM(K25:K26)</f>
        <v>157.78</v>
      </c>
      <c r="L27" s="67"/>
    </row>
    <row r="28" spans="2:12" hidden="1">
      <c r="B28" s="63"/>
      <c r="C28" s="71"/>
      <c r="D28" s="71"/>
      <c r="E28" s="71"/>
      <c r="F28" s="71"/>
      <c r="G28" s="71"/>
      <c r="H28" s="71"/>
      <c r="I28" s="71"/>
      <c r="J28" s="71"/>
      <c r="K28" s="72"/>
      <c r="L28" s="67"/>
    </row>
    <row r="29" spans="2:12" hidden="1">
      <c r="B29" s="58" t="str">
        <f>'[6]PLANILHA ORÇAMENTÁRIA'!D15</f>
        <v>2.0</v>
      </c>
      <c r="C29" s="1000" t="str">
        <f>'[6]PLANILHA ORÇAMENTÁRIA'!E15</f>
        <v>DEMOLIÇÕES</v>
      </c>
      <c r="D29" s="1000"/>
      <c r="E29" s="1000"/>
      <c r="F29" s="1000"/>
      <c r="G29" s="1000"/>
      <c r="H29" s="1000"/>
      <c r="I29" s="1000"/>
      <c r="J29" s="1000"/>
      <c r="K29" s="59"/>
      <c r="L29" s="59"/>
    </row>
    <row r="30" spans="2:12" ht="23.25" hidden="1" customHeight="1">
      <c r="B30" s="60" t="str">
        <f>'[6]PLANILHA ORÇAMENTÁRIA'!D16</f>
        <v>2.1</v>
      </c>
      <c r="C30" s="1003" t="str">
        <f>'[6]PLANILHA ORÇAMENTÁRIA'!E16</f>
        <v>DEMOLIÇÃO DE ALVENARIA DE BLOCO FURADO, SEM REAPROVEITAMENTO, INCLUSIVE REVESTIMENTO.</v>
      </c>
      <c r="D30" s="1003"/>
      <c r="E30" s="1003"/>
      <c r="F30" s="1003"/>
      <c r="G30" s="1003"/>
      <c r="H30" s="1003"/>
      <c r="I30" s="1003"/>
      <c r="J30" s="1003"/>
      <c r="K30" s="61" t="str">
        <f>'[6]PLANILHA ORÇAMENTÁRIA'!F16</f>
        <v>M3</v>
      </c>
      <c r="L30" s="62">
        <f>K33</f>
        <v>17.39</v>
      </c>
    </row>
    <row r="31" spans="2:12" hidden="1">
      <c r="B31" s="63"/>
      <c r="C31" s="1004" t="s">
        <v>20</v>
      </c>
      <c r="D31" s="1004"/>
      <c r="E31" s="1004"/>
      <c r="F31" s="64" t="s">
        <v>117</v>
      </c>
      <c r="G31" s="254" t="s">
        <v>111</v>
      </c>
      <c r="H31" s="64" t="s">
        <v>112</v>
      </c>
      <c r="I31" s="254" t="s">
        <v>113</v>
      </c>
      <c r="J31" s="254" t="s">
        <v>114</v>
      </c>
      <c r="K31" s="66" t="s">
        <v>25</v>
      </c>
      <c r="L31" s="67"/>
    </row>
    <row r="32" spans="2:12" hidden="1">
      <c r="B32" s="63"/>
      <c r="C32" s="1001" t="s">
        <v>121</v>
      </c>
      <c r="D32" s="1001"/>
      <c r="E32" s="1001"/>
      <c r="F32" s="68"/>
      <c r="G32" s="68">
        <v>2.2000000000000002</v>
      </c>
      <c r="H32" s="68">
        <v>0.15</v>
      </c>
      <c r="I32" s="68">
        <v>52.71</v>
      </c>
      <c r="J32" s="68"/>
      <c r="K32" s="69">
        <f>TRUNC(I32*G32*H32,2)</f>
        <v>17.39</v>
      </c>
      <c r="L32" s="67"/>
    </row>
    <row r="33" spans="2:12" hidden="1">
      <c r="B33" s="63"/>
      <c r="C33" s="1002" t="s">
        <v>116</v>
      </c>
      <c r="D33" s="1002"/>
      <c r="E33" s="1002"/>
      <c r="F33" s="1002"/>
      <c r="G33" s="1002"/>
      <c r="H33" s="1002"/>
      <c r="I33" s="1002"/>
      <c r="J33" s="1002"/>
      <c r="K33" s="70">
        <f>SUM(K32:K32)</f>
        <v>17.39</v>
      </c>
      <c r="L33" s="67"/>
    </row>
    <row r="34" spans="2:12" hidden="1">
      <c r="B34" s="63"/>
      <c r="C34" s="71"/>
      <c r="D34" s="71"/>
      <c r="E34" s="71"/>
      <c r="F34" s="71"/>
      <c r="G34" s="71"/>
      <c r="H34" s="71"/>
      <c r="I34" s="71"/>
      <c r="J34" s="71"/>
      <c r="K34" s="72"/>
      <c r="L34" s="67"/>
    </row>
    <row r="35" spans="2:12" hidden="1">
      <c r="B35" s="58" t="str">
        <f>'[6]PLANILHA ORÇAMENTÁRIA'!D17</f>
        <v>3.0</v>
      </c>
      <c r="C35" s="1000" t="str">
        <f>'[6]PLANILHA ORÇAMENTÁRIA'!E17</f>
        <v>TRABALHOS EM TERRA</v>
      </c>
      <c r="D35" s="1000"/>
      <c r="E35" s="1000"/>
      <c r="F35" s="1000"/>
      <c r="G35" s="1000"/>
      <c r="H35" s="1000"/>
      <c r="I35" s="1000"/>
      <c r="J35" s="1000"/>
      <c r="K35" s="59"/>
      <c r="L35" s="59"/>
    </row>
    <row r="36" spans="2:12" ht="15" hidden="1" customHeight="1">
      <c r="B36" s="60" t="str">
        <f>'[6]PLANILHA ORÇAMENTÁRIA'!D18</f>
        <v>3.1</v>
      </c>
      <c r="C36" s="1003" t="str">
        <f>'[6]PLANILHA ORÇAMENTÁRIA'!E18</f>
        <v>CORTE E ATERRO COMPENSADO</v>
      </c>
      <c r="D36" s="1003"/>
      <c r="E36" s="1003"/>
      <c r="F36" s="1003"/>
      <c r="G36" s="1003"/>
      <c r="H36" s="1003"/>
      <c r="I36" s="1003"/>
      <c r="J36" s="1003"/>
      <c r="K36" s="61" t="str">
        <f>'[6]PLANILHA ORÇAMENTÁRIA'!F18</f>
        <v>M3</v>
      </c>
      <c r="L36" s="62">
        <f>K39</f>
        <v>156.15</v>
      </c>
    </row>
    <row r="37" spans="2:12" hidden="1">
      <c r="B37" s="63"/>
      <c r="C37" s="1004" t="s">
        <v>20</v>
      </c>
      <c r="D37" s="1004"/>
      <c r="E37" s="1004"/>
      <c r="F37" s="64" t="s">
        <v>117</v>
      </c>
      <c r="G37" s="254" t="s">
        <v>111</v>
      </c>
      <c r="H37" s="64" t="s">
        <v>112</v>
      </c>
      <c r="I37" s="254" t="s">
        <v>113</v>
      </c>
      <c r="J37" s="254" t="s">
        <v>114</v>
      </c>
      <c r="K37" s="66" t="s">
        <v>25</v>
      </c>
      <c r="L37" s="67"/>
    </row>
    <row r="38" spans="2:12" hidden="1">
      <c r="B38" s="63"/>
      <c r="C38" s="1001" t="s">
        <v>122</v>
      </c>
      <c r="D38" s="1001"/>
      <c r="E38" s="1001"/>
      <c r="F38" s="68">
        <f>F20</f>
        <v>780.75</v>
      </c>
      <c r="G38" s="68">
        <v>0.2</v>
      </c>
      <c r="H38" s="68"/>
      <c r="I38" s="68"/>
      <c r="J38" s="68"/>
      <c r="K38" s="69">
        <f>TRUNC(F38*G38,2)</f>
        <v>156.15</v>
      </c>
      <c r="L38" s="67"/>
    </row>
    <row r="39" spans="2:12" hidden="1">
      <c r="B39" s="63"/>
      <c r="C39" s="1002" t="s">
        <v>116</v>
      </c>
      <c r="D39" s="1002"/>
      <c r="E39" s="1002"/>
      <c r="F39" s="1002"/>
      <c r="G39" s="1002"/>
      <c r="H39" s="1002"/>
      <c r="I39" s="1002"/>
      <c r="J39" s="1002"/>
      <c r="K39" s="70">
        <f>SUM(K38:K38)</f>
        <v>156.15</v>
      </c>
      <c r="L39" s="67"/>
    </row>
    <row r="40" spans="2:12" hidden="1"/>
    <row r="41" spans="2:12" ht="15" hidden="1" customHeight="1">
      <c r="B41" s="60" t="str">
        <f>'[6]PLANILHA ORÇAMENTÁRIA'!D19</f>
        <v>3.2</v>
      </c>
      <c r="C41" s="1003" t="str">
        <f>'[6]PLANILHA ORÇAMENTÁRIA'!E19</f>
        <v>ESCAVAÇÃO MANUAL DE VALA COM PROFUNDIDADE MENOR OU IGUAL A 1,30 M. AF_ 03/2016</v>
      </c>
      <c r="D41" s="1003"/>
      <c r="E41" s="1003"/>
      <c r="F41" s="1003"/>
      <c r="G41" s="1003"/>
      <c r="H41" s="1003"/>
      <c r="I41" s="1003"/>
      <c r="J41" s="1003"/>
      <c r="K41" s="61" t="str">
        <f>'[6]PLANILHA ORÇAMENTÁRIA'!F19</f>
        <v>M3</v>
      </c>
      <c r="L41" s="62">
        <f>K49</f>
        <v>12.827999999999999</v>
      </c>
    </row>
    <row r="42" spans="2:12" hidden="1">
      <c r="B42" s="63"/>
      <c r="C42" s="1004" t="s">
        <v>20</v>
      </c>
      <c r="D42" s="1004"/>
      <c r="E42" s="1004"/>
      <c r="F42" s="64" t="s">
        <v>22</v>
      </c>
      <c r="G42" s="254" t="s">
        <v>111</v>
      </c>
      <c r="H42" s="64" t="s">
        <v>112</v>
      </c>
      <c r="I42" s="254" t="s">
        <v>113</v>
      </c>
      <c r="J42" s="254" t="s">
        <v>114</v>
      </c>
      <c r="K42" s="66" t="s">
        <v>25</v>
      </c>
      <c r="L42" s="67"/>
    </row>
    <row r="43" spans="2:12" hidden="1">
      <c r="B43" s="63"/>
      <c r="C43" s="1001" t="s">
        <v>123</v>
      </c>
      <c r="D43" s="1001"/>
      <c r="E43" s="1001"/>
      <c r="F43" s="68">
        <v>2</v>
      </c>
      <c r="G43" s="68">
        <v>0.6</v>
      </c>
      <c r="H43" s="68">
        <v>0.4</v>
      </c>
      <c r="I43" s="68">
        <v>5.4</v>
      </c>
      <c r="J43" s="68"/>
      <c r="K43" s="69">
        <f t="shared" ref="K43:K48" si="0">PRODUCT(F43:I43)</f>
        <v>2.5920000000000001</v>
      </c>
      <c r="L43" s="67"/>
    </row>
    <row r="44" spans="2:12" hidden="1">
      <c r="B44" s="63"/>
      <c r="C44" s="1001" t="s">
        <v>124</v>
      </c>
      <c r="D44" s="1001"/>
      <c r="E44" s="1001"/>
      <c r="F44" s="68">
        <v>2</v>
      </c>
      <c r="G44" s="68">
        <v>0.6</v>
      </c>
      <c r="H44" s="68">
        <v>0.4</v>
      </c>
      <c r="I44" s="68">
        <v>3.6</v>
      </c>
      <c r="J44" s="68"/>
      <c r="K44" s="69">
        <f t="shared" si="0"/>
        <v>1.728</v>
      </c>
      <c r="L44" s="67"/>
    </row>
    <row r="45" spans="2:12" hidden="1">
      <c r="B45" s="63"/>
      <c r="C45" s="1001" t="s">
        <v>125</v>
      </c>
      <c r="D45" s="1001"/>
      <c r="E45" s="1001"/>
      <c r="F45" s="68">
        <v>1</v>
      </c>
      <c r="G45" s="68">
        <v>0.6</v>
      </c>
      <c r="H45" s="68">
        <v>0.4</v>
      </c>
      <c r="I45" s="68">
        <v>4.2</v>
      </c>
      <c r="J45" s="68"/>
      <c r="K45" s="69">
        <f t="shared" si="0"/>
        <v>1.008</v>
      </c>
      <c r="L45" s="67"/>
    </row>
    <row r="46" spans="2:12" hidden="1">
      <c r="B46" s="63"/>
      <c r="C46" s="1001" t="s">
        <v>126</v>
      </c>
      <c r="D46" s="1001"/>
      <c r="E46" s="1001"/>
      <c r="F46" s="68">
        <v>1</v>
      </c>
      <c r="G46" s="68">
        <v>0.6</v>
      </c>
      <c r="H46" s="68">
        <v>0.4</v>
      </c>
      <c r="I46" s="68">
        <v>3.15</v>
      </c>
      <c r="J46" s="68"/>
      <c r="K46" s="69">
        <f t="shared" si="0"/>
        <v>0.75600000000000001</v>
      </c>
      <c r="L46" s="67"/>
    </row>
    <row r="47" spans="2:12" hidden="1">
      <c r="B47" s="63"/>
      <c r="C47" s="1001" t="s">
        <v>127</v>
      </c>
      <c r="D47" s="1001"/>
      <c r="E47" s="1001"/>
      <c r="F47" s="68">
        <v>1</v>
      </c>
      <c r="G47" s="68">
        <v>0.6</v>
      </c>
      <c r="H47" s="68">
        <v>0.4</v>
      </c>
      <c r="I47" s="68">
        <f>5.7+5.7+4.7</f>
        <v>16.100000000000001</v>
      </c>
      <c r="J47" s="68"/>
      <c r="K47" s="69">
        <f t="shared" si="0"/>
        <v>3.8640000000000003</v>
      </c>
      <c r="L47" s="67"/>
    </row>
    <row r="48" spans="2:12" hidden="1">
      <c r="B48" s="63"/>
      <c r="C48" s="1001" t="s">
        <v>128</v>
      </c>
      <c r="D48" s="1001"/>
      <c r="E48" s="1001"/>
      <c r="F48" s="68">
        <v>8</v>
      </c>
      <c r="G48" s="68">
        <v>1</v>
      </c>
      <c r="H48" s="68">
        <v>0.6</v>
      </c>
      <c r="I48" s="68">
        <v>0.6</v>
      </c>
      <c r="J48" s="68"/>
      <c r="K48" s="69">
        <f t="shared" si="0"/>
        <v>2.88</v>
      </c>
      <c r="L48" s="67"/>
    </row>
    <row r="49" spans="2:12" hidden="1">
      <c r="B49" s="63"/>
      <c r="C49" s="1002" t="s">
        <v>116</v>
      </c>
      <c r="D49" s="1002"/>
      <c r="E49" s="1002"/>
      <c r="F49" s="1002"/>
      <c r="G49" s="1002"/>
      <c r="H49" s="1002"/>
      <c r="I49" s="1002"/>
      <c r="J49" s="1002"/>
      <c r="K49" s="70">
        <f>SUM(K43:K48)</f>
        <v>12.827999999999999</v>
      </c>
      <c r="L49" s="67"/>
    </row>
    <row r="50" spans="2:12" hidden="1"/>
    <row r="51" spans="2:12" ht="15" hidden="1" customHeight="1">
      <c r="B51" s="60" t="str">
        <f>'[6]PLANILHA ORÇAMENTÁRIA'!D20</f>
        <v>3.3</v>
      </c>
      <c r="C51" s="1003" t="str">
        <f>'[6]PLANILHA ORÇAMENTÁRIA'!E20</f>
        <v>REATERRO MANUAL APILOADO COM SOQUETE</v>
      </c>
      <c r="D51" s="1003"/>
      <c r="E51" s="1003"/>
      <c r="F51" s="1003"/>
      <c r="G51" s="1003"/>
      <c r="H51" s="1003"/>
      <c r="I51" s="1003"/>
      <c r="J51" s="1003"/>
      <c r="K51" s="61" t="str">
        <f>'[6]PLANILHA ORÇAMENTÁRIA'!F20</f>
        <v>M3</v>
      </c>
      <c r="L51" s="62">
        <f>K54</f>
        <v>4.0992499999999996</v>
      </c>
    </row>
    <row r="52" spans="2:12" hidden="1">
      <c r="B52" s="63"/>
      <c r="C52" s="1004" t="s">
        <v>20</v>
      </c>
      <c r="D52" s="1004"/>
      <c r="E52" s="1004"/>
      <c r="F52" s="64" t="s">
        <v>129</v>
      </c>
      <c r="G52" s="254" t="s">
        <v>130</v>
      </c>
      <c r="H52" s="64" t="s">
        <v>131</v>
      </c>
      <c r="I52" s="254" t="s">
        <v>132</v>
      </c>
      <c r="J52" s="254"/>
      <c r="K52" s="66" t="s">
        <v>25</v>
      </c>
      <c r="L52" s="67"/>
    </row>
    <row r="53" spans="2:12" hidden="1">
      <c r="B53" s="63"/>
      <c r="C53" s="1001"/>
      <c r="D53" s="1001"/>
      <c r="E53" s="1001"/>
      <c r="F53" s="68">
        <f>L41</f>
        <v>12.827999999999999</v>
      </c>
      <c r="G53" s="68">
        <f>L67</f>
        <v>3.4812500000000002</v>
      </c>
      <c r="H53" s="68">
        <f>L76</f>
        <v>4.1775000000000002</v>
      </c>
      <c r="I53" s="68">
        <v>1.07</v>
      </c>
      <c r="J53" s="68"/>
      <c r="K53" s="69">
        <f>F53-G53-H53-I53</f>
        <v>4.0992499999999996</v>
      </c>
      <c r="L53" s="67"/>
    </row>
    <row r="54" spans="2:12" hidden="1">
      <c r="B54" s="63"/>
      <c r="C54" s="1002" t="s">
        <v>116</v>
      </c>
      <c r="D54" s="1002"/>
      <c r="E54" s="1002"/>
      <c r="F54" s="1002"/>
      <c r="G54" s="1002"/>
      <c r="H54" s="1002"/>
      <c r="I54" s="1002"/>
      <c r="J54" s="1002"/>
      <c r="K54" s="70">
        <f>SUM(K53:K53)</f>
        <v>4.0992499999999996</v>
      </c>
      <c r="L54" s="67"/>
    </row>
    <row r="55" spans="2:12" hidden="1"/>
    <row r="56" spans="2:12" hidden="1">
      <c r="B56" s="58" t="str">
        <f>'[6]PLANILHA ORÇAMENTÁRIA'!D21</f>
        <v>4.0</v>
      </c>
      <c r="C56" s="1000" t="str">
        <f>'[6]PLANILHA ORÇAMENTÁRIA'!E21</f>
        <v>FUNDAÇÃO</v>
      </c>
      <c r="D56" s="1000"/>
      <c r="E56" s="1000"/>
      <c r="F56" s="1000"/>
      <c r="G56" s="1000"/>
      <c r="H56" s="1000"/>
      <c r="I56" s="1000"/>
      <c r="J56" s="1000"/>
      <c r="K56" s="59"/>
      <c r="L56" s="59"/>
    </row>
    <row r="57" spans="2:12" ht="24.75" hidden="1" customHeight="1">
      <c r="B57" s="60" t="str">
        <f>'[6]PLANILHA ORÇAMENTÁRIA'!D22</f>
        <v>4.1</v>
      </c>
      <c r="C57" s="1003" t="str">
        <f>'[6]PLANILHA ORÇAMENTÁRIA'!E22</f>
        <v>LASTRO DE CONCRETO MAGRO, APLICADO EM BLOCOS DE COROAMENTO OU SAPATAS, ESPESSURA DE 5 CM. AF_08/2017</v>
      </c>
      <c r="D57" s="1003"/>
      <c r="E57" s="1003"/>
      <c r="F57" s="1003"/>
      <c r="G57" s="1003"/>
      <c r="H57" s="1003"/>
      <c r="I57" s="1003"/>
      <c r="J57" s="1003"/>
      <c r="K57" s="61" t="str">
        <f>'[6]PLANILHA ORÇAMENTÁRIA'!F22</f>
        <v>M2</v>
      </c>
      <c r="L57" s="62">
        <f>K65</f>
        <v>21.532500000000002</v>
      </c>
    </row>
    <row r="58" spans="2:12" hidden="1">
      <c r="B58" s="63"/>
      <c r="C58" s="1004" t="s">
        <v>20</v>
      </c>
      <c r="D58" s="1004"/>
      <c r="E58" s="1004"/>
      <c r="F58" s="64" t="s">
        <v>22</v>
      </c>
      <c r="G58" s="254" t="s">
        <v>111</v>
      </c>
      <c r="H58" s="64" t="s">
        <v>112</v>
      </c>
      <c r="I58" s="254" t="s">
        <v>113</v>
      </c>
      <c r="J58" s="254" t="s">
        <v>114</v>
      </c>
      <c r="K58" s="66" t="s">
        <v>25</v>
      </c>
      <c r="L58" s="67"/>
    </row>
    <row r="59" spans="2:12" hidden="1">
      <c r="B59" s="63"/>
      <c r="C59" s="1001" t="s">
        <v>123</v>
      </c>
      <c r="D59" s="1001"/>
      <c r="E59" s="1001"/>
      <c r="F59" s="68">
        <v>2</v>
      </c>
      <c r="G59" s="68"/>
      <c r="H59" s="68">
        <v>0.45</v>
      </c>
      <c r="I59" s="68">
        <v>5.4</v>
      </c>
      <c r="J59" s="68"/>
      <c r="K59" s="69">
        <f t="shared" ref="K59:K64" si="1">PRODUCT(F59:I59)</f>
        <v>4.8600000000000003</v>
      </c>
      <c r="L59" s="67"/>
    </row>
    <row r="60" spans="2:12" hidden="1">
      <c r="B60" s="63"/>
      <c r="C60" s="1001" t="s">
        <v>124</v>
      </c>
      <c r="D60" s="1001"/>
      <c r="E60" s="1001"/>
      <c r="F60" s="68">
        <v>2</v>
      </c>
      <c r="G60" s="68"/>
      <c r="H60" s="68">
        <v>0.45</v>
      </c>
      <c r="I60" s="68">
        <v>3.6</v>
      </c>
      <c r="J60" s="68"/>
      <c r="K60" s="69">
        <f t="shared" si="1"/>
        <v>3.24</v>
      </c>
      <c r="L60" s="67"/>
    </row>
    <row r="61" spans="2:12" hidden="1">
      <c r="B61" s="63"/>
      <c r="C61" s="1001" t="s">
        <v>125</v>
      </c>
      <c r="D61" s="1001"/>
      <c r="E61" s="1001"/>
      <c r="F61" s="68">
        <v>1</v>
      </c>
      <c r="G61" s="68"/>
      <c r="H61" s="68">
        <v>0.45</v>
      </c>
      <c r="I61" s="68">
        <v>4.2</v>
      </c>
      <c r="J61" s="68"/>
      <c r="K61" s="69">
        <f t="shared" si="1"/>
        <v>1.8900000000000001</v>
      </c>
      <c r="L61" s="67"/>
    </row>
    <row r="62" spans="2:12" hidden="1">
      <c r="B62" s="63"/>
      <c r="C62" s="1001" t="s">
        <v>126</v>
      </c>
      <c r="D62" s="1001"/>
      <c r="E62" s="1001"/>
      <c r="F62" s="68">
        <v>1</v>
      </c>
      <c r="G62" s="68"/>
      <c r="H62" s="68">
        <v>0.45</v>
      </c>
      <c r="I62" s="68">
        <v>3.15</v>
      </c>
      <c r="J62" s="68"/>
      <c r="K62" s="69">
        <f t="shared" si="1"/>
        <v>1.4175</v>
      </c>
      <c r="L62" s="67"/>
    </row>
    <row r="63" spans="2:12" hidden="1">
      <c r="B63" s="63"/>
      <c r="C63" s="1001" t="s">
        <v>127</v>
      </c>
      <c r="D63" s="1001"/>
      <c r="E63" s="1001"/>
      <c r="F63" s="68">
        <v>1</v>
      </c>
      <c r="G63" s="68"/>
      <c r="H63" s="68">
        <v>0.45</v>
      </c>
      <c r="I63" s="68">
        <f>5.7+5.7+4.7</f>
        <v>16.100000000000001</v>
      </c>
      <c r="J63" s="68"/>
      <c r="K63" s="69">
        <f t="shared" si="1"/>
        <v>7.245000000000001</v>
      </c>
      <c r="L63" s="67"/>
    </row>
    <row r="64" spans="2:12" hidden="1">
      <c r="B64" s="63"/>
      <c r="C64" s="1001" t="s">
        <v>128</v>
      </c>
      <c r="D64" s="1001"/>
      <c r="E64" s="1001"/>
      <c r="F64" s="68">
        <v>8</v>
      </c>
      <c r="G64" s="68"/>
      <c r="H64" s="68">
        <v>0.6</v>
      </c>
      <c r="I64" s="68">
        <v>0.6</v>
      </c>
      <c r="J64" s="68"/>
      <c r="K64" s="69">
        <f t="shared" si="1"/>
        <v>2.88</v>
      </c>
      <c r="L64" s="67"/>
    </row>
    <row r="65" spans="2:12" hidden="1">
      <c r="B65" s="63"/>
      <c r="C65" s="1002" t="s">
        <v>116</v>
      </c>
      <c r="D65" s="1002"/>
      <c r="E65" s="1002"/>
      <c r="F65" s="1002"/>
      <c r="G65" s="1002"/>
      <c r="H65" s="1002"/>
      <c r="I65" s="1002"/>
      <c r="J65" s="1002"/>
      <c r="K65" s="70">
        <f>SUM(K59:K64)</f>
        <v>21.532500000000002</v>
      </c>
      <c r="L65" s="67"/>
    </row>
    <row r="66" spans="2:12" hidden="1">
      <c r="B66" s="63"/>
      <c r="C66" s="71"/>
      <c r="D66" s="71"/>
      <c r="E66" s="71"/>
      <c r="F66" s="71"/>
      <c r="G66" s="71"/>
      <c r="H66" s="71"/>
      <c r="I66" s="71"/>
      <c r="J66" s="71"/>
      <c r="K66" s="72"/>
      <c r="L66" s="67"/>
    </row>
    <row r="67" spans="2:12" ht="15" hidden="1" customHeight="1">
      <c r="B67" s="60" t="str">
        <f>'[6]PLANILHA ORÇAMENTÁRIA'!D23</f>
        <v>4.2</v>
      </c>
      <c r="C67" s="1003" t="str">
        <f>'[6]PLANILHA ORÇAMENTÁRIA'!E23</f>
        <v>EMBASAMENTO C/PEDRA ARGAMASSADA UTILIZANDO ARG.CIM/AREIA 1:4</v>
      </c>
      <c r="D67" s="1003"/>
      <c r="E67" s="1003"/>
      <c r="F67" s="1003"/>
      <c r="G67" s="1003"/>
      <c r="H67" s="1003"/>
      <c r="I67" s="1003"/>
      <c r="J67" s="1003"/>
      <c r="K67" s="61" t="str">
        <f>'[6]PLANILHA ORÇAMENTÁRIA'!F23</f>
        <v>M3</v>
      </c>
      <c r="L67" s="62">
        <f>K74</f>
        <v>3.4812500000000002</v>
      </c>
    </row>
    <row r="68" spans="2:12" hidden="1">
      <c r="B68" s="63"/>
      <c r="C68" s="1004" t="s">
        <v>20</v>
      </c>
      <c r="D68" s="1004"/>
      <c r="E68" s="1004"/>
      <c r="F68" s="64" t="s">
        <v>22</v>
      </c>
      <c r="G68" s="254" t="s">
        <v>111</v>
      </c>
      <c r="H68" s="64" t="s">
        <v>112</v>
      </c>
      <c r="I68" s="254" t="s">
        <v>113</v>
      </c>
      <c r="J68" s="254" t="s">
        <v>114</v>
      </c>
      <c r="K68" s="66" t="s">
        <v>25</v>
      </c>
      <c r="L68" s="67"/>
    </row>
    <row r="69" spans="2:12" hidden="1">
      <c r="B69" s="63"/>
      <c r="C69" s="1001" t="s">
        <v>123</v>
      </c>
      <c r="D69" s="1001"/>
      <c r="E69" s="1001"/>
      <c r="F69" s="68">
        <v>2</v>
      </c>
      <c r="G69" s="68">
        <v>0.25</v>
      </c>
      <c r="H69" s="68">
        <v>0.4</v>
      </c>
      <c r="I69" s="68">
        <v>5.4</v>
      </c>
      <c r="J69" s="68"/>
      <c r="K69" s="69">
        <f>PRODUCT(F69:J69)</f>
        <v>1.08</v>
      </c>
      <c r="L69" s="67"/>
    </row>
    <row r="70" spans="2:12" hidden="1">
      <c r="B70" s="63"/>
      <c r="C70" s="1001" t="s">
        <v>124</v>
      </c>
      <c r="D70" s="1001"/>
      <c r="E70" s="1001"/>
      <c r="F70" s="68">
        <v>2</v>
      </c>
      <c r="G70" s="68">
        <v>0.25</v>
      </c>
      <c r="H70" s="68">
        <v>0.4</v>
      </c>
      <c r="I70" s="68">
        <v>3.6</v>
      </c>
      <c r="J70" s="68"/>
      <c r="K70" s="69">
        <f>PRODUCT(F70:J70)</f>
        <v>0.72000000000000008</v>
      </c>
      <c r="L70" s="67"/>
    </row>
    <row r="71" spans="2:12" hidden="1">
      <c r="B71" s="63"/>
      <c r="C71" s="1001" t="s">
        <v>125</v>
      </c>
      <c r="D71" s="1001"/>
      <c r="E71" s="1001"/>
      <c r="F71" s="68">
        <v>1</v>
      </c>
      <c r="G71" s="68">
        <v>0.25</v>
      </c>
      <c r="H71" s="68">
        <v>0.4</v>
      </c>
      <c r="I71" s="68">
        <v>3.6</v>
      </c>
      <c r="J71" s="68"/>
      <c r="K71" s="69">
        <f>PRODUCT(F71:J71)</f>
        <v>0.36000000000000004</v>
      </c>
      <c r="L71" s="67"/>
    </row>
    <row r="72" spans="2:12" hidden="1">
      <c r="B72" s="63"/>
      <c r="C72" s="1001" t="s">
        <v>127</v>
      </c>
      <c r="D72" s="1001"/>
      <c r="E72" s="1001"/>
      <c r="F72" s="68">
        <v>1</v>
      </c>
      <c r="G72" s="68">
        <v>0.25</v>
      </c>
      <c r="H72" s="68">
        <v>0.25</v>
      </c>
      <c r="I72" s="68">
        <f>5.7+5.7+4.7</f>
        <v>16.100000000000001</v>
      </c>
      <c r="J72" s="68"/>
      <c r="K72" s="69">
        <f>PRODUCT(F72:I72)</f>
        <v>1.0062500000000001</v>
      </c>
      <c r="L72" s="67"/>
    </row>
    <row r="73" spans="2:12" hidden="1">
      <c r="B73" s="63"/>
      <c r="C73" s="1001" t="s">
        <v>126</v>
      </c>
      <c r="D73" s="1001"/>
      <c r="E73" s="1001"/>
      <c r="F73" s="68">
        <v>1</v>
      </c>
      <c r="G73" s="68">
        <v>0.25</v>
      </c>
      <c r="H73" s="68">
        <v>0.4</v>
      </c>
      <c r="I73" s="68">
        <v>3.15</v>
      </c>
      <c r="J73" s="68"/>
      <c r="K73" s="69">
        <f>PRODUCT(F73:J73)</f>
        <v>0.315</v>
      </c>
      <c r="L73" s="67"/>
    </row>
    <row r="74" spans="2:12" hidden="1">
      <c r="B74" s="63"/>
      <c r="C74" s="1002" t="s">
        <v>116</v>
      </c>
      <c r="D74" s="1002"/>
      <c r="E74" s="1002"/>
      <c r="F74" s="1002"/>
      <c r="G74" s="1002"/>
      <c r="H74" s="1002"/>
      <c r="I74" s="1002"/>
      <c r="J74" s="1002"/>
      <c r="K74" s="70">
        <f>SUM(K69:K73)</f>
        <v>3.4812500000000002</v>
      </c>
      <c r="L74" s="67"/>
    </row>
    <row r="75" spans="2:12" hidden="1">
      <c r="B75" s="63"/>
      <c r="C75" s="71"/>
      <c r="D75" s="71"/>
      <c r="E75" s="71"/>
      <c r="F75" s="71"/>
      <c r="G75" s="71"/>
      <c r="H75" s="71"/>
      <c r="I75" s="71"/>
      <c r="J75" s="71"/>
      <c r="K75" s="72"/>
      <c r="L75" s="67"/>
    </row>
    <row r="76" spans="2:12" ht="27" hidden="1" customHeight="1">
      <c r="B76" s="60" t="str">
        <f>'[6]PLANILHA ORÇAMENTÁRIA'!D24</f>
        <v>4.3</v>
      </c>
      <c r="C76" s="1003" t="str">
        <f>'[6]PLANILHA ORÇAMENTÁRIA'!E24</f>
        <v>ALVENARIA DE EMBASAMENTO EM BLOCO CERAMICO, 8 FUROS, DE 9 X 19 X 19 CM, ASSENTADO COM ARGAMASSA TRACO 1:2:8 (CIMENTO, CAL E AREIA)</v>
      </c>
      <c r="D76" s="1003"/>
      <c r="E76" s="1003"/>
      <c r="F76" s="1003"/>
      <c r="G76" s="1003"/>
      <c r="H76" s="1003"/>
      <c r="I76" s="1003"/>
      <c r="J76" s="1003"/>
      <c r="K76" s="61" t="str">
        <f>'[6]PLANILHA ORÇAMENTÁRIA'!F24</f>
        <v>M3</v>
      </c>
      <c r="L76" s="62">
        <f>K83</f>
        <v>4.1775000000000002</v>
      </c>
    </row>
    <row r="77" spans="2:12" hidden="1">
      <c r="B77" s="63"/>
      <c r="C77" s="1004" t="s">
        <v>20</v>
      </c>
      <c r="D77" s="1004"/>
      <c r="E77" s="1004"/>
      <c r="F77" s="64" t="s">
        <v>22</v>
      </c>
      <c r="G77" s="254" t="s">
        <v>111</v>
      </c>
      <c r="H77" s="64" t="s">
        <v>112</v>
      </c>
      <c r="I77" s="254" t="s">
        <v>113</v>
      </c>
      <c r="J77" s="254" t="s">
        <v>114</v>
      </c>
      <c r="K77" s="66" t="s">
        <v>25</v>
      </c>
      <c r="L77" s="67"/>
    </row>
    <row r="78" spans="2:12" hidden="1">
      <c r="B78" s="63"/>
      <c r="C78" s="1001" t="s">
        <v>123</v>
      </c>
      <c r="D78" s="1001"/>
      <c r="E78" s="1001"/>
      <c r="F78" s="68">
        <v>2</v>
      </c>
      <c r="G78" s="68">
        <v>0.3</v>
      </c>
      <c r="H78" s="68">
        <v>0.4</v>
      </c>
      <c r="I78" s="68">
        <v>5.4</v>
      </c>
      <c r="J78" s="68"/>
      <c r="K78" s="69">
        <f>PRODUCT(F78:J78)</f>
        <v>1.296</v>
      </c>
      <c r="L78" s="67"/>
    </row>
    <row r="79" spans="2:12" hidden="1">
      <c r="B79" s="63"/>
      <c r="C79" s="1001" t="s">
        <v>124</v>
      </c>
      <c r="D79" s="1001"/>
      <c r="E79" s="1001"/>
      <c r="F79" s="68">
        <v>2</v>
      </c>
      <c r="G79" s="68">
        <v>0.3</v>
      </c>
      <c r="H79" s="68">
        <v>0.4</v>
      </c>
      <c r="I79" s="68">
        <v>3.6</v>
      </c>
      <c r="J79" s="68"/>
      <c r="K79" s="69">
        <f>PRODUCT(F79:J79)</f>
        <v>0.86399999999999999</v>
      </c>
      <c r="L79" s="67"/>
    </row>
    <row r="80" spans="2:12" hidden="1">
      <c r="B80" s="63"/>
      <c r="C80" s="1001" t="s">
        <v>125</v>
      </c>
      <c r="D80" s="1001"/>
      <c r="E80" s="1001"/>
      <c r="F80" s="68">
        <v>1</v>
      </c>
      <c r="G80" s="68">
        <v>0.3</v>
      </c>
      <c r="H80" s="68">
        <v>0.4</v>
      </c>
      <c r="I80" s="68">
        <v>3.6</v>
      </c>
      <c r="J80" s="68"/>
      <c r="K80" s="69">
        <f>PRODUCT(F80:J80)</f>
        <v>0.432</v>
      </c>
      <c r="L80" s="67"/>
    </row>
    <row r="81" spans="2:12" hidden="1">
      <c r="B81" s="63"/>
      <c r="C81" s="1001" t="s">
        <v>127</v>
      </c>
      <c r="D81" s="1001"/>
      <c r="E81" s="1001"/>
      <c r="F81" s="68">
        <v>1</v>
      </c>
      <c r="G81" s="68">
        <v>0.3</v>
      </c>
      <c r="H81" s="68">
        <v>0.25</v>
      </c>
      <c r="I81" s="68">
        <f>5.7+5.7+4.7</f>
        <v>16.100000000000001</v>
      </c>
      <c r="J81" s="68"/>
      <c r="K81" s="69">
        <f>PRODUCT(F81:I81)</f>
        <v>1.2075</v>
      </c>
      <c r="L81" s="67"/>
    </row>
    <row r="82" spans="2:12" hidden="1">
      <c r="B82" s="63"/>
      <c r="C82" s="1001" t="s">
        <v>126</v>
      </c>
      <c r="D82" s="1001"/>
      <c r="E82" s="1001"/>
      <c r="F82" s="68">
        <v>1</v>
      </c>
      <c r="G82" s="68">
        <v>0.3</v>
      </c>
      <c r="H82" s="68">
        <v>0.4</v>
      </c>
      <c r="I82" s="68">
        <v>3.15</v>
      </c>
      <c r="J82" s="68"/>
      <c r="K82" s="69">
        <f>PRODUCT(F82:J82)</f>
        <v>0.378</v>
      </c>
      <c r="L82" s="67"/>
    </row>
    <row r="83" spans="2:12" hidden="1">
      <c r="B83" s="63"/>
      <c r="C83" s="1002" t="s">
        <v>116</v>
      </c>
      <c r="D83" s="1002"/>
      <c r="E83" s="1002"/>
      <c r="F83" s="1002"/>
      <c r="G83" s="1002"/>
      <c r="H83" s="1002"/>
      <c r="I83" s="1002"/>
      <c r="J83" s="1002"/>
      <c r="K83" s="70">
        <f>SUM(K78:K82)</f>
        <v>4.1775000000000002</v>
      </c>
      <c r="L83" s="67"/>
    </row>
    <row r="84" spans="2:12" hidden="1">
      <c r="B84" s="63"/>
      <c r="C84" s="71"/>
      <c r="D84" s="71"/>
      <c r="E84" s="71"/>
      <c r="F84" s="71"/>
      <c r="G84" s="71"/>
      <c r="H84" s="71"/>
      <c r="I84" s="71"/>
      <c r="J84" s="71"/>
      <c r="K84" s="72"/>
      <c r="L84" s="67"/>
    </row>
    <row r="85" spans="2:12" ht="29.25" hidden="1" customHeight="1">
      <c r="B85" s="60" t="str">
        <f>'[6]PLANILHA ORÇAMENTÁRIA'!D25</f>
        <v>4.4</v>
      </c>
      <c r="C85" s="1003" t="str">
        <f>'[6]PLANILHA ORÇAMENTÁRIA'!E25</f>
        <v>ARMAÇÃO DE BLOCO, VIGA BALDRAME OU SAPATA UTILIZANDO AÇO CA-50 DE 10 MM - MONTAGEM. AF_06/2017</v>
      </c>
      <c r="D85" s="1003"/>
      <c r="E85" s="1003"/>
      <c r="F85" s="1003"/>
      <c r="G85" s="1003"/>
      <c r="H85" s="1003"/>
      <c r="I85" s="1003"/>
      <c r="J85" s="1003"/>
      <c r="K85" s="61" t="str">
        <f>'[6]PLANILHA ORÇAMENTÁRIA'!F25</f>
        <v>KG</v>
      </c>
      <c r="L85" s="62">
        <f>K88</f>
        <v>41.32</v>
      </c>
    </row>
    <row r="86" spans="2:12" hidden="1">
      <c r="B86" s="63"/>
      <c r="C86" s="1004" t="s">
        <v>20</v>
      </c>
      <c r="D86" s="1004"/>
      <c r="E86" s="1004"/>
      <c r="F86" s="64" t="s">
        <v>22</v>
      </c>
      <c r="G86" s="254" t="s">
        <v>113</v>
      </c>
      <c r="H86" s="64" t="s">
        <v>133</v>
      </c>
      <c r="I86" s="254" t="s">
        <v>112</v>
      </c>
      <c r="J86" s="254" t="s">
        <v>114</v>
      </c>
      <c r="K86" s="66" t="s">
        <v>25</v>
      </c>
      <c r="L86" s="67"/>
    </row>
    <row r="87" spans="2:12" ht="22.5" hidden="1" customHeight="1">
      <c r="B87" s="63"/>
      <c r="C87" s="1001" t="s">
        <v>134</v>
      </c>
      <c r="D87" s="1001"/>
      <c r="E87" s="1001"/>
      <c r="F87" s="68">
        <v>8</v>
      </c>
      <c r="G87" s="68">
        <v>8.1999999999999993</v>
      </c>
      <c r="H87" s="68">
        <v>0.63</v>
      </c>
      <c r="I87" s="68"/>
      <c r="J87" s="68"/>
      <c r="K87" s="255">
        <f>TRUNC((G87*H87)*F87,2)</f>
        <v>41.32</v>
      </c>
      <c r="L87" s="67"/>
    </row>
    <row r="88" spans="2:12" hidden="1">
      <c r="B88" s="63"/>
      <c r="C88" s="1002" t="s">
        <v>116</v>
      </c>
      <c r="D88" s="1002"/>
      <c r="E88" s="1002"/>
      <c r="F88" s="1002"/>
      <c r="G88" s="1002"/>
      <c r="H88" s="1002"/>
      <c r="I88" s="1002"/>
      <c r="J88" s="1002"/>
      <c r="K88" s="66">
        <f>SUM(K87:K87)</f>
        <v>41.32</v>
      </c>
      <c r="L88" s="67"/>
    </row>
    <row r="89" spans="2:12" hidden="1"/>
    <row r="90" spans="2:12" ht="27.75" hidden="1" customHeight="1">
      <c r="B90" s="60" t="str">
        <f>'[6]PLANILHA ORÇAMENTÁRIA'!D26</f>
        <v>4.5</v>
      </c>
      <c r="C90" s="1003" t="str">
        <f>'[6]PLANILHA ORÇAMENTÁRIA'!E26</f>
        <v>CONCRETAGEM DE BLOCOS DE COROAMENTO E VIGAS BALDRAMES, FCK 30 MPA, COM USO DE BOMBA LANÇAMENTO, ADENSAMENTO E ACABAMENTO. AF_06/2017</v>
      </c>
      <c r="D90" s="1003"/>
      <c r="E90" s="1003"/>
      <c r="F90" s="1003"/>
      <c r="G90" s="1003"/>
      <c r="H90" s="1003"/>
      <c r="I90" s="1003"/>
      <c r="J90" s="1003"/>
      <c r="K90" s="61" t="str">
        <f>'[6]PLANILHA ORÇAMENTÁRIA'!F26</f>
        <v>M3</v>
      </c>
      <c r="L90" s="62">
        <f>K93</f>
        <v>1.72</v>
      </c>
    </row>
    <row r="91" spans="2:12" hidden="1">
      <c r="B91" s="63"/>
      <c r="C91" s="1004" t="s">
        <v>20</v>
      </c>
      <c r="D91" s="1004"/>
      <c r="E91" s="1004"/>
      <c r="F91" s="64" t="s">
        <v>22</v>
      </c>
      <c r="G91" s="254" t="s">
        <v>111</v>
      </c>
      <c r="H91" s="64" t="s">
        <v>112</v>
      </c>
      <c r="I91" s="254" t="s">
        <v>113</v>
      </c>
      <c r="J91" s="254" t="s">
        <v>114</v>
      </c>
      <c r="K91" s="66" t="s">
        <v>25</v>
      </c>
      <c r="L91" s="67"/>
    </row>
    <row r="92" spans="2:12" hidden="1">
      <c r="B92" s="63"/>
      <c r="C92" s="1001" t="s">
        <v>135</v>
      </c>
      <c r="D92" s="1001"/>
      <c r="E92" s="1001"/>
      <c r="F92" s="68">
        <v>8</v>
      </c>
      <c r="G92" s="68">
        <v>0.6</v>
      </c>
      <c r="H92" s="68">
        <v>0.6</v>
      </c>
      <c r="I92" s="68">
        <v>0.6</v>
      </c>
      <c r="J92" s="68"/>
      <c r="K92" s="255">
        <f>TRUNC(G92*H92*F92*I92,2)</f>
        <v>1.72</v>
      </c>
      <c r="L92" s="67"/>
    </row>
    <row r="93" spans="2:12" hidden="1">
      <c r="B93" s="63"/>
      <c r="C93" s="1002" t="s">
        <v>116</v>
      </c>
      <c r="D93" s="1002"/>
      <c r="E93" s="1002"/>
      <c r="F93" s="1002"/>
      <c r="G93" s="1002"/>
      <c r="H93" s="1002"/>
      <c r="I93" s="1002"/>
      <c r="J93" s="1002"/>
      <c r="K93" s="66">
        <f>SUM(K92:K92)</f>
        <v>1.72</v>
      </c>
      <c r="L93" s="67"/>
    </row>
    <row r="94" spans="2:12" hidden="1"/>
    <row r="95" spans="2:12" ht="15" hidden="1" customHeight="1">
      <c r="B95" s="60" t="str">
        <f>'[6]PLANILHA ORÇAMENTÁRIA'!D27</f>
        <v>4.6</v>
      </c>
      <c r="C95" s="1003" t="str">
        <f>'[6]PLANILHA ORÇAMENTÁRIA'!E27</f>
        <v>IMPERMEABILIZAÇÃO DE ESTRUTURAS ENTERRADAS, COM TINTA ASFALTICA, DUAS DEMAOS.</v>
      </c>
      <c r="D95" s="1003"/>
      <c r="E95" s="1003"/>
      <c r="F95" s="1003"/>
      <c r="G95" s="1003"/>
      <c r="H95" s="1003"/>
      <c r="I95" s="1003"/>
      <c r="J95" s="1003"/>
      <c r="K95" s="61" t="str">
        <f>'[6]PLANILHA ORÇAMENTÁRIA'!F27</f>
        <v>M2</v>
      </c>
      <c r="L95" s="62">
        <f>K98</f>
        <v>23.88</v>
      </c>
    </row>
    <row r="96" spans="2:12" hidden="1">
      <c r="B96" s="63"/>
      <c r="C96" s="1004" t="s">
        <v>20</v>
      </c>
      <c r="D96" s="1004"/>
      <c r="E96" s="1004"/>
      <c r="F96" s="64" t="s">
        <v>22</v>
      </c>
      <c r="G96" s="254" t="s">
        <v>111</v>
      </c>
      <c r="H96" s="64" t="s">
        <v>112</v>
      </c>
      <c r="I96" s="254" t="s">
        <v>113</v>
      </c>
      <c r="J96" s="254" t="s">
        <v>136</v>
      </c>
      <c r="K96" s="66" t="s">
        <v>25</v>
      </c>
      <c r="L96" s="67"/>
    </row>
    <row r="97" spans="2:12" hidden="1">
      <c r="B97" s="63"/>
      <c r="C97" s="1001"/>
      <c r="D97" s="1001"/>
      <c r="E97" s="1001"/>
      <c r="F97" s="68"/>
      <c r="G97" s="68">
        <v>0.3</v>
      </c>
      <c r="H97" s="68">
        <v>0.15</v>
      </c>
      <c r="I97" s="68">
        <v>31.85</v>
      </c>
      <c r="J97" s="68">
        <v>2</v>
      </c>
      <c r="K97" s="255">
        <f>TRUNC((G97*I97*J97)+(H97*I97),2)</f>
        <v>23.88</v>
      </c>
      <c r="L97" s="67"/>
    </row>
    <row r="98" spans="2:12" hidden="1">
      <c r="B98" s="63"/>
      <c r="C98" s="1002" t="s">
        <v>116</v>
      </c>
      <c r="D98" s="1002"/>
      <c r="E98" s="1002"/>
      <c r="F98" s="1002"/>
      <c r="G98" s="1002"/>
      <c r="H98" s="1002"/>
      <c r="I98" s="1002"/>
      <c r="J98" s="1002"/>
      <c r="K98" s="66">
        <f>SUM(K97:K97)</f>
        <v>23.88</v>
      </c>
      <c r="L98" s="67"/>
    </row>
    <row r="99" spans="2:12" hidden="1"/>
    <row r="100" spans="2:12" hidden="1">
      <c r="B100" s="58" t="str">
        <f>'[6]PLANILHA ORÇAMENTÁRIA'!D28</f>
        <v>5.0</v>
      </c>
      <c r="C100" s="1000" t="str">
        <f>'[6]PLANILHA ORÇAMENTÁRIA'!E28</f>
        <v>ESTRUTURA EM CONCRETO ARMADO</v>
      </c>
      <c r="D100" s="1000"/>
      <c r="E100" s="1000"/>
      <c r="F100" s="1000"/>
      <c r="G100" s="1000"/>
      <c r="H100" s="1000"/>
      <c r="I100" s="1000"/>
      <c r="J100" s="1000"/>
      <c r="K100" s="59"/>
      <c r="L100" s="59"/>
    </row>
    <row r="101" spans="2:12" ht="15" hidden="1" customHeight="1">
      <c r="B101" s="60" t="e">
        <f>'[6]PLANILHA ORÇAMENTÁRIA'!#REF!</f>
        <v>#REF!</v>
      </c>
      <c r="C101" s="1003" t="e">
        <f>'[6]PLANILHA ORÇAMENTÁRIA'!#REF!</f>
        <v>#REF!</v>
      </c>
      <c r="D101" s="1003"/>
      <c r="E101" s="1003"/>
      <c r="F101" s="1003"/>
      <c r="G101" s="1003"/>
      <c r="H101" s="1003"/>
      <c r="I101" s="1003"/>
      <c r="J101" s="1003"/>
      <c r="K101" s="61" t="e">
        <f>'[6]PLANILHA ORÇAMENTÁRIA'!#REF!</f>
        <v>#REF!</v>
      </c>
      <c r="L101" s="62">
        <f>K104</f>
        <v>31.85</v>
      </c>
    </row>
    <row r="102" spans="2:12" hidden="1">
      <c r="B102" s="63"/>
      <c r="C102" s="1004" t="s">
        <v>20</v>
      </c>
      <c r="D102" s="1004"/>
      <c r="E102" s="1004"/>
      <c r="F102" s="64" t="s">
        <v>22</v>
      </c>
      <c r="G102" s="254" t="s">
        <v>111</v>
      </c>
      <c r="H102" s="64" t="s">
        <v>112</v>
      </c>
      <c r="I102" s="254" t="s">
        <v>113</v>
      </c>
      <c r="J102" s="254" t="s">
        <v>114</v>
      </c>
      <c r="K102" s="66" t="s">
        <v>25</v>
      </c>
      <c r="L102" s="67"/>
    </row>
    <row r="103" spans="2:12" hidden="1">
      <c r="B103" s="63"/>
      <c r="C103" s="1001" t="s">
        <v>137</v>
      </c>
      <c r="D103" s="1001"/>
      <c r="E103" s="1001"/>
      <c r="F103" s="68">
        <v>1</v>
      </c>
      <c r="G103" s="68"/>
      <c r="H103" s="68"/>
      <c r="I103" s="68">
        <v>31.85</v>
      </c>
      <c r="J103" s="68"/>
      <c r="K103" s="255">
        <f>I103*F103</f>
        <v>31.85</v>
      </c>
      <c r="L103" s="67"/>
    </row>
    <row r="104" spans="2:12" hidden="1">
      <c r="B104" s="63"/>
      <c r="C104" s="1002" t="s">
        <v>116</v>
      </c>
      <c r="D104" s="1002"/>
      <c r="E104" s="1002"/>
      <c r="F104" s="1002"/>
      <c r="G104" s="1002"/>
      <c r="H104" s="1002"/>
      <c r="I104" s="1002"/>
      <c r="J104" s="1002"/>
      <c r="K104" s="66">
        <f>SUM(K103:K103)</f>
        <v>31.85</v>
      </c>
      <c r="L104" s="67"/>
    </row>
    <row r="105" spans="2:12" hidden="1"/>
    <row r="106" spans="2:12" ht="15" hidden="1" customHeight="1">
      <c r="B106" s="60" t="str">
        <f>'[6]PLANILHA ORÇAMENTÁRIA'!D29</f>
        <v>5.1</v>
      </c>
      <c r="C106" s="1003" t="str">
        <f>'[6]PLANILHA ORÇAMENTÁRIA'!E29</f>
        <v>FORMA PLANA PARA PILARES, EM COMPENSADO RESINADO DE 14MM, 12 USOS, INCLUSIVE ESCORAMENTO</v>
      </c>
      <c r="D106" s="1003"/>
      <c r="E106" s="1003"/>
      <c r="F106" s="1003"/>
      <c r="G106" s="1003"/>
      <c r="H106" s="1003"/>
      <c r="I106" s="1003"/>
      <c r="J106" s="1003"/>
      <c r="K106" s="61" t="str">
        <f>'[6]PLANILHA ORÇAMENTÁRIA'!F29</f>
        <v>M2</v>
      </c>
      <c r="L106" s="62">
        <f>K111</f>
        <v>26.689999999999998</v>
      </c>
    </row>
    <row r="107" spans="2:12" hidden="1">
      <c r="B107" s="63"/>
      <c r="C107" s="1004" t="s">
        <v>20</v>
      </c>
      <c r="D107" s="1004"/>
      <c r="E107" s="1004"/>
      <c r="F107" s="64" t="s">
        <v>22</v>
      </c>
      <c r="G107" s="254" t="s">
        <v>111</v>
      </c>
      <c r="H107" s="64" t="s">
        <v>112</v>
      </c>
      <c r="I107" s="254" t="s">
        <v>113</v>
      </c>
      <c r="J107" s="254" t="s">
        <v>136</v>
      </c>
      <c r="K107" s="66" t="s">
        <v>25</v>
      </c>
      <c r="L107" s="67"/>
    </row>
    <row r="108" spans="2:12" hidden="1">
      <c r="B108" s="63"/>
      <c r="C108" s="1001" t="s">
        <v>138</v>
      </c>
      <c r="D108" s="1001"/>
      <c r="E108" s="1001"/>
      <c r="F108" s="68">
        <v>4</v>
      </c>
      <c r="G108" s="68">
        <v>5.05</v>
      </c>
      <c r="H108" s="68">
        <v>0.19</v>
      </c>
      <c r="I108" s="68">
        <v>0.19</v>
      </c>
      <c r="J108" s="68">
        <v>2</v>
      </c>
      <c r="K108" s="255">
        <f>TRUNC((H108*G108*J108*F108)+(I108*G108*J108*F108),2)</f>
        <v>15.35</v>
      </c>
      <c r="L108" s="67"/>
    </row>
    <row r="109" spans="2:12" hidden="1">
      <c r="B109" s="63"/>
      <c r="C109" s="1001" t="s">
        <v>138</v>
      </c>
      <c r="D109" s="1001"/>
      <c r="E109" s="1001"/>
      <c r="F109" s="68">
        <v>2</v>
      </c>
      <c r="G109" s="68">
        <v>3.7</v>
      </c>
      <c r="H109" s="68">
        <v>0.19</v>
      </c>
      <c r="I109" s="68">
        <v>0.19</v>
      </c>
      <c r="J109" s="68">
        <v>2</v>
      </c>
      <c r="K109" s="255">
        <f>TRUNC((H109*G109*J109*F109)+(I109*G109*J109*F109),2)</f>
        <v>5.62</v>
      </c>
      <c r="L109" s="67"/>
    </row>
    <row r="110" spans="2:12" hidden="1">
      <c r="B110" s="63"/>
      <c r="C110" s="1001" t="s">
        <v>139</v>
      </c>
      <c r="D110" s="1001"/>
      <c r="E110" s="1001"/>
      <c r="F110" s="68">
        <v>2</v>
      </c>
      <c r="G110" s="68">
        <v>2.6</v>
      </c>
      <c r="H110" s="68">
        <v>0.15</v>
      </c>
      <c r="I110" s="68">
        <v>0.4</v>
      </c>
      <c r="J110" s="68">
        <v>2</v>
      </c>
      <c r="K110" s="255">
        <f>TRUNC((H110*G110*J110*F110)+(I110*G110*J110*F110),2)</f>
        <v>5.72</v>
      </c>
      <c r="L110" s="67"/>
    </row>
    <row r="111" spans="2:12" hidden="1">
      <c r="B111" s="63"/>
      <c r="C111" s="1002" t="s">
        <v>116</v>
      </c>
      <c r="D111" s="1002"/>
      <c r="E111" s="1002"/>
      <c r="F111" s="1002"/>
      <c r="G111" s="1002"/>
      <c r="H111" s="1002"/>
      <c r="I111" s="1002"/>
      <c r="J111" s="1002"/>
      <c r="K111" s="66">
        <f>SUM(K108:K110)</f>
        <v>26.689999999999998</v>
      </c>
      <c r="L111" s="67"/>
    </row>
    <row r="112" spans="2:12" hidden="1"/>
    <row r="113" spans="2:12" ht="23.25" hidden="1" customHeight="1">
      <c r="B113" s="60" t="str">
        <f>'[6]PLANILHA ORÇAMENTÁRIA'!D30</f>
        <v>5.2</v>
      </c>
      <c r="C113" s="1003" t="str">
        <f>'[6]PLANILHA ORÇAMENTÁRIA'!E30</f>
        <v>ARMAÇÃO DE PILAR OU VIGA DE UMA ESTRUTURA CONVENCIONAL DE CONCRETO ARMADO EM UMA EDIFICAÇÃO TÉRREA OU SOBRADO UTILIZANDO AÇO CA-50 DE 10,0 MM - MONTAGEM. AF_12/2015</v>
      </c>
      <c r="D113" s="1003"/>
      <c r="E113" s="1003"/>
      <c r="F113" s="1003"/>
      <c r="G113" s="1003"/>
      <c r="H113" s="1003"/>
      <c r="I113" s="1003"/>
      <c r="J113" s="1003"/>
      <c r="K113" s="61" t="str">
        <f>'[6]PLANILHA ORÇAMENTÁRIA'!F30</f>
        <v>KG</v>
      </c>
      <c r="L113" s="62">
        <f>K120</f>
        <v>262.81</v>
      </c>
    </row>
    <row r="114" spans="2:12" hidden="1">
      <c r="B114" s="63"/>
      <c r="C114" s="1004" t="s">
        <v>20</v>
      </c>
      <c r="D114" s="1004"/>
      <c r="E114" s="1004"/>
      <c r="F114" s="64" t="s">
        <v>22</v>
      </c>
      <c r="G114" s="254" t="s">
        <v>113</v>
      </c>
      <c r="H114" s="64" t="s">
        <v>133</v>
      </c>
      <c r="I114" s="254" t="s">
        <v>112</v>
      </c>
      <c r="J114" s="254" t="s">
        <v>114</v>
      </c>
      <c r="K114" s="66" t="s">
        <v>25</v>
      </c>
      <c r="L114" s="67"/>
    </row>
    <row r="115" spans="2:12" hidden="1">
      <c r="B115" s="63"/>
      <c r="C115" s="1001" t="s">
        <v>140</v>
      </c>
      <c r="D115" s="1001"/>
      <c r="E115" s="1001"/>
      <c r="F115" s="68">
        <v>4</v>
      </c>
      <c r="G115" s="68">
        <f>5.05*4</f>
        <v>20.2</v>
      </c>
      <c r="H115" s="68">
        <v>0.63</v>
      </c>
      <c r="I115" s="68"/>
      <c r="J115" s="68"/>
      <c r="K115" s="255">
        <f>TRUNC((G115*F115)*H115,2)</f>
        <v>50.9</v>
      </c>
      <c r="L115" s="67"/>
    </row>
    <row r="116" spans="2:12" hidden="1">
      <c r="B116" s="63"/>
      <c r="C116" s="1001" t="s">
        <v>140</v>
      </c>
      <c r="D116" s="1001"/>
      <c r="E116" s="1001"/>
      <c r="F116" s="68">
        <v>2</v>
      </c>
      <c r="G116" s="68">
        <f>3.7*4</f>
        <v>14.8</v>
      </c>
      <c r="H116" s="68">
        <v>0.63</v>
      </c>
      <c r="I116" s="68"/>
      <c r="J116" s="68"/>
      <c r="K116" s="255">
        <f>TRUNC((G116*F116)*H116,2)</f>
        <v>18.64</v>
      </c>
      <c r="L116" s="67"/>
    </row>
    <row r="117" spans="2:12" hidden="1">
      <c r="B117" s="63"/>
      <c r="C117" s="1001" t="s">
        <v>141</v>
      </c>
      <c r="D117" s="1001"/>
      <c r="E117" s="1001"/>
      <c r="F117" s="68">
        <v>2</v>
      </c>
      <c r="G117" s="68">
        <f>2.6*6</f>
        <v>15.600000000000001</v>
      </c>
      <c r="H117" s="68">
        <v>0.63</v>
      </c>
      <c r="I117" s="68"/>
      <c r="J117" s="68"/>
      <c r="K117" s="255">
        <f>TRUNC((G117*F117)*H117,2)</f>
        <v>19.649999999999999</v>
      </c>
      <c r="L117" s="67"/>
    </row>
    <row r="118" spans="2:12" hidden="1">
      <c r="B118" s="63"/>
      <c r="C118" s="1001" t="s">
        <v>142</v>
      </c>
      <c r="D118" s="1001"/>
      <c r="E118" s="1001"/>
      <c r="F118" s="68">
        <v>2</v>
      </c>
      <c r="G118" s="68">
        <f>25.8*4</f>
        <v>103.2</v>
      </c>
      <c r="H118" s="68">
        <v>0.63</v>
      </c>
      <c r="I118" s="68"/>
      <c r="J118" s="68"/>
      <c r="K118" s="255">
        <f>TRUNC((G118*F118)*H118,2)</f>
        <v>130.03</v>
      </c>
      <c r="L118" s="67"/>
    </row>
    <row r="119" spans="2:12" hidden="1">
      <c r="B119" s="63"/>
      <c r="C119" s="1001" t="s">
        <v>142</v>
      </c>
      <c r="D119" s="1001"/>
      <c r="E119" s="1001"/>
      <c r="F119" s="68">
        <v>1</v>
      </c>
      <c r="G119" s="68">
        <f>17.3*4</f>
        <v>69.2</v>
      </c>
      <c r="H119" s="68">
        <v>0.63</v>
      </c>
      <c r="I119" s="68"/>
      <c r="J119" s="68"/>
      <c r="K119" s="255">
        <f>TRUNC((G119*F119)*H119,2)</f>
        <v>43.59</v>
      </c>
      <c r="L119" s="67"/>
    </row>
    <row r="120" spans="2:12" hidden="1">
      <c r="B120" s="63"/>
      <c r="C120" s="1002" t="s">
        <v>116</v>
      </c>
      <c r="D120" s="1002"/>
      <c r="E120" s="1002"/>
      <c r="F120" s="1002"/>
      <c r="G120" s="1002"/>
      <c r="H120" s="1002"/>
      <c r="I120" s="1002"/>
      <c r="J120" s="1002"/>
      <c r="K120" s="66">
        <f>SUM(K115:K119)</f>
        <v>262.81</v>
      </c>
      <c r="L120" s="67"/>
    </row>
    <row r="121" spans="2:12" hidden="1"/>
    <row r="122" spans="2:12" ht="27" hidden="1" customHeight="1">
      <c r="B122" s="60" t="str">
        <f>'[6]PLANILHA ORÇAMENTÁRIA'!D31</f>
        <v>5.3</v>
      </c>
      <c r="C122" s="1003" t="str">
        <f>'[6]PLANILHA ORÇAMENTÁRIA'!E31</f>
        <v>ARMAÇÃO DE PILAR OU VIGA DE UMA ESTRUTURA CONVENCIONAL DE CONCRETO ARMADO EM UMA EDIFICAÇÃO TÉRREA OU SOBRADO UTILIZANDO AÇO CA-60 DE 5,0 MM - MONTAGEM. AF_12/2015</v>
      </c>
      <c r="D122" s="1003"/>
      <c r="E122" s="1003"/>
      <c r="F122" s="1003"/>
      <c r="G122" s="1003"/>
      <c r="H122" s="1003"/>
      <c r="I122" s="1003"/>
      <c r="J122" s="1003"/>
      <c r="K122" s="61" t="str">
        <f>'[6]PLANILHA ORÇAMENTÁRIA'!F31</f>
        <v>KG</v>
      </c>
      <c r="L122" s="62">
        <f>K129</f>
        <v>67.75</v>
      </c>
    </row>
    <row r="123" spans="2:12" hidden="1">
      <c r="B123" s="63"/>
      <c r="C123" s="1004" t="s">
        <v>20</v>
      </c>
      <c r="D123" s="1004"/>
      <c r="E123" s="1004"/>
      <c r="F123" s="64" t="s">
        <v>22</v>
      </c>
      <c r="G123" s="254" t="s">
        <v>113</v>
      </c>
      <c r="H123" s="64" t="s">
        <v>143</v>
      </c>
      <c r="I123" s="64" t="s">
        <v>144</v>
      </c>
      <c r="J123" s="64" t="s">
        <v>133</v>
      </c>
      <c r="K123" s="66" t="s">
        <v>25</v>
      </c>
      <c r="L123" s="67"/>
    </row>
    <row r="124" spans="2:12" hidden="1">
      <c r="B124" s="63"/>
      <c r="C124" s="1001" t="s">
        <v>145</v>
      </c>
      <c r="D124" s="1001"/>
      <c r="E124" s="1001"/>
      <c r="F124" s="68">
        <v>4</v>
      </c>
      <c r="G124" s="68">
        <f>0.13+0.13+0.13+0.13+0.16</f>
        <v>0.68</v>
      </c>
      <c r="H124" s="68">
        <f>TRUNC(G108/0.2,2)</f>
        <v>25.25</v>
      </c>
      <c r="I124" s="68">
        <f>TRUNC(G124*H124,2)</f>
        <v>17.170000000000002</v>
      </c>
      <c r="J124" s="68">
        <v>0.16</v>
      </c>
      <c r="K124" s="255">
        <f>TRUNC((I124*G124*J124)*F124,2)</f>
        <v>7.47</v>
      </c>
      <c r="L124" s="67"/>
    </row>
    <row r="125" spans="2:12" hidden="1">
      <c r="B125" s="63"/>
      <c r="C125" s="1001" t="s">
        <v>145</v>
      </c>
      <c r="D125" s="1001"/>
      <c r="E125" s="1001"/>
      <c r="F125" s="68">
        <v>2</v>
      </c>
      <c r="G125" s="68">
        <f>0.13+0.13+0.13+0.13+0.16</f>
        <v>0.68</v>
      </c>
      <c r="H125" s="68">
        <f>TRUNC(G109/0.2,2)</f>
        <v>18.5</v>
      </c>
      <c r="I125" s="68">
        <f>TRUNC(G125*H125,2)</f>
        <v>12.58</v>
      </c>
      <c r="J125" s="68">
        <v>0.16</v>
      </c>
      <c r="K125" s="255">
        <f>TRUNC((I125*G125*J125)*F125,2)</f>
        <v>2.73</v>
      </c>
      <c r="L125" s="67"/>
    </row>
    <row r="126" spans="2:12" hidden="1">
      <c r="B126" s="63"/>
      <c r="C126" s="1001" t="s">
        <v>146</v>
      </c>
      <c r="D126" s="1001"/>
      <c r="E126" s="1001"/>
      <c r="F126" s="68">
        <v>2</v>
      </c>
      <c r="G126" s="68">
        <f>0.9+0.9+0.34+0.34+0.16</f>
        <v>2.64</v>
      </c>
      <c r="H126" s="68">
        <f>TRUNC(G110/0.2,2)</f>
        <v>13</v>
      </c>
      <c r="I126" s="68">
        <f>TRUNC(G126*H126,2)</f>
        <v>34.32</v>
      </c>
      <c r="J126" s="68">
        <v>0.16</v>
      </c>
      <c r="K126" s="255">
        <f>TRUNC((I126*G126*J126)*F126,2)</f>
        <v>28.99</v>
      </c>
      <c r="L126" s="67"/>
    </row>
    <row r="127" spans="2:12" hidden="1">
      <c r="B127" s="63"/>
      <c r="C127" s="1001" t="s">
        <v>147</v>
      </c>
      <c r="D127" s="1001"/>
      <c r="E127" s="1001"/>
      <c r="F127" s="68">
        <v>2</v>
      </c>
      <c r="G127" s="68">
        <f>0.09+0.09+0.19+0.19+0.16</f>
        <v>0.72000000000000008</v>
      </c>
      <c r="H127" s="68">
        <f>TRUNC(I140/0.2,2)</f>
        <v>129</v>
      </c>
      <c r="I127" s="68">
        <f>TRUNC(G127*H127,2)</f>
        <v>92.88</v>
      </c>
      <c r="J127" s="68">
        <v>0.16</v>
      </c>
      <c r="K127" s="255">
        <f>TRUNC((I127*G127*J127)*F127,2)</f>
        <v>21.39</v>
      </c>
      <c r="L127" s="67"/>
    </row>
    <row r="128" spans="2:12" hidden="1">
      <c r="B128" s="63"/>
      <c r="C128" s="1001" t="s">
        <v>147</v>
      </c>
      <c r="D128" s="1001"/>
      <c r="E128" s="1001"/>
      <c r="F128" s="68">
        <v>1</v>
      </c>
      <c r="G128" s="68">
        <f>0.09+0.09+0.19+0.19+0.16</f>
        <v>0.72000000000000008</v>
      </c>
      <c r="H128" s="68">
        <f>TRUNC(I141/0.2,2)</f>
        <v>86.5</v>
      </c>
      <c r="I128" s="68">
        <f>TRUNC(G128*H128,2)</f>
        <v>62.28</v>
      </c>
      <c r="J128" s="68">
        <v>0.16</v>
      </c>
      <c r="K128" s="255">
        <f>TRUNC((I128*G128*J128)*F128,2)</f>
        <v>7.17</v>
      </c>
      <c r="L128" s="67"/>
    </row>
    <row r="129" spans="2:12" hidden="1">
      <c r="B129" s="63"/>
      <c r="C129" s="1002" t="s">
        <v>116</v>
      </c>
      <c r="D129" s="1002"/>
      <c r="E129" s="1002"/>
      <c r="F129" s="1002"/>
      <c r="G129" s="1002"/>
      <c r="H129" s="1002"/>
      <c r="I129" s="1002"/>
      <c r="J129" s="1002"/>
      <c r="K129" s="66">
        <f>SUM(K124:K128)</f>
        <v>67.75</v>
      </c>
      <c r="L129" s="67"/>
    </row>
    <row r="130" spans="2:12" hidden="1">
      <c r="B130" s="63"/>
      <c r="C130" s="71"/>
      <c r="D130" s="71"/>
      <c r="E130" s="71"/>
      <c r="F130" s="71"/>
      <c r="G130" s="71"/>
      <c r="H130" s="71"/>
      <c r="I130" s="71"/>
      <c r="J130" s="71"/>
      <c r="K130" s="73"/>
      <c r="L130" s="67"/>
    </row>
    <row r="131" spans="2:12" ht="24.75" hidden="1" customHeight="1">
      <c r="B131" s="60" t="str">
        <f>'[6]PLANILHA ORÇAMENTÁRIA'!D32</f>
        <v>5.4</v>
      </c>
      <c r="C131" s="1003" t="str">
        <f>'[6]PLANILHA ORÇAMENTÁRIA'!E32</f>
        <v>CONCRETAGEM DE PILARES, FCK = 25 MPA, COM USO DE GRUA EM EDIFICAÇÃO COM SEÇÃO MÉDIA DE PILARES MAIOR QUE 0,25 M² - LANÇAMENTO, ADENSAMENTO E ACABAMENTO. AF_12/2015</v>
      </c>
      <c r="D131" s="1003"/>
      <c r="E131" s="1003"/>
      <c r="F131" s="1003"/>
      <c r="G131" s="1003"/>
      <c r="H131" s="1003"/>
      <c r="I131" s="1003"/>
      <c r="J131" s="1003"/>
      <c r="K131" s="61" t="str">
        <f>'[6]PLANILHA ORÇAMENTÁRIA'!F32</f>
        <v>M3</v>
      </c>
      <c r="L131" s="62">
        <f>K136</f>
        <v>1.29</v>
      </c>
    </row>
    <row r="132" spans="2:12" hidden="1">
      <c r="B132" s="63"/>
      <c r="C132" s="1004" t="s">
        <v>20</v>
      </c>
      <c r="D132" s="1004"/>
      <c r="E132" s="1004"/>
      <c r="F132" s="64" t="s">
        <v>22</v>
      </c>
      <c r="G132" s="254" t="s">
        <v>111</v>
      </c>
      <c r="H132" s="64" t="s">
        <v>112</v>
      </c>
      <c r="I132" s="254" t="s">
        <v>113</v>
      </c>
      <c r="J132" s="254" t="s">
        <v>114</v>
      </c>
      <c r="K132" s="66" t="s">
        <v>25</v>
      </c>
      <c r="L132" s="67"/>
    </row>
    <row r="133" spans="2:12" hidden="1">
      <c r="B133" s="63"/>
      <c r="C133" s="1001" t="s">
        <v>138</v>
      </c>
      <c r="D133" s="1001"/>
      <c r="E133" s="1001"/>
      <c r="F133" s="68">
        <v>4</v>
      </c>
      <c r="G133" s="68">
        <v>5.05</v>
      </c>
      <c r="H133" s="68">
        <v>0.19</v>
      </c>
      <c r="I133" s="68">
        <v>0.19</v>
      </c>
      <c r="J133" s="68"/>
      <c r="K133" s="255">
        <f>TRUNC(H133*I133*G133*F133,2)</f>
        <v>0.72</v>
      </c>
      <c r="L133" s="67"/>
    </row>
    <row r="134" spans="2:12" hidden="1">
      <c r="B134" s="63"/>
      <c r="C134" s="1001" t="s">
        <v>138</v>
      </c>
      <c r="D134" s="1001"/>
      <c r="E134" s="1001"/>
      <c r="F134" s="68">
        <v>2</v>
      </c>
      <c r="G134" s="68">
        <v>3.7</v>
      </c>
      <c r="H134" s="68">
        <v>0.19</v>
      </c>
      <c r="I134" s="68">
        <v>0.19</v>
      </c>
      <c r="J134" s="68"/>
      <c r="K134" s="255">
        <f>TRUNC(H134*I134*G134*F134,2)</f>
        <v>0.26</v>
      </c>
      <c r="L134" s="67"/>
    </row>
    <row r="135" spans="2:12" hidden="1">
      <c r="B135" s="63"/>
      <c r="C135" s="1001" t="s">
        <v>139</v>
      </c>
      <c r="D135" s="1001"/>
      <c r="E135" s="1001"/>
      <c r="F135" s="68">
        <v>2</v>
      </c>
      <c r="G135" s="68">
        <v>2.6</v>
      </c>
      <c r="H135" s="68">
        <v>0.15</v>
      </c>
      <c r="I135" s="68">
        <v>0.4</v>
      </c>
      <c r="J135" s="68"/>
      <c r="K135" s="255">
        <f>TRUNC(H135*I135*G135*F135,2)</f>
        <v>0.31</v>
      </c>
      <c r="L135" s="67"/>
    </row>
    <row r="136" spans="2:12" hidden="1">
      <c r="B136" s="63"/>
      <c r="C136" s="1002" t="s">
        <v>116</v>
      </c>
      <c r="D136" s="1002"/>
      <c r="E136" s="1002"/>
      <c r="F136" s="1002"/>
      <c r="G136" s="1002"/>
      <c r="H136" s="1002"/>
      <c r="I136" s="1002"/>
      <c r="J136" s="1002"/>
      <c r="K136" s="66">
        <f>SUM(K133:K135)</f>
        <v>1.29</v>
      </c>
      <c r="L136" s="67"/>
    </row>
    <row r="137" spans="2:12" hidden="1"/>
    <row r="138" spans="2:12" ht="15" hidden="1" customHeight="1">
      <c r="B138" s="60" t="str">
        <f>'[6]PLANILHA ORÇAMENTÁRIA'!D33</f>
        <v>5.5</v>
      </c>
      <c r="C138" s="1003" t="str">
        <f>'[6]PLANILHA ORÇAMENTÁRIA'!E33</f>
        <v>FORMA PLANA PARA VIGAS, EM COMPENSADO RESINADO DE 14MM, 12 USOS, INCLUSIVE ESCORAMENTO</v>
      </c>
      <c r="D138" s="1003"/>
      <c r="E138" s="1003"/>
      <c r="F138" s="1003"/>
      <c r="G138" s="1003"/>
      <c r="H138" s="1003"/>
      <c r="I138" s="1003"/>
      <c r="J138" s="1003"/>
      <c r="K138" s="61" t="str">
        <f>'[6]PLANILHA ORÇAMENTÁRIA'!F33</f>
        <v>M2</v>
      </c>
      <c r="L138" s="62">
        <f>K142</f>
        <v>16.77</v>
      </c>
    </row>
    <row r="139" spans="2:12" hidden="1">
      <c r="B139" s="63"/>
      <c r="C139" s="1004" t="s">
        <v>20</v>
      </c>
      <c r="D139" s="1004"/>
      <c r="E139" s="1004"/>
      <c r="F139" s="64" t="s">
        <v>22</v>
      </c>
      <c r="G139" s="254" t="s">
        <v>111</v>
      </c>
      <c r="H139" s="64" t="s">
        <v>112</v>
      </c>
      <c r="I139" s="254" t="s">
        <v>113</v>
      </c>
      <c r="J139" s="254" t="s">
        <v>148</v>
      </c>
      <c r="K139" s="66" t="s">
        <v>25</v>
      </c>
      <c r="L139" s="67"/>
    </row>
    <row r="140" spans="2:12" hidden="1">
      <c r="B140" s="63"/>
      <c r="C140" s="1001" t="s">
        <v>149</v>
      </c>
      <c r="D140" s="1001"/>
      <c r="E140" s="1001"/>
      <c r="F140" s="68">
        <v>2</v>
      </c>
      <c r="G140" s="68">
        <v>0.25</v>
      </c>
      <c r="H140" s="68">
        <v>0.15</v>
      </c>
      <c r="I140" s="68">
        <v>25.8</v>
      </c>
      <c r="J140" s="68">
        <v>2</v>
      </c>
      <c r="K140" s="255">
        <f>TRUNC((G140*I140*J140)+(H140*I140),2)</f>
        <v>16.77</v>
      </c>
      <c r="L140" s="67"/>
    </row>
    <row r="141" spans="2:12" hidden="1">
      <c r="B141" s="63"/>
      <c r="C141" s="1001" t="s">
        <v>149</v>
      </c>
      <c r="D141" s="1001"/>
      <c r="E141" s="1001"/>
      <c r="F141" s="68">
        <v>1</v>
      </c>
      <c r="G141" s="68">
        <v>0.25</v>
      </c>
      <c r="H141" s="68">
        <v>0.15</v>
      </c>
      <c r="I141" s="68">
        <v>17.3</v>
      </c>
      <c r="J141" s="68">
        <v>2</v>
      </c>
      <c r="K141" s="255">
        <f>TRUNC((G141*I141*J141)+(H141*I141),2)</f>
        <v>11.24</v>
      </c>
      <c r="L141" s="67"/>
    </row>
    <row r="142" spans="2:12" hidden="1">
      <c r="B142" s="63"/>
      <c r="C142" s="1002" t="s">
        <v>116</v>
      </c>
      <c r="D142" s="1002"/>
      <c r="E142" s="1002"/>
      <c r="F142" s="1002"/>
      <c r="G142" s="1002"/>
      <c r="H142" s="1002"/>
      <c r="I142" s="1002"/>
      <c r="J142" s="1002"/>
      <c r="K142" s="66">
        <f>SUM(K140:K140)</f>
        <v>16.77</v>
      </c>
      <c r="L142" s="67"/>
    </row>
    <row r="143" spans="2:12" hidden="1"/>
    <row r="144" spans="2:12" ht="25.5" hidden="1" customHeight="1">
      <c r="B144" s="60" t="str">
        <f>'[6]PLANILHA ORÇAMENTÁRIA'!D34</f>
        <v>5.6</v>
      </c>
      <c r="C144" s="1003" t="str">
        <f>'[6]PLANILHA ORÇAMENTÁRIA'!E34</f>
        <v>CONCRETAGEM DE VIGAS E LAJES, FCK=20 MPA, PARA LAJES MACIÇAS OU NERVURADAS COM GRUA DE CAÇAMBA DE 500 L EM EDIFICAÇÃO DE MULTIPAVIMENTOS ATÉ 16 ANDARES, COM ÁREA MÉDIA DE LAJES MAIOR QUE 20 M² - LANÇAMENTO, ADENSAMENTO E ACABAMENTO. AF_12/2015</v>
      </c>
      <c r="D144" s="1003"/>
      <c r="E144" s="1003"/>
      <c r="F144" s="1003"/>
      <c r="G144" s="1003"/>
      <c r="H144" s="1003"/>
      <c r="I144" s="1003"/>
      <c r="J144" s="1003"/>
      <c r="K144" s="61" t="str">
        <f>'[6]PLANILHA ORÇAMENTÁRIA'!F34</f>
        <v>M3</v>
      </c>
      <c r="L144" s="62">
        <f>K148</f>
        <v>2.57</v>
      </c>
    </row>
    <row r="145" spans="2:12" hidden="1">
      <c r="B145" s="63"/>
      <c r="C145" s="1004" t="s">
        <v>20</v>
      </c>
      <c r="D145" s="1004"/>
      <c r="E145" s="1004"/>
      <c r="F145" s="64" t="s">
        <v>22</v>
      </c>
      <c r="G145" s="254" t="s">
        <v>111</v>
      </c>
      <c r="H145" s="64" t="s">
        <v>112</v>
      </c>
      <c r="I145" s="254" t="s">
        <v>113</v>
      </c>
      <c r="J145" s="254" t="s">
        <v>114</v>
      </c>
      <c r="K145" s="66" t="s">
        <v>25</v>
      </c>
      <c r="L145" s="67"/>
    </row>
    <row r="146" spans="2:12" hidden="1">
      <c r="B146" s="63"/>
      <c r="C146" s="1001" t="s">
        <v>149</v>
      </c>
      <c r="D146" s="1001"/>
      <c r="E146" s="1001"/>
      <c r="F146" s="68">
        <v>2</v>
      </c>
      <c r="G146" s="68">
        <v>0.25</v>
      </c>
      <c r="H146" s="68">
        <v>0.15</v>
      </c>
      <c r="I146" s="68">
        <v>25.8</v>
      </c>
      <c r="J146" s="68"/>
      <c r="K146" s="255">
        <f>TRUNC(G146*H146*I146*F146,2)</f>
        <v>1.93</v>
      </c>
      <c r="L146" s="67"/>
    </row>
    <row r="147" spans="2:12" hidden="1">
      <c r="B147" s="63"/>
      <c r="C147" s="1001" t="s">
        <v>149</v>
      </c>
      <c r="D147" s="1001"/>
      <c r="E147" s="1001"/>
      <c r="F147" s="68">
        <v>1</v>
      </c>
      <c r="G147" s="68">
        <v>0.25</v>
      </c>
      <c r="H147" s="68">
        <v>0.15</v>
      </c>
      <c r="I147" s="68">
        <v>17.3</v>
      </c>
      <c r="J147" s="68"/>
      <c r="K147" s="255">
        <f>TRUNC(G147*H147*I147*F147,2)</f>
        <v>0.64</v>
      </c>
      <c r="L147" s="67"/>
    </row>
    <row r="148" spans="2:12" hidden="1">
      <c r="B148" s="63"/>
      <c r="C148" s="1002" t="s">
        <v>116</v>
      </c>
      <c r="D148" s="1002"/>
      <c r="E148" s="1002"/>
      <c r="F148" s="1002"/>
      <c r="G148" s="1002"/>
      <c r="H148" s="1002"/>
      <c r="I148" s="1002"/>
      <c r="J148" s="1002"/>
      <c r="K148" s="66">
        <f>SUM(K146:K147)</f>
        <v>2.57</v>
      </c>
      <c r="L148" s="67"/>
    </row>
    <row r="149" spans="2:12" hidden="1"/>
    <row r="150" spans="2:12" ht="29.25" hidden="1" customHeight="1">
      <c r="B150" s="60" t="str">
        <f>'[6]PLANILHA ORÇAMENTÁRIA'!D35</f>
        <v>5.7</v>
      </c>
      <c r="C150" s="1003" t="str">
        <f>'[6]PLANILHA ORÇAMENTÁRIA'!E35</f>
        <v>LAJE PRE-MOLDADA P/FORRO, SOBRECARGA 100KG/M2, VAOS ATE 3,50M/E=8CM, C/LAJOTAS E CAP.C/CONC FCK=20MPA, 3CM, INTER-EIXO 38CM, C/ESCORAMENTO (REAPR.3X) E FERRAGEM NEGATIVA</v>
      </c>
      <c r="D150" s="1003"/>
      <c r="E150" s="1003"/>
      <c r="F150" s="1003"/>
      <c r="G150" s="1003"/>
      <c r="H150" s="1003"/>
      <c r="I150" s="1003"/>
      <c r="J150" s="1003"/>
      <c r="K150" s="61" t="str">
        <f>'[6]PLANILHA ORÇAMENTÁRIA'!F35</f>
        <v>M2</v>
      </c>
      <c r="L150" s="62">
        <f>K154</f>
        <v>74.02</v>
      </c>
    </row>
    <row r="151" spans="2:12" hidden="1">
      <c r="B151" s="63"/>
      <c r="C151" s="1004" t="s">
        <v>20</v>
      </c>
      <c r="D151" s="1004"/>
      <c r="E151" s="1004"/>
      <c r="F151" s="64" t="s">
        <v>22</v>
      </c>
      <c r="G151" s="254" t="s">
        <v>111</v>
      </c>
      <c r="H151" s="64" t="s">
        <v>112</v>
      </c>
      <c r="I151" s="254" t="s">
        <v>113</v>
      </c>
      <c r="J151" s="254" t="s">
        <v>114</v>
      </c>
      <c r="K151" s="66" t="s">
        <v>25</v>
      </c>
      <c r="L151" s="67"/>
    </row>
    <row r="152" spans="2:12" hidden="1">
      <c r="B152" s="63"/>
      <c r="C152" s="1001" t="s">
        <v>150</v>
      </c>
      <c r="D152" s="1001"/>
      <c r="E152" s="1001"/>
      <c r="F152" s="68">
        <v>2</v>
      </c>
      <c r="G152" s="68"/>
      <c r="H152" s="68">
        <v>4.5</v>
      </c>
      <c r="I152" s="68">
        <v>6</v>
      </c>
      <c r="J152" s="68"/>
      <c r="K152" s="255">
        <f>TRUNC(H152*I152*F152,2)</f>
        <v>54</v>
      </c>
      <c r="L152" s="67"/>
    </row>
    <row r="153" spans="2:12" hidden="1">
      <c r="B153" s="63"/>
      <c r="C153" s="1001" t="s">
        <v>151</v>
      </c>
      <c r="D153" s="1001"/>
      <c r="E153" s="1001"/>
      <c r="F153" s="68">
        <v>1</v>
      </c>
      <c r="G153" s="68"/>
      <c r="H153" s="68">
        <v>4.45</v>
      </c>
      <c r="I153" s="68">
        <v>4.5</v>
      </c>
      <c r="J153" s="68"/>
      <c r="K153" s="255">
        <f>TRUNC(H153*I153*F153,2)</f>
        <v>20.02</v>
      </c>
      <c r="L153" s="67"/>
    </row>
    <row r="154" spans="2:12" hidden="1">
      <c r="B154" s="63"/>
      <c r="C154" s="1002" t="s">
        <v>116</v>
      </c>
      <c r="D154" s="1002"/>
      <c r="E154" s="1002"/>
      <c r="F154" s="1002"/>
      <c r="G154" s="1002"/>
      <c r="H154" s="1002"/>
      <c r="I154" s="1002"/>
      <c r="J154" s="1002"/>
      <c r="K154" s="66">
        <f>SUM(K152:K153)</f>
        <v>74.02</v>
      </c>
      <c r="L154" s="67"/>
    </row>
    <row r="155" spans="2:12" hidden="1"/>
    <row r="156" spans="2:12" ht="22.5" hidden="1" customHeight="1">
      <c r="B156" s="60" t="str">
        <f>'[6]PLANILHA ORÇAMENTÁRIA'!D36</f>
        <v>5.8</v>
      </c>
      <c r="C156" s="1003" t="str">
        <f>'[6]PLANILHA ORÇAMENTÁRIA'!E36</f>
        <v>IMPERMEABILIZAÇÃO DE PISO COM ARGAMASSA DE CIMENTO E AREIA, COM ADITIVO IMPERMEABILIZANTE, E = 2CM. AF_06/2018</v>
      </c>
      <c r="D156" s="1003"/>
      <c r="E156" s="1003"/>
      <c r="F156" s="1003"/>
      <c r="G156" s="1003"/>
      <c r="H156" s="1003"/>
      <c r="I156" s="1003"/>
      <c r="J156" s="1003"/>
      <c r="K156" s="61" t="str">
        <f>'[6]PLANILHA ORÇAMENTÁRIA'!F36</f>
        <v>M2</v>
      </c>
      <c r="L156" s="62">
        <f>K159</f>
        <v>27</v>
      </c>
    </row>
    <row r="157" spans="2:12" hidden="1">
      <c r="B157" s="63"/>
      <c r="C157" s="1004" t="s">
        <v>20</v>
      </c>
      <c r="D157" s="1004"/>
      <c r="E157" s="1004"/>
      <c r="F157" s="64" t="s">
        <v>22</v>
      </c>
      <c r="G157" s="254" t="s">
        <v>111</v>
      </c>
      <c r="H157" s="64" t="s">
        <v>112</v>
      </c>
      <c r="I157" s="254" t="s">
        <v>113</v>
      </c>
      <c r="J157" s="254" t="s">
        <v>114</v>
      </c>
      <c r="K157" s="66" t="s">
        <v>25</v>
      </c>
      <c r="L157" s="67"/>
    </row>
    <row r="158" spans="2:12" hidden="1">
      <c r="B158" s="63"/>
      <c r="C158" s="1001" t="s">
        <v>152</v>
      </c>
      <c r="D158" s="1001"/>
      <c r="E158" s="1001"/>
      <c r="F158" s="68">
        <v>1</v>
      </c>
      <c r="G158" s="68"/>
      <c r="H158" s="68">
        <v>4.5</v>
      </c>
      <c r="I158" s="68">
        <v>6</v>
      </c>
      <c r="J158" s="68"/>
      <c r="K158" s="255">
        <f>TRUNC(H158*I158*F158,2)</f>
        <v>27</v>
      </c>
      <c r="L158" s="67"/>
    </row>
    <row r="159" spans="2:12" hidden="1">
      <c r="B159" s="63"/>
      <c r="C159" s="1002" t="s">
        <v>116</v>
      </c>
      <c r="D159" s="1002"/>
      <c r="E159" s="1002"/>
      <c r="F159" s="1002"/>
      <c r="G159" s="1002"/>
      <c r="H159" s="1002"/>
      <c r="I159" s="1002"/>
      <c r="J159" s="1002"/>
      <c r="K159" s="66">
        <f>SUM(K158:K158)</f>
        <v>27</v>
      </c>
      <c r="L159" s="67"/>
    </row>
    <row r="160" spans="2:12" hidden="1"/>
    <row r="161" spans="2:12" ht="20.25" hidden="1" customHeight="1">
      <c r="B161" s="60" t="str">
        <f>'[6]PLANILHA ORÇAMENTÁRIA'!D37</f>
        <v>5.9</v>
      </c>
      <c r="C161" s="1003" t="str">
        <f>'[6]PLANILHA ORÇAMENTÁRIA'!E37</f>
        <v>TAMPA DE CONCRETO ARMADO 60X60X5CM PARA CAIXA</v>
      </c>
      <c r="D161" s="1003"/>
      <c r="E161" s="1003"/>
      <c r="F161" s="1003"/>
      <c r="G161" s="1003"/>
      <c r="H161" s="1003"/>
      <c r="I161" s="1003"/>
      <c r="J161" s="1003"/>
      <c r="K161" s="61" t="str">
        <f>'[6]PLANILHA ORÇAMENTÁRIA'!F37</f>
        <v>UND</v>
      </c>
      <c r="L161" s="62">
        <f>K164</f>
        <v>1</v>
      </c>
    </row>
    <row r="162" spans="2:12" hidden="1">
      <c r="B162" s="63"/>
      <c r="C162" s="1004" t="s">
        <v>20</v>
      </c>
      <c r="D162" s="1004"/>
      <c r="E162" s="1004"/>
      <c r="F162" s="64" t="s">
        <v>22</v>
      </c>
      <c r="G162" s="254" t="s">
        <v>111</v>
      </c>
      <c r="H162" s="64" t="s">
        <v>112</v>
      </c>
      <c r="I162" s="254" t="s">
        <v>113</v>
      </c>
      <c r="J162" s="254" t="s">
        <v>114</v>
      </c>
      <c r="K162" s="66" t="s">
        <v>25</v>
      </c>
      <c r="L162" s="67"/>
    </row>
    <row r="163" spans="2:12" hidden="1">
      <c r="B163" s="63"/>
      <c r="C163" s="1001" t="s">
        <v>153</v>
      </c>
      <c r="D163" s="1001"/>
      <c r="E163" s="1001"/>
      <c r="F163" s="68">
        <v>1</v>
      </c>
      <c r="G163" s="68"/>
      <c r="H163" s="68"/>
      <c r="I163" s="68"/>
      <c r="J163" s="68"/>
      <c r="K163" s="255">
        <f>F163</f>
        <v>1</v>
      </c>
      <c r="L163" s="67"/>
    </row>
    <row r="164" spans="2:12" hidden="1">
      <c r="B164" s="63"/>
      <c r="C164" s="1002" t="s">
        <v>116</v>
      </c>
      <c r="D164" s="1002"/>
      <c r="E164" s="1002"/>
      <c r="F164" s="1002"/>
      <c r="G164" s="1002"/>
      <c r="H164" s="1002"/>
      <c r="I164" s="1002"/>
      <c r="J164" s="1002"/>
      <c r="K164" s="66">
        <f>SUM(K163:K163)</f>
        <v>1</v>
      </c>
      <c r="L164" s="67"/>
    </row>
    <row r="165" spans="2:12" hidden="1">
      <c r="B165" s="63"/>
      <c r="C165" s="71"/>
      <c r="D165" s="71"/>
      <c r="E165" s="71"/>
      <c r="F165" s="71"/>
      <c r="G165" s="71"/>
      <c r="H165" s="71"/>
      <c r="I165" s="71"/>
      <c r="J165" s="71"/>
      <c r="K165" s="73"/>
      <c r="L165" s="67"/>
    </row>
    <row r="166" spans="2:12" hidden="1">
      <c r="B166" s="60" t="str">
        <f>'[6]PLANILHA ORÇAMENTÁRIA'!D38</f>
        <v>5.10</v>
      </c>
      <c r="C166" s="1003" t="str">
        <f>'[6]PLANILHA ORÇAMENTÁRIA'!E38</f>
        <v>VERGA PRÉ-MOLDADA PARA JANELAS COM ATÉ 1,5 M DE VÃO. AF_03/2016</v>
      </c>
      <c r="D166" s="1003"/>
      <c r="E166" s="1003"/>
      <c r="F166" s="1003"/>
      <c r="G166" s="1003"/>
      <c r="H166" s="1003"/>
      <c r="I166" s="1003"/>
      <c r="J166" s="1003"/>
      <c r="K166" s="61" t="str">
        <f>'[6]PLANILHA ORÇAMENTÁRIA'!F38</f>
        <v>M</v>
      </c>
      <c r="L166" s="62">
        <f>K169</f>
        <v>3.3000000000000003</v>
      </c>
    </row>
    <row r="167" spans="2:12" hidden="1">
      <c r="B167" s="63"/>
      <c r="C167" s="1004" t="s">
        <v>20</v>
      </c>
      <c r="D167" s="1004"/>
      <c r="E167" s="1004"/>
      <c r="F167" s="64" t="s">
        <v>22</v>
      </c>
      <c r="G167" s="254" t="s">
        <v>111</v>
      </c>
      <c r="H167" s="64" t="s">
        <v>112</v>
      </c>
      <c r="I167" s="254" t="s">
        <v>113</v>
      </c>
      <c r="J167" s="254" t="s">
        <v>114</v>
      </c>
      <c r="K167" s="66" t="s">
        <v>25</v>
      </c>
      <c r="L167" s="67"/>
    </row>
    <row r="168" spans="2:12" hidden="1">
      <c r="B168" s="63"/>
      <c r="C168" s="1001"/>
      <c r="D168" s="1001"/>
      <c r="E168" s="1001"/>
      <c r="F168" s="68">
        <v>3</v>
      </c>
      <c r="G168" s="68"/>
      <c r="H168" s="68"/>
      <c r="I168" s="68">
        <v>1.1000000000000001</v>
      </c>
      <c r="J168" s="68"/>
      <c r="K168" s="255">
        <f>F168*I168</f>
        <v>3.3000000000000003</v>
      </c>
      <c r="L168" s="67"/>
    </row>
    <row r="169" spans="2:12" hidden="1">
      <c r="B169" s="63"/>
      <c r="C169" s="1002" t="s">
        <v>116</v>
      </c>
      <c r="D169" s="1002"/>
      <c r="E169" s="1002"/>
      <c r="F169" s="1002"/>
      <c r="G169" s="1002"/>
      <c r="H169" s="1002"/>
      <c r="I169" s="1002"/>
      <c r="J169" s="1002"/>
      <c r="K169" s="66">
        <f>SUM(K168:K168)</f>
        <v>3.3000000000000003</v>
      </c>
      <c r="L169" s="67"/>
    </row>
    <row r="170" spans="2:12" hidden="1">
      <c r="B170" s="63"/>
      <c r="C170" s="71"/>
      <c r="D170" s="71"/>
      <c r="E170" s="71"/>
      <c r="F170" s="71"/>
      <c r="G170" s="71"/>
      <c r="H170" s="71"/>
      <c r="I170" s="71"/>
      <c r="J170" s="71"/>
      <c r="K170" s="73"/>
      <c r="L170" s="67"/>
    </row>
    <row r="171" spans="2:12" hidden="1">
      <c r="B171" s="60" t="str">
        <f>'[6]PLANILHA ORÇAMENTÁRIA'!D39</f>
        <v>5.11</v>
      </c>
      <c r="C171" s="1003" t="str">
        <f>'[6]PLANILHA ORÇAMENTÁRIA'!E39</f>
        <v>VERGA PRÉ-MOLDADA PARA PORTAS COM ATÉ 1,5 M DE VÃO. AF_03/2016</v>
      </c>
      <c r="D171" s="1003"/>
      <c r="E171" s="1003"/>
      <c r="F171" s="1003"/>
      <c r="G171" s="1003"/>
      <c r="H171" s="1003"/>
      <c r="I171" s="1003"/>
      <c r="J171" s="1003"/>
      <c r="K171" s="61" t="str">
        <f>'[6]PLANILHA ORÇAMENTÁRIA'!F39</f>
        <v>M</v>
      </c>
      <c r="L171" s="62">
        <f>K174</f>
        <v>3.3000000000000003</v>
      </c>
    </row>
    <row r="172" spans="2:12" hidden="1">
      <c r="B172" s="63"/>
      <c r="C172" s="1004" t="s">
        <v>20</v>
      </c>
      <c r="D172" s="1004"/>
      <c r="E172" s="1004"/>
      <c r="F172" s="64" t="s">
        <v>22</v>
      </c>
      <c r="G172" s="254" t="s">
        <v>111</v>
      </c>
      <c r="H172" s="64" t="s">
        <v>112</v>
      </c>
      <c r="I172" s="254" t="s">
        <v>113</v>
      </c>
      <c r="J172" s="254" t="s">
        <v>114</v>
      </c>
      <c r="K172" s="66" t="s">
        <v>25</v>
      </c>
      <c r="L172" s="67"/>
    </row>
    <row r="173" spans="2:12" ht="15" hidden="1" customHeight="1">
      <c r="B173" s="63"/>
      <c r="C173" s="1001"/>
      <c r="D173" s="1001"/>
      <c r="E173" s="1001"/>
      <c r="F173" s="68">
        <v>3</v>
      </c>
      <c r="G173" s="68"/>
      <c r="H173" s="68"/>
      <c r="I173" s="68">
        <v>1.1000000000000001</v>
      </c>
      <c r="J173" s="68"/>
      <c r="K173" s="255">
        <f>F173*I173</f>
        <v>3.3000000000000003</v>
      </c>
      <c r="L173" s="67"/>
    </row>
    <row r="174" spans="2:12" hidden="1">
      <c r="B174" s="63"/>
      <c r="C174" s="1002" t="s">
        <v>116</v>
      </c>
      <c r="D174" s="1002"/>
      <c r="E174" s="1002"/>
      <c r="F174" s="1002"/>
      <c r="G174" s="1002"/>
      <c r="H174" s="1002"/>
      <c r="I174" s="1002"/>
      <c r="J174" s="1002"/>
      <c r="K174" s="66">
        <f>SUM(K173:K173)</f>
        <v>3.3000000000000003</v>
      </c>
      <c r="L174" s="67"/>
    </row>
    <row r="175" spans="2:12" hidden="1">
      <c r="B175" s="63"/>
      <c r="C175" s="71"/>
      <c r="D175" s="71"/>
      <c r="E175" s="71"/>
      <c r="F175" s="71"/>
      <c r="G175" s="71"/>
      <c r="H175" s="71"/>
      <c r="I175" s="71"/>
      <c r="J175" s="71"/>
      <c r="K175" s="73"/>
      <c r="L175" s="67"/>
    </row>
    <row r="176" spans="2:12" hidden="1">
      <c r="B176" s="60" t="str">
        <f>'[6]PLANILHA ORÇAMENTÁRIA'!D40</f>
        <v>5.12</v>
      </c>
      <c r="C176" s="1003" t="str">
        <f>'[6]PLANILHA ORÇAMENTÁRIA'!E40</f>
        <v>CONTRAVERGA PRÉ-MOLDADA PARA VÃOS DE ATÉ 1,5 M DE COMPRIMENTO. AF_03/2016</v>
      </c>
      <c r="D176" s="1003"/>
      <c r="E176" s="1003"/>
      <c r="F176" s="1003"/>
      <c r="G176" s="1003"/>
      <c r="H176" s="1003"/>
      <c r="I176" s="1003"/>
      <c r="J176" s="1003"/>
      <c r="K176" s="61" t="str">
        <f>'[6]PLANILHA ORÇAMENTÁRIA'!F40</f>
        <v>M</v>
      </c>
      <c r="L176" s="62">
        <f>K179</f>
        <v>3.3000000000000003</v>
      </c>
    </row>
    <row r="177" spans="2:12" hidden="1">
      <c r="B177" s="63"/>
      <c r="C177" s="1004" t="s">
        <v>20</v>
      </c>
      <c r="D177" s="1004"/>
      <c r="E177" s="1004"/>
      <c r="F177" s="64" t="s">
        <v>22</v>
      </c>
      <c r="G177" s="254" t="s">
        <v>111</v>
      </c>
      <c r="H177" s="64" t="s">
        <v>112</v>
      </c>
      <c r="I177" s="254" t="s">
        <v>113</v>
      </c>
      <c r="J177" s="254" t="s">
        <v>114</v>
      </c>
      <c r="K177" s="66" t="s">
        <v>25</v>
      </c>
      <c r="L177" s="67"/>
    </row>
    <row r="178" spans="2:12" ht="15" hidden="1" customHeight="1">
      <c r="B178" s="63"/>
      <c r="C178" s="1001"/>
      <c r="D178" s="1001"/>
      <c r="E178" s="1001"/>
      <c r="F178" s="68">
        <v>3</v>
      </c>
      <c r="G178" s="68"/>
      <c r="H178" s="68"/>
      <c r="I178" s="68">
        <v>1.1000000000000001</v>
      </c>
      <c r="J178" s="68"/>
      <c r="K178" s="255">
        <f>F178*I178</f>
        <v>3.3000000000000003</v>
      </c>
      <c r="L178" s="67"/>
    </row>
    <row r="179" spans="2:12" hidden="1">
      <c r="B179" s="63"/>
      <c r="C179" s="1002" t="s">
        <v>116</v>
      </c>
      <c r="D179" s="1002"/>
      <c r="E179" s="1002"/>
      <c r="F179" s="1002"/>
      <c r="G179" s="1002"/>
      <c r="H179" s="1002"/>
      <c r="I179" s="1002"/>
      <c r="J179" s="1002"/>
      <c r="K179" s="66">
        <f>SUM(K178:K178)</f>
        <v>3.3000000000000003</v>
      </c>
      <c r="L179" s="67"/>
    </row>
    <row r="180" spans="2:12" hidden="1">
      <c r="B180" s="63"/>
      <c r="C180" s="71"/>
      <c r="D180" s="71"/>
      <c r="E180" s="71"/>
      <c r="F180" s="71"/>
      <c r="G180" s="71"/>
      <c r="H180" s="71"/>
      <c r="I180" s="71"/>
      <c r="J180" s="71"/>
      <c r="K180" s="73"/>
      <c r="L180" s="67"/>
    </row>
    <row r="181" spans="2:12" hidden="1">
      <c r="B181" s="58" t="str">
        <f>'[6]PLANILHA ORÇAMENTÁRIA'!D41</f>
        <v>6.0</v>
      </c>
      <c r="C181" s="1000" t="str">
        <f>'[6]PLANILHA ORÇAMENTÁRIA'!E41</f>
        <v>ALVENARIA DE VEDAÇÃO</v>
      </c>
      <c r="D181" s="1000"/>
      <c r="E181" s="1000"/>
      <c r="F181" s="1000"/>
      <c r="G181" s="1000"/>
      <c r="H181" s="1000"/>
      <c r="I181" s="1000"/>
      <c r="J181" s="1000"/>
      <c r="K181" s="59"/>
      <c r="L181" s="59"/>
    </row>
    <row r="182" spans="2:12" ht="23.25" hidden="1" customHeight="1">
      <c r="B182" s="60" t="str">
        <f>'[6]PLANILHA ORÇAMENTÁRIA'!D42</f>
        <v>6.1</v>
      </c>
      <c r="C182" s="1003" t="str">
        <f>'[6]PLANILHA ORÇAMENTÁRIA'!E42</f>
        <v>ALVENARIA DE BLOCO CERÂMICO FURADO (9x19x19)cm C/ARGAMASSA MISTA DE CAL HIDRATADA, ESP=9 cm</v>
      </c>
      <c r="D182" s="1003"/>
      <c r="E182" s="1003"/>
      <c r="F182" s="1003"/>
      <c r="G182" s="1003"/>
      <c r="H182" s="1003"/>
      <c r="I182" s="1003"/>
      <c r="J182" s="1003"/>
      <c r="K182" s="61" t="str">
        <f>'[6]PLANILHA ORÇAMENTÁRIA'!F42</f>
        <v>M2</v>
      </c>
      <c r="L182" s="62">
        <f>K187</f>
        <v>133.51999999999998</v>
      </c>
    </row>
    <row r="183" spans="2:12" hidden="1">
      <c r="B183" s="63"/>
      <c r="C183" s="1004" t="s">
        <v>20</v>
      </c>
      <c r="D183" s="1004"/>
      <c r="E183" s="1004"/>
      <c r="F183" s="64" t="s">
        <v>22</v>
      </c>
      <c r="G183" s="254" t="s">
        <v>111</v>
      </c>
      <c r="H183" s="64" t="s">
        <v>112</v>
      </c>
      <c r="I183" s="254" t="s">
        <v>154</v>
      </c>
      <c r="J183" s="254" t="s">
        <v>114</v>
      </c>
      <c r="K183" s="66" t="s">
        <v>25</v>
      </c>
      <c r="L183" s="67"/>
    </row>
    <row r="184" spans="2:12" hidden="1">
      <c r="B184" s="63"/>
      <c r="C184" s="1001" t="s">
        <v>155</v>
      </c>
      <c r="D184" s="1001"/>
      <c r="E184" s="1001"/>
      <c r="F184" s="68"/>
      <c r="G184" s="68">
        <v>2.6</v>
      </c>
      <c r="H184" s="68"/>
      <c r="I184" s="68">
        <f>(6.6*2)+(4.2*3)+3.15+2.16+(1.05*2)</f>
        <v>33.21</v>
      </c>
      <c r="J184" s="68">
        <v>3.88</v>
      </c>
      <c r="K184" s="255">
        <f>TRUNC((G184*I184)-J184,2)</f>
        <v>82.46</v>
      </c>
      <c r="L184" s="67"/>
    </row>
    <row r="185" spans="2:12" hidden="1">
      <c r="B185" s="63"/>
      <c r="C185" s="1001" t="s">
        <v>156</v>
      </c>
      <c r="D185" s="1001"/>
      <c r="E185" s="1001"/>
      <c r="F185" s="68"/>
      <c r="G185" s="68">
        <v>2.15</v>
      </c>
      <c r="H185" s="68"/>
      <c r="I185" s="68">
        <f>(6.6*2)+(4.2*2)</f>
        <v>21.6</v>
      </c>
      <c r="J185" s="68"/>
      <c r="K185" s="255">
        <f>TRUNC((G185*I185),2)</f>
        <v>46.44</v>
      </c>
      <c r="L185" s="67"/>
    </row>
    <row r="186" spans="2:12" hidden="1">
      <c r="B186" s="63"/>
      <c r="C186" s="1001" t="s">
        <v>157</v>
      </c>
      <c r="D186" s="1001"/>
      <c r="E186" s="1001"/>
      <c r="F186" s="68"/>
      <c r="G186" s="68">
        <v>2.1</v>
      </c>
      <c r="H186" s="68"/>
      <c r="I186" s="68">
        <v>2.2000000000000002</v>
      </c>
      <c r="J186" s="68"/>
      <c r="K186" s="255">
        <f>TRUNC((G186*I186),2)</f>
        <v>4.62</v>
      </c>
      <c r="L186" s="67"/>
    </row>
    <row r="187" spans="2:12" hidden="1">
      <c r="B187" s="63"/>
      <c r="C187" s="1002" t="s">
        <v>116</v>
      </c>
      <c r="D187" s="1002"/>
      <c r="E187" s="1002"/>
      <c r="F187" s="1002"/>
      <c r="G187" s="1002"/>
      <c r="H187" s="1002"/>
      <c r="I187" s="1002"/>
      <c r="J187" s="1002"/>
      <c r="K187" s="66">
        <f>SUM(K184:K186)</f>
        <v>133.51999999999998</v>
      </c>
      <c r="L187" s="67"/>
    </row>
    <row r="188" spans="2:12">
      <c r="B188" s="63"/>
      <c r="C188" s="71"/>
      <c r="D188" s="71"/>
      <c r="E188" s="71"/>
      <c r="F188" s="71"/>
      <c r="G188" s="71"/>
      <c r="H188" s="71"/>
      <c r="I188" s="71"/>
      <c r="J188" s="71"/>
      <c r="K188" s="73"/>
      <c r="L188" s="67"/>
    </row>
    <row r="189" spans="2:12">
      <c r="B189" s="292" t="s">
        <v>4</v>
      </c>
      <c r="C189" s="1093" t="s">
        <v>5</v>
      </c>
      <c r="D189" s="1093"/>
      <c r="E189" s="1093"/>
      <c r="F189" s="1093"/>
      <c r="G189" s="1093"/>
      <c r="H189" s="1093"/>
      <c r="I189" s="1093"/>
      <c r="J189" s="1093"/>
      <c r="K189" s="293"/>
      <c r="L189" s="293"/>
    </row>
    <row r="190" spans="2:12">
      <c r="B190" s="292"/>
      <c r="C190" s="334"/>
      <c r="D190" s="334"/>
      <c r="E190" s="334"/>
      <c r="F190" s="334"/>
      <c r="G190" s="334"/>
      <c r="H190" s="334"/>
      <c r="I190" s="334"/>
      <c r="J190" s="334"/>
      <c r="K190" s="293"/>
      <c r="L190" s="293"/>
    </row>
    <row r="191" spans="2:12">
      <c r="B191" s="892" t="s">
        <v>6</v>
      </c>
      <c r="C191" s="980" t="s">
        <v>10</v>
      </c>
      <c r="D191" s="981"/>
      <c r="E191" s="981"/>
      <c r="F191" s="981"/>
      <c r="G191" s="981"/>
      <c r="H191" s="981"/>
      <c r="I191" s="981"/>
      <c r="J191" s="982"/>
      <c r="K191" s="97" t="str">
        <f>'[6]PLANILHA ORÇAMENTÁRIA'!F44</f>
        <v>M2</v>
      </c>
      <c r="L191" s="97">
        <f>K194</f>
        <v>900</v>
      </c>
    </row>
    <row r="192" spans="2:12">
      <c r="B192" s="891"/>
      <c r="C192" s="1027" t="s">
        <v>20</v>
      </c>
      <c r="D192" s="1027"/>
      <c r="E192" s="1027"/>
      <c r="F192" s="92" t="s">
        <v>22</v>
      </c>
      <c r="G192" s="332" t="s">
        <v>111</v>
      </c>
      <c r="H192" s="92" t="s">
        <v>112</v>
      </c>
      <c r="I192" s="332" t="s">
        <v>113</v>
      </c>
      <c r="J192" s="332" t="s">
        <v>114</v>
      </c>
      <c r="K192" s="94" t="s">
        <v>25</v>
      </c>
      <c r="L192" s="90"/>
    </row>
    <row r="193" spans="2:12">
      <c r="B193" s="891"/>
      <c r="C193" s="984" t="s">
        <v>587</v>
      </c>
      <c r="D193" s="985"/>
      <c r="E193" s="986"/>
      <c r="F193" s="91">
        <v>1</v>
      </c>
      <c r="G193" s="91">
        <v>1</v>
      </c>
      <c r="H193" s="91">
        <v>30</v>
      </c>
      <c r="I193" s="91">
        <v>30</v>
      </c>
      <c r="J193" s="91">
        <v>0</v>
      </c>
      <c r="K193" s="335">
        <f>(H193*I193*G193*F193)-J193</f>
        <v>900</v>
      </c>
      <c r="L193" s="90"/>
    </row>
    <row r="194" spans="2:12">
      <c r="B194" s="891"/>
      <c r="C194" s="987" t="s">
        <v>116</v>
      </c>
      <c r="D194" s="987"/>
      <c r="E194" s="987"/>
      <c r="F194" s="987"/>
      <c r="G194" s="987"/>
      <c r="H194" s="987"/>
      <c r="I194" s="987"/>
      <c r="J194" s="987"/>
      <c r="K194" s="89">
        <f>SUM(K193:K193)</f>
        <v>900</v>
      </c>
      <c r="L194" s="90"/>
    </row>
    <row r="195" spans="2:12">
      <c r="B195" s="891"/>
      <c r="C195" s="211"/>
      <c r="D195" s="211"/>
      <c r="E195" s="211"/>
      <c r="F195" s="211"/>
      <c r="G195" s="211"/>
      <c r="H195" s="211"/>
      <c r="I195" s="211"/>
      <c r="J195" s="211"/>
      <c r="K195" s="212"/>
      <c r="L195" s="90"/>
    </row>
    <row r="196" spans="2:12">
      <c r="B196" s="892" t="s">
        <v>29</v>
      </c>
      <c r="C196" s="980" t="s">
        <v>636</v>
      </c>
      <c r="D196" s="981"/>
      <c r="E196" s="981"/>
      <c r="F196" s="981"/>
      <c r="G196" s="981"/>
      <c r="H196" s="981"/>
      <c r="I196" s="981"/>
      <c r="J196" s="982"/>
      <c r="K196" s="97" t="str">
        <f>'[6]PLANILHA ORÇAMENTÁRIA'!F49</f>
        <v>M2</v>
      </c>
      <c r="L196" s="97">
        <f>K199</f>
        <v>80</v>
      </c>
    </row>
    <row r="197" spans="2:12">
      <c r="B197" s="891"/>
      <c r="C197" s="1027" t="s">
        <v>20</v>
      </c>
      <c r="D197" s="1027"/>
      <c r="E197" s="1027"/>
      <c r="F197" s="92" t="s">
        <v>22</v>
      </c>
      <c r="G197" s="332" t="s">
        <v>111</v>
      </c>
      <c r="H197" s="92" t="s">
        <v>112</v>
      </c>
      <c r="I197" s="332" t="s">
        <v>113</v>
      </c>
      <c r="J197" s="332" t="s">
        <v>114</v>
      </c>
      <c r="K197" s="94" t="s">
        <v>25</v>
      </c>
      <c r="L197" s="90"/>
    </row>
    <row r="198" spans="2:12">
      <c r="B198" s="891"/>
      <c r="C198" s="984" t="s">
        <v>587</v>
      </c>
      <c r="D198" s="985"/>
      <c r="E198" s="986"/>
      <c r="F198" s="91">
        <v>1</v>
      </c>
      <c r="G198" s="91">
        <v>1</v>
      </c>
      <c r="H198" s="91">
        <v>80</v>
      </c>
      <c r="I198" s="91">
        <v>1</v>
      </c>
      <c r="J198" s="91">
        <v>0</v>
      </c>
      <c r="K198" s="335">
        <f>(H198*I198*G198*F198)-J198</f>
        <v>80</v>
      </c>
      <c r="L198" s="90"/>
    </row>
    <row r="199" spans="2:12">
      <c r="B199" s="891"/>
      <c r="C199" s="987" t="s">
        <v>116</v>
      </c>
      <c r="D199" s="987"/>
      <c r="E199" s="987"/>
      <c r="F199" s="987"/>
      <c r="G199" s="987"/>
      <c r="H199" s="987"/>
      <c r="I199" s="987"/>
      <c r="J199" s="987"/>
      <c r="K199" s="89">
        <f>SUM(K198:K198)</f>
        <v>80</v>
      </c>
      <c r="L199" s="90"/>
    </row>
    <row r="200" spans="2:12">
      <c r="B200" s="891"/>
      <c r="C200" s="211"/>
      <c r="D200" s="211"/>
      <c r="E200" s="211"/>
      <c r="F200" s="211"/>
      <c r="G200" s="211"/>
      <c r="H200" s="211"/>
      <c r="I200" s="211"/>
      <c r="J200" s="211"/>
      <c r="K200" s="212"/>
      <c r="L200" s="90"/>
    </row>
    <row r="201" spans="2:12" ht="15" customHeight="1">
      <c r="B201" s="892" t="s">
        <v>31</v>
      </c>
      <c r="C201" s="980" t="s">
        <v>27</v>
      </c>
      <c r="D201" s="981"/>
      <c r="E201" s="981"/>
      <c r="F201" s="981"/>
      <c r="G201" s="981"/>
      <c r="H201" s="981"/>
      <c r="I201" s="981"/>
      <c r="J201" s="982"/>
      <c r="K201" s="97" t="str">
        <f>'[6]PLANILHA ORÇAMENTÁRIA'!F51</f>
        <v>M2</v>
      </c>
      <c r="L201" s="97">
        <f>K204</f>
        <v>42</v>
      </c>
    </row>
    <row r="202" spans="2:12">
      <c r="B202" s="891"/>
      <c r="C202" s="1027" t="s">
        <v>20</v>
      </c>
      <c r="D202" s="1027"/>
      <c r="E202" s="1027"/>
      <c r="F202" s="92" t="s">
        <v>22</v>
      </c>
      <c r="G202" s="267" t="s">
        <v>111</v>
      </c>
      <c r="H202" s="92" t="s">
        <v>112</v>
      </c>
      <c r="I202" s="267" t="s">
        <v>113</v>
      </c>
      <c r="J202" s="267" t="s">
        <v>114</v>
      </c>
      <c r="K202" s="94" t="s">
        <v>25</v>
      </c>
      <c r="L202" s="90"/>
    </row>
    <row r="203" spans="2:12">
      <c r="B203" s="891"/>
      <c r="C203" s="984" t="s">
        <v>97</v>
      </c>
      <c r="D203" s="985"/>
      <c r="E203" s="986"/>
      <c r="F203" s="91">
        <v>1</v>
      </c>
      <c r="G203" s="91">
        <v>2.8</v>
      </c>
      <c r="H203" s="91">
        <v>1</v>
      </c>
      <c r="I203" s="91">
        <v>15</v>
      </c>
      <c r="J203" s="91">
        <v>0</v>
      </c>
      <c r="K203" s="269">
        <f>(H203*I203*G203*F203)-J203</f>
        <v>42</v>
      </c>
      <c r="L203" s="90"/>
    </row>
    <row r="204" spans="2:12">
      <c r="B204" s="891"/>
      <c r="C204" s="987" t="s">
        <v>116</v>
      </c>
      <c r="D204" s="987"/>
      <c r="E204" s="987"/>
      <c r="F204" s="987"/>
      <c r="G204" s="987"/>
      <c r="H204" s="987"/>
      <c r="I204" s="987"/>
      <c r="J204" s="987"/>
      <c r="K204" s="89">
        <f>SUM(K203:K203)</f>
        <v>42</v>
      </c>
      <c r="L204" s="90"/>
    </row>
    <row r="205" spans="2:12">
      <c r="B205" s="891"/>
      <c r="C205" s="211"/>
      <c r="D205" s="211"/>
      <c r="E205" s="211"/>
      <c r="F205" s="211"/>
      <c r="G205" s="211"/>
      <c r="H205" s="211"/>
      <c r="I205" s="211"/>
      <c r="J205" s="211"/>
      <c r="K205" s="212"/>
      <c r="L205" s="90"/>
    </row>
    <row r="206" spans="2:12" ht="15" customHeight="1">
      <c r="B206" s="892" t="s">
        <v>79</v>
      </c>
      <c r="C206" s="1024" t="s">
        <v>8</v>
      </c>
      <c r="D206" s="1025"/>
      <c r="E206" s="1025"/>
      <c r="F206" s="1025"/>
      <c r="G206" s="1025"/>
      <c r="H206" s="1025"/>
      <c r="I206" s="1025"/>
      <c r="J206" s="1026"/>
      <c r="K206" s="97" t="s">
        <v>7</v>
      </c>
      <c r="L206" s="97">
        <f>K209</f>
        <v>42</v>
      </c>
    </row>
    <row r="207" spans="2:12">
      <c r="B207" s="891"/>
      <c r="C207" s="983" t="s">
        <v>20</v>
      </c>
      <c r="D207" s="983"/>
      <c r="E207" s="983"/>
      <c r="F207" s="87" t="s">
        <v>22</v>
      </c>
      <c r="G207" s="268" t="s">
        <v>111</v>
      </c>
      <c r="H207" s="87" t="s">
        <v>112</v>
      </c>
      <c r="I207" s="268" t="s">
        <v>113</v>
      </c>
      <c r="J207" s="268" t="s">
        <v>114</v>
      </c>
      <c r="K207" s="89" t="s">
        <v>25</v>
      </c>
      <c r="L207" s="90"/>
    </row>
    <row r="208" spans="2:12">
      <c r="B208" s="891"/>
      <c r="C208" s="984" t="s">
        <v>97</v>
      </c>
      <c r="D208" s="985"/>
      <c r="E208" s="986"/>
      <c r="F208" s="91">
        <v>1</v>
      </c>
      <c r="G208" s="91">
        <v>2.8</v>
      </c>
      <c r="H208" s="91">
        <v>1</v>
      </c>
      <c r="I208" s="91">
        <v>15</v>
      </c>
      <c r="J208" s="91">
        <v>0</v>
      </c>
      <c r="K208" s="89">
        <f>(H208*G208*F208*I208)-J208</f>
        <v>42</v>
      </c>
      <c r="L208" s="90"/>
    </row>
    <row r="209" spans="2:12">
      <c r="B209" s="891"/>
      <c r="C209" s="987" t="s">
        <v>116</v>
      </c>
      <c r="D209" s="987"/>
      <c r="E209" s="987"/>
      <c r="F209" s="987"/>
      <c r="G209" s="987"/>
      <c r="H209" s="987"/>
      <c r="I209" s="987"/>
      <c r="J209" s="987"/>
      <c r="K209" s="89">
        <f>SUM(K208:K208)</f>
        <v>42</v>
      </c>
      <c r="L209" s="90"/>
    </row>
    <row r="210" spans="2:12">
      <c r="B210" s="891"/>
      <c r="C210" s="211"/>
      <c r="D210" s="211"/>
      <c r="E210" s="211"/>
      <c r="F210" s="211"/>
      <c r="G210" s="211"/>
      <c r="H210" s="211"/>
      <c r="I210" s="211"/>
      <c r="J210" s="211"/>
      <c r="K210" s="212"/>
      <c r="L210" s="90"/>
    </row>
    <row r="211" spans="2:12">
      <c r="B211" s="892" t="s">
        <v>196</v>
      </c>
      <c r="C211" s="1024" t="s">
        <v>575</v>
      </c>
      <c r="D211" s="1025"/>
      <c r="E211" s="1025"/>
      <c r="F211" s="1025"/>
      <c r="G211" s="1025"/>
      <c r="H211" s="1025"/>
      <c r="I211" s="1025"/>
      <c r="J211" s="1026"/>
      <c r="K211" s="97" t="s">
        <v>7</v>
      </c>
      <c r="L211" s="97">
        <f>K218</f>
        <v>156.745</v>
      </c>
    </row>
    <row r="212" spans="2:12">
      <c r="B212" s="891"/>
      <c r="C212" s="983" t="s">
        <v>20</v>
      </c>
      <c r="D212" s="983"/>
      <c r="E212" s="983"/>
      <c r="F212" s="87" t="s">
        <v>22</v>
      </c>
      <c r="G212" s="268" t="s">
        <v>111</v>
      </c>
      <c r="H212" s="87" t="s">
        <v>112</v>
      </c>
      <c r="I212" s="268" t="s">
        <v>113</v>
      </c>
      <c r="J212" s="268" t="s">
        <v>114</v>
      </c>
      <c r="K212" s="89" t="s">
        <v>25</v>
      </c>
      <c r="L212" s="90"/>
    </row>
    <row r="213" spans="2:12">
      <c r="B213" s="891"/>
      <c r="C213" s="984" t="s">
        <v>338</v>
      </c>
      <c r="D213" s="985"/>
      <c r="E213" s="986"/>
      <c r="F213" s="91">
        <v>1</v>
      </c>
      <c r="G213" s="91">
        <v>1</v>
      </c>
      <c r="H213" s="91">
        <v>3.9</v>
      </c>
      <c r="I213" s="91">
        <v>5.95</v>
      </c>
      <c r="J213" s="91">
        <v>0</v>
      </c>
      <c r="K213" s="89">
        <f>(H213*G213*F213*I213)-J213</f>
        <v>23.205000000000002</v>
      </c>
      <c r="L213" s="90"/>
    </row>
    <row r="214" spans="2:12">
      <c r="B214" s="891"/>
      <c r="C214" s="984" t="s">
        <v>461</v>
      </c>
      <c r="D214" s="985"/>
      <c r="E214" s="986"/>
      <c r="F214" s="91">
        <v>1</v>
      </c>
      <c r="G214" s="91">
        <v>1</v>
      </c>
      <c r="H214" s="91">
        <v>5.5</v>
      </c>
      <c r="I214" s="91">
        <v>7.9</v>
      </c>
      <c r="J214" s="91">
        <v>0</v>
      </c>
      <c r="K214" s="89">
        <f>(H214*G214*F214*I214)-J214</f>
        <v>43.45</v>
      </c>
      <c r="L214" s="90"/>
    </row>
    <row r="215" spans="2:12">
      <c r="B215" s="891"/>
      <c r="C215" s="984" t="s">
        <v>496</v>
      </c>
      <c r="D215" s="985"/>
      <c r="E215" s="986"/>
      <c r="F215" s="91">
        <v>1</v>
      </c>
      <c r="G215" s="91">
        <v>1</v>
      </c>
      <c r="H215" s="91">
        <v>3.9</v>
      </c>
      <c r="I215" s="91">
        <v>5.9</v>
      </c>
      <c r="J215" s="91">
        <v>0</v>
      </c>
      <c r="K215" s="89">
        <f>(H215*G215*F215*I215)-J215</f>
        <v>23.01</v>
      </c>
      <c r="L215" s="90"/>
    </row>
    <row r="216" spans="2:12">
      <c r="B216" s="891"/>
      <c r="C216" s="984" t="s">
        <v>498</v>
      </c>
      <c r="D216" s="985"/>
      <c r="E216" s="986"/>
      <c r="F216" s="91">
        <v>1</v>
      </c>
      <c r="G216" s="91">
        <v>1</v>
      </c>
      <c r="H216" s="91">
        <v>3.6</v>
      </c>
      <c r="I216" s="91">
        <v>5.3</v>
      </c>
      <c r="J216" s="91">
        <v>0</v>
      </c>
      <c r="K216" s="89">
        <f>(H216*G216*F216*I216)-J216</f>
        <v>19.079999999999998</v>
      </c>
      <c r="L216" s="90"/>
    </row>
    <row r="217" spans="2:12">
      <c r="B217" s="891"/>
      <c r="C217" s="984" t="s">
        <v>499</v>
      </c>
      <c r="D217" s="985"/>
      <c r="E217" s="986"/>
      <c r="F217" s="91">
        <v>1</v>
      </c>
      <c r="G217" s="91">
        <v>1</v>
      </c>
      <c r="H217" s="91">
        <v>6</v>
      </c>
      <c r="I217" s="91">
        <v>8</v>
      </c>
      <c r="J217" s="91">
        <v>0</v>
      </c>
      <c r="K217" s="89">
        <f>(H217*G217*F217*I217)-J217</f>
        <v>48</v>
      </c>
      <c r="L217" s="90"/>
    </row>
    <row r="218" spans="2:12">
      <c r="B218" s="891"/>
      <c r="C218" s="987" t="s">
        <v>116</v>
      </c>
      <c r="D218" s="987"/>
      <c r="E218" s="987"/>
      <c r="F218" s="987"/>
      <c r="G218" s="987"/>
      <c r="H218" s="987"/>
      <c r="I218" s="987"/>
      <c r="J218" s="987"/>
      <c r="K218" s="89">
        <f>SUM(K213:K217)</f>
        <v>156.745</v>
      </c>
      <c r="L218" s="90"/>
    </row>
    <row r="219" spans="2:12">
      <c r="B219" s="891"/>
      <c r="C219" s="211"/>
      <c r="D219" s="211"/>
      <c r="E219" s="211"/>
      <c r="F219" s="211"/>
      <c r="G219" s="211"/>
      <c r="H219" s="211"/>
      <c r="I219" s="211"/>
      <c r="J219" s="211"/>
      <c r="K219" s="212"/>
      <c r="L219" s="90"/>
    </row>
    <row r="220" spans="2:12">
      <c r="B220" s="891"/>
      <c r="C220" s="211"/>
      <c r="D220" s="211"/>
      <c r="E220" s="211"/>
      <c r="F220" s="211"/>
      <c r="G220" s="211"/>
      <c r="H220" s="211"/>
      <c r="I220" s="211"/>
      <c r="J220" s="211"/>
      <c r="K220" s="212"/>
      <c r="L220" s="90"/>
    </row>
    <row r="221" spans="2:12">
      <c r="B221" s="892" t="s">
        <v>637</v>
      </c>
      <c r="C221" s="1024" t="s">
        <v>446</v>
      </c>
      <c r="D221" s="1025"/>
      <c r="E221" s="1025"/>
      <c r="F221" s="1025"/>
      <c r="G221" s="1025"/>
      <c r="H221" s="1025"/>
      <c r="I221" s="1025"/>
      <c r="J221" s="1026"/>
      <c r="K221" s="97" t="s">
        <v>7</v>
      </c>
      <c r="L221" s="97">
        <f>K224</f>
        <v>63</v>
      </c>
    </row>
    <row r="222" spans="2:12">
      <c r="B222" s="891"/>
      <c r="C222" s="983" t="s">
        <v>20</v>
      </c>
      <c r="D222" s="983"/>
      <c r="E222" s="983"/>
      <c r="F222" s="87" t="s">
        <v>22</v>
      </c>
      <c r="G222" s="268" t="s">
        <v>111</v>
      </c>
      <c r="H222" s="87" t="s">
        <v>112</v>
      </c>
      <c r="I222" s="268" t="s">
        <v>113</v>
      </c>
      <c r="J222" s="268" t="s">
        <v>114</v>
      </c>
      <c r="K222" s="89" t="s">
        <v>25</v>
      </c>
      <c r="L222" s="90"/>
    </row>
    <row r="223" spans="2:12" ht="15" customHeight="1">
      <c r="B223" s="891"/>
      <c r="C223" s="984" t="s">
        <v>597</v>
      </c>
      <c r="D223" s="985"/>
      <c r="E223" s="986"/>
      <c r="F223" s="91">
        <v>1</v>
      </c>
      <c r="G223" s="91">
        <v>2.1</v>
      </c>
      <c r="H223" s="91">
        <v>1</v>
      </c>
      <c r="I223" s="91">
        <v>30</v>
      </c>
      <c r="J223" s="91">
        <v>0</v>
      </c>
      <c r="K223" s="89">
        <f>(G223*H223*I223*F223)-J223</f>
        <v>63</v>
      </c>
      <c r="L223" s="90"/>
    </row>
    <row r="224" spans="2:12">
      <c r="B224" s="891"/>
      <c r="C224" s="987" t="s">
        <v>116</v>
      </c>
      <c r="D224" s="987"/>
      <c r="E224" s="987"/>
      <c r="F224" s="987"/>
      <c r="G224" s="987"/>
      <c r="H224" s="987"/>
      <c r="I224" s="987"/>
      <c r="J224" s="987"/>
      <c r="K224" s="89">
        <f>SUM(K223:K223)</f>
        <v>63</v>
      </c>
      <c r="L224" s="90"/>
    </row>
    <row r="225" spans="2:12">
      <c r="B225" s="891"/>
      <c r="C225" s="211"/>
      <c r="D225" s="211"/>
      <c r="E225" s="211"/>
      <c r="F225" s="211"/>
      <c r="G225" s="211"/>
      <c r="H225" s="211"/>
      <c r="I225" s="211"/>
      <c r="J225" s="212"/>
      <c r="K225" s="90"/>
      <c r="L225" s="90"/>
    </row>
    <row r="226" spans="2:12">
      <c r="B226" s="292" t="s">
        <v>11</v>
      </c>
      <c r="C226" s="1093" t="s">
        <v>624</v>
      </c>
      <c r="D226" s="1093"/>
      <c r="E226" s="1093"/>
      <c r="F226" s="1093"/>
      <c r="G226" s="1093"/>
      <c r="H226" s="1093"/>
      <c r="I226" s="1093"/>
      <c r="J226" s="1093"/>
      <c r="K226" s="293"/>
      <c r="L226" s="293"/>
    </row>
    <row r="227" spans="2:12">
      <c r="B227" s="336"/>
      <c r="C227" s="211"/>
      <c r="D227" s="211"/>
      <c r="E227" s="211"/>
      <c r="F227" s="211"/>
      <c r="G227" s="211"/>
      <c r="H227" s="211"/>
      <c r="I227" s="211"/>
      <c r="J227" s="211"/>
      <c r="K227" s="212"/>
      <c r="L227" s="90"/>
    </row>
    <row r="228" spans="2:12">
      <c r="B228" s="336" t="s">
        <v>12</v>
      </c>
      <c r="C228" s="1024" t="s">
        <v>635</v>
      </c>
      <c r="D228" s="1025"/>
      <c r="E228" s="1025"/>
      <c r="F228" s="1025"/>
      <c r="G228" s="1025"/>
      <c r="H228" s="1025"/>
      <c r="I228" s="1025"/>
      <c r="J228" s="1026"/>
      <c r="K228" s="97" t="s">
        <v>7</v>
      </c>
      <c r="L228" s="97">
        <f>K231</f>
        <v>21</v>
      </c>
    </row>
    <row r="229" spans="2:12">
      <c r="B229" s="336"/>
      <c r="C229" s="983" t="s">
        <v>20</v>
      </c>
      <c r="D229" s="983"/>
      <c r="E229" s="983"/>
      <c r="F229" s="87" t="s">
        <v>22</v>
      </c>
      <c r="G229" s="333" t="s">
        <v>111</v>
      </c>
      <c r="H229" s="87" t="s">
        <v>112</v>
      </c>
      <c r="I229" s="333" t="s">
        <v>113</v>
      </c>
      <c r="J229" s="333" t="s">
        <v>114</v>
      </c>
      <c r="K229" s="89" t="s">
        <v>25</v>
      </c>
      <c r="L229" s="90"/>
    </row>
    <row r="230" spans="2:12">
      <c r="B230" s="336"/>
      <c r="C230" s="984" t="s">
        <v>587</v>
      </c>
      <c r="D230" s="985"/>
      <c r="E230" s="986"/>
      <c r="F230" s="91">
        <v>1</v>
      </c>
      <c r="G230" s="91">
        <v>2.1</v>
      </c>
      <c r="H230" s="91">
        <v>1</v>
      </c>
      <c r="I230" s="91">
        <v>10</v>
      </c>
      <c r="J230" s="91">
        <v>0</v>
      </c>
      <c r="K230" s="89">
        <f>(G230*H230*I230*F230)-J230</f>
        <v>21</v>
      </c>
      <c r="L230" s="90"/>
    </row>
    <row r="231" spans="2:12">
      <c r="B231" s="336"/>
      <c r="C231" s="987" t="s">
        <v>116</v>
      </c>
      <c r="D231" s="987"/>
      <c r="E231" s="987"/>
      <c r="F231" s="987"/>
      <c r="G231" s="987"/>
      <c r="H231" s="987"/>
      <c r="I231" s="987"/>
      <c r="J231" s="987"/>
      <c r="K231" s="89">
        <f>SUM(K230:K230)</f>
        <v>21</v>
      </c>
      <c r="L231" s="90"/>
    </row>
    <row r="232" spans="2:12">
      <c r="B232" s="86"/>
      <c r="C232" s="211"/>
      <c r="D232" s="211"/>
      <c r="E232" s="211"/>
      <c r="F232" s="211"/>
      <c r="G232" s="211"/>
      <c r="H232" s="211"/>
      <c r="I232" s="211"/>
      <c r="J232" s="211"/>
      <c r="K232" s="212"/>
      <c r="L232" s="90"/>
    </row>
    <row r="233" spans="2:12" hidden="1">
      <c r="B233" s="86"/>
      <c r="C233" s="983" t="s">
        <v>20</v>
      </c>
      <c r="D233" s="983"/>
      <c r="E233" s="983"/>
      <c r="F233" s="87" t="s">
        <v>22</v>
      </c>
      <c r="G233" s="268" t="s">
        <v>111</v>
      </c>
      <c r="H233" s="87" t="s">
        <v>112</v>
      </c>
      <c r="I233" s="268" t="s">
        <v>154</v>
      </c>
      <c r="J233" s="268" t="s">
        <v>114</v>
      </c>
      <c r="K233" s="89" t="s">
        <v>25</v>
      </c>
      <c r="L233" s="90"/>
    </row>
    <row r="234" spans="2:12" hidden="1">
      <c r="B234" s="86"/>
      <c r="C234" s="1028" t="s">
        <v>159</v>
      </c>
      <c r="D234" s="1028"/>
      <c r="E234" s="1028"/>
      <c r="F234" s="91">
        <v>1</v>
      </c>
      <c r="G234" s="91">
        <v>5.05</v>
      </c>
      <c r="H234" s="91"/>
      <c r="I234" s="91">
        <f>6.6*2</f>
        <v>13.2</v>
      </c>
      <c r="J234" s="91">
        <v>3.88</v>
      </c>
      <c r="K234" s="269">
        <f>TRUNC(((G234*I234)*F234)-J234,2)</f>
        <v>62.78</v>
      </c>
      <c r="L234" s="90"/>
    </row>
    <row r="235" spans="2:12" hidden="1">
      <c r="B235" s="86"/>
      <c r="C235" s="1028" t="s">
        <v>156</v>
      </c>
      <c r="D235" s="1028"/>
      <c r="E235" s="1028"/>
      <c r="F235" s="91">
        <v>1</v>
      </c>
      <c r="G235" s="91">
        <v>5.05</v>
      </c>
      <c r="H235" s="91"/>
      <c r="I235" s="91">
        <v>9</v>
      </c>
      <c r="J235" s="91"/>
      <c r="K235" s="269">
        <f>TRUNC(((G235*I235)*F235),2)</f>
        <v>45.45</v>
      </c>
      <c r="L235" s="90"/>
    </row>
    <row r="236" spans="2:12" hidden="1">
      <c r="B236" s="86"/>
      <c r="C236" s="1028" t="s">
        <v>160</v>
      </c>
      <c r="D236" s="1028"/>
      <c r="E236" s="1028"/>
      <c r="F236" s="91">
        <v>2</v>
      </c>
      <c r="G236" s="91">
        <v>2.6</v>
      </c>
      <c r="H236" s="91"/>
      <c r="I236" s="91">
        <f>4.2+3.15+2.15+(1.05*2)</f>
        <v>11.6</v>
      </c>
      <c r="J236" s="91"/>
      <c r="K236" s="269">
        <f>TRUNC(((G236*I236)*F236),2)</f>
        <v>60.32</v>
      </c>
      <c r="L236" s="90"/>
    </row>
    <row r="237" spans="2:12" hidden="1">
      <c r="B237" s="86"/>
      <c r="C237" s="1028" t="s">
        <v>161</v>
      </c>
      <c r="D237" s="1028"/>
      <c r="E237" s="1028"/>
      <c r="F237" s="91">
        <v>2</v>
      </c>
      <c r="G237" s="91">
        <v>2.1</v>
      </c>
      <c r="H237" s="91"/>
      <c r="I237" s="91">
        <v>2.2000000000000002</v>
      </c>
      <c r="J237" s="91"/>
      <c r="K237" s="269">
        <f>TRUNC(((G237*I237)*F237),2)</f>
        <v>9.24</v>
      </c>
      <c r="L237" s="90"/>
    </row>
    <row r="238" spans="2:12" hidden="1">
      <c r="B238" s="86"/>
      <c r="C238" s="987" t="s">
        <v>116</v>
      </c>
      <c r="D238" s="987"/>
      <c r="E238" s="987"/>
      <c r="F238" s="987"/>
      <c r="G238" s="987"/>
      <c r="H238" s="987"/>
      <c r="I238" s="987"/>
      <c r="J238" s="987"/>
      <c r="K238" s="89">
        <f>SUM(K234:K237)</f>
        <v>177.79000000000002</v>
      </c>
      <c r="L238" s="90"/>
    </row>
    <row r="239" spans="2:12" hidden="1">
      <c r="B239" s="219"/>
      <c r="C239" s="219"/>
      <c r="D239" s="219"/>
      <c r="E239" s="219"/>
      <c r="F239" s="219"/>
      <c r="G239" s="219"/>
      <c r="H239" s="219"/>
      <c r="I239" s="219"/>
      <c r="J239" s="219"/>
      <c r="K239" s="219"/>
      <c r="L239" s="219"/>
    </row>
    <row r="240" spans="2:12" ht="24" hidden="1" customHeight="1">
      <c r="B240" s="85" t="str">
        <f>'[6]PLANILHA ORÇAMENTÁRIA'!D49</f>
        <v>8.2</v>
      </c>
      <c r="C240" s="1032" t="str">
        <f>'[6]PLANILHA ORÇAMENTÁRIA'!E49</f>
        <v>EMBOÇO, PARA RECEBIMENTO DE CERÂMICA, EM ARGAMASSA TRAÇO 1:2:8, PREPARO MECÂNICO COM BETONEIRA 400L, APLICADO MANUALMENTE EM FACES INTERNAS DE PAREDES, PARA AMBIENTE COM ÁREA MAIOR QUE 10M2, ESPESSURA DE 10MM, COM EXECUÇÃO DE TALISCAS. AF_06/2014</v>
      </c>
      <c r="D240" s="1032"/>
      <c r="E240" s="1032"/>
      <c r="F240" s="1032"/>
      <c r="G240" s="1032"/>
      <c r="H240" s="1032"/>
      <c r="I240" s="1032"/>
      <c r="J240" s="1032"/>
      <c r="K240" s="294" t="str">
        <f>'[6]PLANILHA ORÇAMENTÁRIA'!F49</f>
        <v>M2</v>
      </c>
      <c r="L240" s="295">
        <f>K246</f>
        <v>177.79000000000002</v>
      </c>
    </row>
    <row r="241" spans="2:12" hidden="1">
      <c r="B241" s="86"/>
      <c r="C241" s="983" t="s">
        <v>20</v>
      </c>
      <c r="D241" s="983"/>
      <c r="E241" s="983"/>
      <c r="F241" s="87" t="s">
        <v>22</v>
      </c>
      <c r="G241" s="268" t="s">
        <v>111</v>
      </c>
      <c r="H241" s="87" t="s">
        <v>112</v>
      </c>
      <c r="I241" s="268" t="s">
        <v>154</v>
      </c>
      <c r="J241" s="268" t="s">
        <v>114</v>
      </c>
      <c r="K241" s="89" t="s">
        <v>25</v>
      </c>
      <c r="L241" s="90"/>
    </row>
    <row r="242" spans="2:12" ht="15" hidden="1" customHeight="1">
      <c r="B242" s="86"/>
      <c r="C242" s="1028" t="s">
        <v>159</v>
      </c>
      <c r="D242" s="1028"/>
      <c r="E242" s="1028"/>
      <c r="F242" s="91">
        <v>1</v>
      </c>
      <c r="G242" s="91">
        <v>5.05</v>
      </c>
      <c r="H242" s="91"/>
      <c r="I242" s="91">
        <f>6.6*2</f>
        <v>13.2</v>
      </c>
      <c r="J242" s="91">
        <v>3.88</v>
      </c>
      <c r="K242" s="269">
        <f>TRUNC(((G242*I242)*F242)-J242,2)</f>
        <v>62.78</v>
      </c>
      <c r="L242" s="90"/>
    </row>
    <row r="243" spans="2:12" hidden="1">
      <c r="B243" s="86"/>
      <c r="C243" s="1028" t="s">
        <v>156</v>
      </c>
      <c r="D243" s="1028"/>
      <c r="E243" s="1028"/>
      <c r="F243" s="91">
        <v>1</v>
      </c>
      <c r="G243" s="91">
        <v>5.05</v>
      </c>
      <c r="H243" s="91"/>
      <c r="I243" s="91">
        <v>9</v>
      </c>
      <c r="J243" s="91"/>
      <c r="K243" s="269">
        <f>TRUNC(((G243*I243)*F243),2)</f>
        <v>45.45</v>
      </c>
      <c r="L243" s="90"/>
    </row>
    <row r="244" spans="2:12" ht="15" hidden="1" customHeight="1">
      <c r="B244" s="86"/>
      <c r="C244" s="1028" t="s">
        <v>160</v>
      </c>
      <c r="D244" s="1028"/>
      <c r="E244" s="1028"/>
      <c r="F244" s="91">
        <v>2</v>
      </c>
      <c r="G244" s="91">
        <v>2.6</v>
      </c>
      <c r="H244" s="91"/>
      <c r="I244" s="91">
        <f>4.2+3.15+2.15+(1.05*2)</f>
        <v>11.6</v>
      </c>
      <c r="J244" s="91"/>
      <c r="K244" s="269">
        <f>TRUNC(((G244*I244)*F244),2)</f>
        <v>60.32</v>
      </c>
      <c r="L244" s="90"/>
    </row>
    <row r="245" spans="2:12" ht="15" hidden="1" customHeight="1">
      <c r="B245" s="86"/>
      <c r="C245" s="1028" t="s">
        <v>161</v>
      </c>
      <c r="D245" s="1028"/>
      <c r="E245" s="1028"/>
      <c r="F245" s="91">
        <v>2</v>
      </c>
      <c r="G245" s="91">
        <v>2.1</v>
      </c>
      <c r="H245" s="91"/>
      <c r="I245" s="91">
        <v>2.2000000000000002</v>
      </c>
      <c r="J245" s="91"/>
      <c r="K245" s="269">
        <f>TRUNC(((G245*I245)*F245),2)</f>
        <v>9.24</v>
      </c>
      <c r="L245" s="90"/>
    </row>
    <row r="246" spans="2:12" hidden="1">
      <c r="B246" s="86"/>
      <c r="C246" s="987" t="s">
        <v>116</v>
      </c>
      <c r="D246" s="987"/>
      <c r="E246" s="987"/>
      <c r="F246" s="987"/>
      <c r="G246" s="987"/>
      <c r="H246" s="987"/>
      <c r="I246" s="987"/>
      <c r="J246" s="987"/>
      <c r="K246" s="89">
        <f>SUM(K242:K245)</f>
        <v>177.79000000000002</v>
      </c>
      <c r="L246" s="90"/>
    </row>
    <row r="247" spans="2:12" hidden="1">
      <c r="B247" s="219"/>
      <c r="C247" s="219"/>
      <c r="D247" s="219"/>
      <c r="E247" s="219"/>
      <c r="F247" s="219"/>
      <c r="G247" s="219"/>
      <c r="H247" s="219"/>
      <c r="I247" s="219"/>
      <c r="J247" s="219"/>
      <c r="K247" s="219"/>
      <c r="L247" s="219"/>
    </row>
    <row r="248" spans="2:12" hidden="1">
      <c r="B248" s="86"/>
      <c r="C248" s="987" t="s">
        <v>116</v>
      </c>
      <c r="D248" s="987"/>
      <c r="E248" s="987"/>
      <c r="F248" s="987"/>
      <c r="G248" s="987"/>
      <c r="H248" s="987"/>
      <c r="I248" s="987"/>
      <c r="J248" s="987"/>
      <c r="K248" s="89" t="e">
        <f>SUM(#REF!)</f>
        <v>#REF!</v>
      </c>
      <c r="L248" s="90"/>
    </row>
    <row r="249" spans="2:12" hidden="1">
      <c r="B249" s="219"/>
      <c r="C249" s="219"/>
      <c r="D249" s="219"/>
      <c r="E249" s="219"/>
      <c r="F249" s="219"/>
      <c r="G249" s="219"/>
      <c r="H249" s="219"/>
      <c r="I249" s="219"/>
      <c r="J249" s="219"/>
      <c r="K249" s="219"/>
      <c r="L249" s="219"/>
    </row>
    <row r="250" spans="2:12" ht="15" hidden="1" customHeight="1">
      <c r="B250" s="86"/>
      <c r="C250" s="984" t="s">
        <v>162</v>
      </c>
      <c r="D250" s="985"/>
      <c r="E250" s="986"/>
      <c r="F250" s="91"/>
      <c r="G250" s="91"/>
      <c r="H250" s="91">
        <v>1.8</v>
      </c>
      <c r="I250" s="91">
        <v>14.3</v>
      </c>
      <c r="J250" s="91"/>
      <c r="K250" s="296">
        <f>H250*I250</f>
        <v>25.740000000000002</v>
      </c>
      <c r="L250" s="90"/>
    </row>
    <row r="251" spans="2:12" ht="15" hidden="1" customHeight="1">
      <c r="B251" s="86"/>
      <c r="C251" s="984" t="s">
        <v>162</v>
      </c>
      <c r="D251" s="985"/>
      <c r="E251" s="986"/>
      <c r="F251" s="91">
        <v>2</v>
      </c>
      <c r="G251" s="91"/>
      <c r="H251" s="91">
        <v>1.6</v>
      </c>
      <c r="I251" s="91">
        <v>4</v>
      </c>
      <c r="J251" s="91"/>
      <c r="K251" s="296">
        <f>F251*H251*I251</f>
        <v>12.8</v>
      </c>
      <c r="L251" s="90"/>
    </row>
    <row r="252" spans="2:12" ht="15" hidden="1" customHeight="1">
      <c r="B252" s="86"/>
      <c r="C252" s="984" t="s">
        <v>163</v>
      </c>
      <c r="D252" s="985"/>
      <c r="E252" s="986"/>
      <c r="F252" s="91"/>
      <c r="G252" s="91"/>
      <c r="H252" s="91"/>
      <c r="I252" s="91"/>
      <c r="J252" s="91">
        <v>109.24</v>
      </c>
      <c r="K252" s="296">
        <f>-J252</f>
        <v>-109.24</v>
      </c>
      <c r="L252" s="90"/>
    </row>
    <row r="253" spans="2:12" hidden="1">
      <c r="B253" s="86"/>
      <c r="C253" s="1028" t="s">
        <v>164</v>
      </c>
      <c r="D253" s="1028"/>
      <c r="E253" s="1028"/>
      <c r="F253" s="91"/>
      <c r="G253" s="91"/>
      <c r="H253" s="91">
        <v>1.05</v>
      </c>
      <c r="I253" s="91">
        <v>1.85</v>
      </c>
      <c r="J253" s="91"/>
      <c r="K253" s="269">
        <f>TRUNC(H253*I253,2)</f>
        <v>1.94</v>
      </c>
      <c r="L253" s="90"/>
    </row>
    <row r="254" spans="2:12" hidden="1">
      <c r="B254" s="86"/>
      <c r="C254" s="983" t="s">
        <v>20</v>
      </c>
      <c r="D254" s="983"/>
      <c r="E254" s="983"/>
      <c r="F254" s="87" t="s">
        <v>22</v>
      </c>
      <c r="G254" s="268" t="s">
        <v>111</v>
      </c>
      <c r="H254" s="87" t="s">
        <v>112</v>
      </c>
      <c r="I254" s="268" t="s">
        <v>113</v>
      </c>
      <c r="J254" s="268" t="s">
        <v>114</v>
      </c>
      <c r="K254" s="89" t="s">
        <v>25</v>
      </c>
      <c r="L254" s="90"/>
    </row>
    <row r="255" spans="2:12" ht="15" hidden="1" customHeight="1">
      <c r="B255" s="86"/>
      <c r="C255" s="1028" t="s">
        <v>165</v>
      </c>
      <c r="D255" s="1028"/>
      <c r="E255" s="1028"/>
      <c r="F255" s="91"/>
      <c r="G255" s="91"/>
      <c r="H255" s="91">
        <v>6.4740000000000002</v>
      </c>
      <c r="I255" s="91">
        <v>7.5</v>
      </c>
      <c r="J255" s="91">
        <v>1.75</v>
      </c>
      <c r="K255" s="269">
        <f>TRUNC(H255*I255-J255,2)</f>
        <v>46.8</v>
      </c>
      <c r="L255" s="90"/>
    </row>
    <row r="256" spans="2:12" ht="22.5" hidden="1" customHeight="1">
      <c r="B256" s="85" t="str">
        <f>'[6]PLANILHA ORÇAMENTÁRIA'!D68</f>
        <v>10.2</v>
      </c>
      <c r="C256" s="1032" t="str">
        <f>'[6]PLANILHA ORÇAMENTÁRIA'!E68</f>
        <v>FECHADURA DE EMBUTIR COM CILINDRO, EXTERNA, COMPLETA, ACABAMENTO PADRÃO POPULAR, INCLUSO EXECUÇÃO DE FURO - FORNECIMENTO E INSTALAÇÃO. AF_08/2015</v>
      </c>
      <c r="D256" s="1032"/>
      <c r="E256" s="1032"/>
      <c r="F256" s="1032"/>
      <c r="G256" s="1032"/>
      <c r="H256" s="1032"/>
      <c r="I256" s="1032"/>
      <c r="J256" s="1032"/>
      <c r="K256" s="294" t="str">
        <f>'[6]PLANILHA ORÇAMENTÁRIA'!F68</f>
        <v>UND</v>
      </c>
      <c r="L256" s="295" t="e">
        <f>#REF!</f>
        <v>#REF!</v>
      </c>
    </row>
    <row r="257" spans="2:12" hidden="1">
      <c r="B257" s="86"/>
      <c r="C257" s="983" t="s">
        <v>20</v>
      </c>
      <c r="D257" s="983"/>
      <c r="E257" s="983"/>
      <c r="F257" s="87" t="s">
        <v>22</v>
      </c>
      <c r="G257" s="268" t="s">
        <v>111</v>
      </c>
      <c r="H257" s="268" t="s">
        <v>114</v>
      </c>
      <c r="I257" s="268" t="s">
        <v>113</v>
      </c>
      <c r="J257" s="268" t="s">
        <v>136</v>
      </c>
      <c r="K257" s="89" t="s">
        <v>25</v>
      </c>
      <c r="L257" s="90"/>
    </row>
    <row r="258" spans="2:12" ht="27" hidden="1" customHeight="1">
      <c r="B258" s="86"/>
      <c r="C258" s="1028" t="s">
        <v>166</v>
      </c>
      <c r="D258" s="1028"/>
      <c r="E258" s="1028"/>
      <c r="F258" s="91">
        <v>3</v>
      </c>
      <c r="G258" s="91"/>
      <c r="H258" s="91"/>
      <c r="I258" s="91"/>
      <c r="J258" s="91"/>
      <c r="K258" s="269"/>
      <c r="L258" s="90"/>
    </row>
    <row r="259" spans="2:12" ht="15" hidden="1" customHeight="1">
      <c r="B259" s="85" t="str">
        <f>'[6]PLANILHA ORÇAMENTÁRIA'!D72</f>
        <v>11.2</v>
      </c>
      <c r="C259" s="1032" t="str">
        <f>'[6]PLANILHA ORÇAMENTÁRIA'!E72</f>
        <v>CAIXA D'ÁGUA EM POLIETILENO, 500 LITROS, COM ACESSÓRIOS.</v>
      </c>
      <c r="D259" s="1032"/>
      <c r="E259" s="1032"/>
      <c r="F259" s="1032"/>
      <c r="G259" s="1032"/>
      <c r="H259" s="1032"/>
      <c r="I259" s="1032"/>
      <c r="J259" s="1032"/>
      <c r="K259" s="294" t="str">
        <f>'[6]PLANILHA ORÇAMENTÁRIA'!F72</f>
        <v>UND</v>
      </c>
      <c r="L259" s="295" t="e">
        <f>#REF!</f>
        <v>#REF!</v>
      </c>
    </row>
    <row r="260" spans="2:12" hidden="1">
      <c r="B260" s="86"/>
      <c r="C260" s="983" t="s">
        <v>20</v>
      </c>
      <c r="D260" s="983"/>
      <c r="E260" s="983"/>
      <c r="F260" s="87" t="s">
        <v>22</v>
      </c>
      <c r="G260" s="268" t="s">
        <v>111</v>
      </c>
      <c r="H260" s="268" t="s">
        <v>114</v>
      </c>
      <c r="I260" s="268" t="s">
        <v>113</v>
      </c>
      <c r="J260" s="268" t="s">
        <v>136</v>
      </c>
      <c r="K260" s="89" t="s">
        <v>25</v>
      </c>
      <c r="L260" s="90"/>
    </row>
    <row r="261" spans="2:12" hidden="1">
      <c r="B261" s="86"/>
      <c r="C261" s="1028"/>
      <c r="D261" s="1028"/>
      <c r="E261" s="1028"/>
      <c r="F261" s="91">
        <v>2</v>
      </c>
      <c r="G261" s="91"/>
      <c r="H261" s="91"/>
      <c r="I261" s="91"/>
      <c r="J261" s="91"/>
      <c r="K261" s="269">
        <f>F261</f>
        <v>2</v>
      </c>
      <c r="L261" s="90"/>
    </row>
    <row r="262" spans="2:12" hidden="1">
      <c r="B262" s="86"/>
      <c r="C262" s="987" t="s">
        <v>116</v>
      </c>
      <c r="D262" s="987"/>
      <c r="E262" s="987"/>
      <c r="F262" s="987"/>
      <c r="G262" s="987"/>
      <c r="H262" s="987"/>
      <c r="I262" s="987"/>
      <c r="J262" s="987"/>
      <c r="K262" s="89" t="e">
        <f>SUM(#REF!)</f>
        <v>#REF!</v>
      </c>
      <c r="L262" s="90"/>
    </row>
    <row r="263" spans="2:12" hidden="1">
      <c r="B263" s="86"/>
      <c r="C263" s="211"/>
      <c r="D263" s="211"/>
      <c r="E263" s="211"/>
      <c r="F263" s="211"/>
      <c r="G263" s="211"/>
      <c r="H263" s="211"/>
      <c r="I263" s="211"/>
      <c r="J263" s="211"/>
      <c r="K263" s="212"/>
      <c r="L263" s="90"/>
    </row>
    <row r="264" spans="2:12" ht="22.5" hidden="1" customHeight="1">
      <c r="B264" s="85" t="str">
        <f>'[6]PLANILHA ORÇAMENTÁRIA'!D76</f>
        <v>11.6</v>
      </c>
      <c r="C264" s="1032" t="str">
        <f>'[6]PLANILHA ORÇAMENTÁRIA'!E76</f>
        <v>SIFÃO DO TIPO GARRAFA/COPO EM PVC 1.1/4 X 1.1/2" - FORNECIMENTO E INSTALAÇÃO. AF_12/2013</v>
      </c>
      <c r="D264" s="1032"/>
      <c r="E264" s="1032"/>
      <c r="F264" s="1032"/>
      <c r="G264" s="1032"/>
      <c r="H264" s="1032"/>
      <c r="I264" s="1032"/>
      <c r="J264" s="1032"/>
      <c r="K264" s="294" t="str">
        <f>'[6]PLANILHA ORÇAMENTÁRIA'!F76</f>
        <v>UND</v>
      </c>
      <c r="L264" s="295" t="e">
        <f>#REF!</f>
        <v>#REF!</v>
      </c>
    </row>
    <row r="265" spans="2:12" hidden="1">
      <c r="B265" s="86"/>
      <c r="C265" s="983" t="s">
        <v>20</v>
      </c>
      <c r="D265" s="983"/>
      <c r="E265" s="983"/>
      <c r="F265" s="87" t="s">
        <v>22</v>
      </c>
      <c r="G265" s="268" t="s">
        <v>111</v>
      </c>
      <c r="H265" s="268" t="s">
        <v>114</v>
      </c>
      <c r="I265" s="268" t="s">
        <v>113</v>
      </c>
      <c r="J265" s="268" t="s">
        <v>136</v>
      </c>
      <c r="K265" s="89" t="s">
        <v>25</v>
      </c>
      <c r="L265" s="90"/>
    </row>
    <row r="266" spans="2:12" hidden="1">
      <c r="B266" s="86"/>
      <c r="C266" s="1028"/>
      <c r="D266" s="1028"/>
      <c r="E266" s="1028"/>
      <c r="F266" s="91">
        <v>2</v>
      </c>
      <c r="G266" s="91"/>
      <c r="H266" s="91"/>
      <c r="I266" s="91"/>
      <c r="J266" s="91"/>
      <c r="K266" s="269">
        <f>F266</f>
        <v>2</v>
      </c>
      <c r="L266" s="90"/>
    </row>
    <row r="267" spans="2:12" hidden="1">
      <c r="B267" s="86"/>
      <c r="C267" s="987" t="s">
        <v>116</v>
      </c>
      <c r="D267" s="987"/>
      <c r="E267" s="987"/>
      <c r="F267" s="987"/>
      <c r="G267" s="987"/>
      <c r="H267" s="987"/>
      <c r="I267" s="987"/>
      <c r="J267" s="987"/>
      <c r="K267" s="89">
        <f>SUM(K266:K266)</f>
        <v>2</v>
      </c>
      <c r="L267" s="90"/>
    </row>
    <row r="268" spans="2:12" hidden="1">
      <c r="B268" s="86"/>
      <c r="C268" s="211"/>
      <c r="D268" s="211"/>
      <c r="E268" s="211"/>
      <c r="F268" s="211"/>
      <c r="G268" s="211"/>
      <c r="H268" s="211"/>
      <c r="I268" s="211"/>
      <c r="J268" s="211"/>
      <c r="K268" s="212"/>
      <c r="L268" s="90"/>
    </row>
    <row r="269" spans="2:12" ht="27.75" hidden="1" customHeight="1">
      <c r="B269" s="85" t="str">
        <f>'[6]PLANILHA ORÇAMENTÁRIA'!D80</f>
        <v>11.10</v>
      </c>
      <c r="C269" s="1032" t="str">
        <f>'[6]PLANILHA ORÇAMENTÁRIA'!E80</f>
        <v>TORNEIRA CROMADA DE MESA, 1/2" OU 3/4", PARA LAVATÓRIO, PADRÃO POPULAR - FORNECIMENTO E INSTALAÇÃO. AF_12/2013</v>
      </c>
      <c r="D269" s="1032"/>
      <c r="E269" s="1032"/>
      <c r="F269" s="1032"/>
      <c r="G269" s="1032"/>
      <c r="H269" s="1032"/>
      <c r="I269" s="1032"/>
      <c r="J269" s="1032"/>
      <c r="K269" s="294" t="str">
        <f>'[6]PLANILHA ORÇAMENTÁRIA'!F80</f>
        <v>UND</v>
      </c>
      <c r="L269" s="295" t="e">
        <f>#REF!</f>
        <v>#REF!</v>
      </c>
    </row>
    <row r="270" spans="2:12" hidden="1">
      <c r="B270" s="86"/>
      <c r="C270" s="1028"/>
      <c r="D270" s="1028"/>
      <c r="E270" s="1028"/>
      <c r="F270" s="91">
        <v>2</v>
      </c>
      <c r="G270" s="91"/>
      <c r="H270" s="91"/>
      <c r="I270" s="91"/>
      <c r="J270" s="91"/>
      <c r="K270" s="269">
        <f>F270</f>
        <v>2</v>
      </c>
      <c r="L270" s="90"/>
    </row>
    <row r="271" spans="2:12" hidden="1">
      <c r="B271" s="86"/>
      <c r="C271" s="987" t="s">
        <v>116</v>
      </c>
      <c r="D271" s="987"/>
      <c r="E271" s="987"/>
      <c r="F271" s="987"/>
      <c r="G271" s="987"/>
      <c r="H271" s="987"/>
      <c r="I271" s="987"/>
      <c r="J271" s="987"/>
      <c r="K271" s="89">
        <f>SUM(K270:K270)</f>
        <v>2</v>
      </c>
      <c r="L271" s="90"/>
    </row>
    <row r="272" spans="2:12" hidden="1">
      <c r="B272" s="86"/>
      <c r="C272" s="1028"/>
      <c r="D272" s="1028"/>
      <c r="E272" s="1028"/>
      <c r="F272" s="91">
        <v>1</v>
      </c>
      <c r="G272" s="91"/>
      <c r="H272" s="91"/>
      <c r="I272" s="91"/>
      <c r="J272" s="91"/>
      <c r="K272" s="269">
        <f>F272</f>
        <v>1</v>
      </c>
      <c r="L272" s="90"/>
    </row>
    <row r="273" spans="2:12" hidden="1">
      <c r="B273" s="86"/>
      <c r="C273" s="987" t="s">
        <v>116</v>
      </c>
      <c r="D273" s="987"/>
      <c r="E273" s="987"/>
      <c r="F273" s="987"/>
      <c r="G273" s="987"/>
      <c r="H273" s="987"/>
      <c r="I273" s="987"/>
      <c r="J273" s="987"/>
      <c r="K273" s="89">
        <f>SUM(K272:K272)</f>
        <v>1</v>
      </c>
      <c r="L273" s="90"/>
    </row>
    <row r="274" spans="2:12" hidden="1">
      <c r="B274" s="86"/>
      <c r="C274" s="211"/>
      <c r="D274" s="211"/>
      <c r="E274" s="211"/>
      <c r="F274" s="211"/>
      <c r="G274" s="211"/>
      <c r="H274" s="211"/>
      <c r="I274" s="211"/>
      <c r="J274" s="211"/>
      <c r="K274" s="212"/>
      <c r="L274" s="90"/>
    </row>
    <row r="275" spans="2:12" ht="31.5" hidden="1" customHeight="1">
      <c r="B275" s="85" t="str">
        <f>'[6]PLANILHA ORÇAMENTÁRIA'!D83</f>
        <v>11.13</v>
      </c>
      <c r="C275" s="1032" t="str">
        <f>'[6]PLANILHA ORÇAMENTÁRIA'!E83</f>
        <v>JOELHO 45 GRAUS, PVC, SERIE NORMAL, ESGOTO PREDIAL, DN 40 MM, JUNTA SOLDÁVEL, FORNECIDO E INSTALADO EM RAMAL DE DESCARGA OU RAMAL DE ESGOTO SANITÁRIO. AF_12/2014.</v>
      </c>
      <c r="D275" s="1032"/>
      <c r="E275" s="1032"/>
      <c r="F275" s="1032"/>
      <c r="G275" s="1032"/>
      <c r="H275" s="1032"/>
      <c r="I275" s="1032"/>
      <c r="J275" s="1032"/>
      <c r="K275" s="294" t="str">
        <f>'[6]PLANILHA ORÇAMENTÁRIA'!F83</f>
        <v>UND</v>
      </c>
      <c r="L275" s="295">
        <f>K278</f>
        <v>3</v>
      </c>
    </row>
    <row r="276" spans="2:12" hidden="1">
      <c r="B276" s="86"/>
      <c r="C276" s="983" t="s">
        <v>20</v>
      </c>
      <c r="D276" s="983"/>
      <c r="E276" s="983"/>
      <c r="F276" s="87" t="s">
        <v>22</v>
      </c>
      <c r="G276" s="268" t="s">
        <v>111</v>
      </c>
      <c r="H276" s="268" t="s">
        <v>114</v>
      </c>
      <c r="I276" s="268" t="s">
        <v>113</v>
      </c>
      <c r="J276" s="268" t="s">
        <v>136</v>
      </c>
      <c r="K276" s="89" t="s">
        <v>25</v>
      </c>
      <c r="L276" s="90"/>
    </row>
    <row r="277" spans="2:12" hidden="1">
      <c r="B277" s="86"/>
      <c r="C277" s="1028"/>
      <c r="D277" s="1028"/>
      <c r="E277" s="1028"/>
      <c r="F277" s="91">
        <v>3</v>
      </c>
      <c r="G277" s="91"/>
      <c r="H277" s="91"/>
      <c r="I277" s="91"/>
      <c r="J277" s="91"/>
      <c r="K277" s="269">
        <f>F277</f>
        <v>3</v>
      </c>
      <c r="L277" s="90"/>
    </row>
    <row r="278" spans="2:12" hidden="1">
      <c r="B278" s="86"/>
      <c r="C278" s="987" t="s">
        <v>116</v>
      </c>
      <c r="D278" s="987"/>
      <c r="E278" s="987"/>
      <c r="F278" s="987"/>
      <c r="G278" s="987"/>
      <c r="H278" s="987"/>
      <c r="I278" s="987"/>
      <c r="J278" s="987"/>
      <c r="K278" s="89">
        <f>SUM(K277:K277)</f>
        <v>3</v>
      </c>
      <c r="L278" s="90"/>
    </row>
    <row r="279" spans="2:12" hidden="1">
      <c r="B279" s="219"/>
      <c r="C279" s="219"/>
      <c r="D279" s="219"/>
      <c r="E279" s="219"/>
      <c r="F279" s="219"/>
      <c r="G279" s="219"/>
      <c r="H279" s="219"/>
      <c r="I279" s="219"/>
      <c r="J279" s="219"/>
      <c r="K279" s="219"/>
      <c r="L279" s="219"/>
    </row>
    <row r="280" spans="2:12" ht="29.25" hidden="1" customHeight="1">
      <c r="B280" s="85" t="str">
        <f>'[6]PLANILHA ORÇAMENTÁRIA'!D84</f>
        <v>11.14</v>
      </c>
      <c r="C280" s="1032" t="str">
        <f>'[6]PLANILHA ORÇAMENTÁRIA'!E84</f>
        <v>JOELHO 90 GRAUS, PVC, SERIE NORMAL, ESGOTO PREDIAL, DN 40 MM, JUNTA SOLDÁVEL, FORNECIDO E INSTALADO EM RAMAL DE DESCARGA OU RAMAL DE ESGOTO SANITÁRIO. AF_12/2014.</v>
      </c>
      <c r="D280" s="1032"/>
      <c r="E280" s="1032"/>
      <c r="F280" s="1032"/>
      <c r="G280" s="1032"/>
      <c r="H280" s="1032"/>
      <c r="I280" s="1032"/>
      <c r="J280" s="1032"/>
      <c r="K280" s="294" t="str">
        <f>'[6]PLANILHA ORÇAMENTÁRIA'!F84</f>
        <v>UND</v>
      </c>
      <c r="L280" s="295">
        <f>K283</f>
        <v>3</v>
      </c>
    </row>
    <row r="281" spans="2:12" hidden="1">
      <c r="B281" s="86"/>
      <c r="C281" s="983" t="s">
        <v>20</v>
      </c>
      <c r="D281" s="983"/>
      <c r="E281" s="983"/>
      <c r="F281" s="87" t="s">
        <v>22</v>
      </c>
      <c r="G281" s="268" t="s">
        <v>111</v>
      </c>
      <c r="H281" s="268" t="s">
        <v>114</v>
      </c>
      <c r="I281" s="268" t="s">
        <v>113</v>
      </c>
      <c r="J281" s="268" t="s">
        <v>136</v>
      </c>
      <c r="K281" s="89" t="s">
        <v>25</v>
      </c>
      <c r="L281" s="90"/>
    </row>
    <row r="282" spans="2:12" hidden="1">
      <c r="B282" s="86"/>
      <c r="C282" s="1028"/>
      <c r="D282" s="1028"/>
      <c r="E282" s="1028"/>
      <c r="F282" s="91">
        <v>3</v>
      </c>
      <c r="G282" s="91"/>
      <c r="H282" s="91"/>
      <c r="I282" s="91"/>
      <c r="J282" s="91"/>
      <c r="K282" s="269">
        <f>F282</f>
        <v>3</v>
      </c>
      <c r="L282" s="90"/>
    </row>
    <row r="283" spans="2:12" hidden="1">
      <c r="B283" s="86"/>
      <c r="C283" s="987" t="s">
        <v>116</v>
      </c>
      <c r="D283" s="987"/>
      <c r="E283" s="987"/>
      <c r="F283" s="987"/>
      <c r="G283" s="987"/>
      <c r="H283" s="987"/>
      <c r="I283" s="987"/>
      <c r="J283" s="987"/>
      <c r="K283" s="89">
        <f>SUM(K282:K282)</f>
        <v>3</v>
      </c>
      <c r="L283" s="90"/>
    </row>
    <row r="284" spans="2:12" hidden="1">
      <c r="B284" s="219"/>
      <c r="C284" s="219"/>
      <c r="D284" s="219"/>
      <c r="E284" s="219"/>
      <c r="F284" s="219"/>
      <c r="G284" s="219"/>
      <c r="H284" s="219"/>
      <c r="I284" s="219"/>
      <c r="J284" s="219"/>
      <c r="K284" s="219"/>
      <c r="L284" s="219"/>
    </row>
    <row r="285" spans="2:12" ht="25.5" hidden="1" customHeight="1">
      <c r="B285" s="85" t="str">
        <f>'[6]PLANILHA ORÇAMENTÁRIA'!D85</f>
        <v>11.15</v>
      </c>
      <c r="C285" s="1032" t="str">
        <f>'[6]PLANILHA ORÇAMENTÁRIA'!E85</f>
        <v>TUBO PVC, SERIE NORMAL, ESGOTO PREDIAL, DN 40 MM, FORNECIDO E INSTALADO EM RAMAL DE DESCARGA OU RAMAL DE ESGOTO SANITÁRIO. AF_12/2014.</v>
      </c>
      <c r="D285" s="1032"/>
      <c r="E285" s="1032"/>
      <c r="F285" s="1032"/>
      <c r="G285" s="1032"/>
      <c r="H285" s="1032"/>
      <c r="I285" s="1032"/>
      <c r="J285" s="1032"/>
      <c r="K285" s="294" t="str">
        <f>'[6]PLANILHA ORÇAMENTÁRIA'!F85</f>
        <v>M</v>
      </c>
      <c r="L285" s="295">
        <f>K288</f>
        <v>6</v>
      </c>
    </row>
    <row r="286" spans="2:12" hidden="1">
      <c r="B286" s="86"/>
      <c r="C286" s="983" t="s">
        <v>20</v>
      </c>
      <c r="D286" s="983"/>
      <c r="E286" s="983"/>
      <c r="F286" s="87" t="s">
        <v>22</v>
      </c>
      <c r="G286" s="268" t="s">
        <v>111</v>
      </c>
      <c r="H286" s="268" t="s">
        <v>114</v>
      </c>
      <c r="I286" s="268" t="s">
        <v>113</v>
      </c>
      <c r="J286" s="268" t="s">
        <v>136</v>
      </c>
      <c r="K286" s="89" t="s">
        <v>25</v>
      </c>
      <c r="L286" s="90"/>
    </row>
    <row r="287" spans="2:12" hidden="1">
      <c r="B287" s="86"/>
      <c r="C287" s="1028"/>
      <c r="D287" s="1028"/>
      <c r="E287" s="1028"/>
      <c r="F287" s="91">
        <v>6</v>
      </c>
      <c r="G287" s="91"/>
      <c r="H287" s="91"/>
      <c r="I287" s="91"/>
      <c r="J287" s="91"/>
      <c r="K287" s="269">
        <f>F287</f>
        <v>6</v>
      </c>
      <c r="L287" s="90"/>
    </row>
    <row r="288" spans="2:12" hidden="1">
      <c r="B288" s="86"/>
      <c r="C288" s="987" t="s">
        <v>116</v>
      </c>
      <c r="D288" s="987"/>
      <c r="E288" s="987"/>
      <c r="F288" s="987"/>
      <c r="G288" s="987"/>
      <c r="H288" s="987"/>
      <c r="I288" s="987"/>
      <c r="J288" s="987"/>
      <c r="K288" s="89">
        <f>SUM(K287:K287)</f>
        <v>6</v>
      </c>
      <c r="L288" s="90"/>
    </row>
    <row r="289" spans="2:12" hidden="1">
      <c r="B289" s="219"/>
      <c r="C289" s="219"/>
      <c r="D289" s="219"/>
      <c r="E289" s="219"/>
      <c r="F289" s="219"/>
      <c r="G289" s="219"/>
      <c r="H289" s="219"/>
      <c r="I289" s="219"/>
      <c r="J289" s="219"/>
      <c r="K289" s="219"/>
      <c r="L289" s="219"/>
    </row>
    <row r="290" spans="2:12" ht="25.5" hidden="1" customHeight="1">
      <c r="B290" s="85" t="str">
        <f>'[6]PLANILHA ORÇAMENTÁRIA'!D86</f>
        <v>11.16</v>
      </c>
      <c r="C290" s="1032" t="str">
        <f>'[6]PLANILHA ORÇAMENTÁRIA'!E86</f>
        <v>LUVA SIMPLES, PVC, SERIE NORMAL, ESGOTO PREDIAL, DN 40 MM, JUNTA SOLDÁVEL, FORNECIDO E INSTALADO EM RAMAL DE DESCARGA OU RAMAL DE ESGOTO SANITÁRIO. AF_12/2014</v>
      </c>
      <c r="D290" s="1032"/>
      <c r="E290" s="1032"/>
      <c r="F290" s="1032"/>
      <c r="G290" s="1032"/>
      <c r="H290" s="1032"/>
      <c r="I290" s="1032"/>
      <c r="J290" s="1032"/>
      <c r="K290" s="294" t="str">
        <f>'[6]PLANILHA ORÇAMENTÁRIA'!F86</f>
        <v>UND</v>
      </c>
      <c r="L290" s="295">
        <f>K293</f>
        <v>3</v>
      </c>
    </row>
    <row r="291" spans="2:12" hidden="1">
      <c r="B291" s="86"/>
      <c r="C291" s="983" t="s">
        <v>20</v>
      </c>
      <c r="D291" s="983"/>
      <c r="E291" s="983"/>
      <c r="F291" s="87" t="s">
        <v>22</v>
      </c>
      <c r="G291" s="268" t="s">
        <v>111</v>
      </c>
      <c r="H291" s="268" t="s">
        <v>114</v>
      </c>
      <c r="I291" s="268" t="s">
        <v>113</v>
      </c>
      <c r="J291" s="268" t="s">
        <v>136</v>
      </c>
      <c r="K291" s="89" t="s">
        <v>25</v>
      </c>
      <c r="L291" s="90"/>
    </row>
    <row r="292" spans="2:12" hidden="1">
      <c r="B292" s="86"/>
      <c r="C292" s="1028"/>
      <c r="D292" s="1028"/>
      <c r="E292" s="1028"/>
      <c r="F292" s="91">
        <v>3</v>
      </c>
      <c r="G292" s="91"/>
      <c r="H292" s="91"/>
      <c r="I292" s="91"/>
      <c r="J292" s="91"/>
      <c r="K292" s="269">
        <f>F292</f>
        <v>3</v>
      </c>
      <c r="L292" s="90"/>
    </row>
    <row r="293" spans="2:12" hidden="1">
      <c r="B293" s="86"/>
      <c r="C293" s="987" t="s">
        <v>116</v>
      </c>
      <c r="D293" s="987"/>
      <c r="E293" s="987"/>
      <c r="F293" s="987"/>
      <c r="G293" s="987"/>
      <c r="H293" s="987"/>
      <c r="I293" s="987"/>
      <c r="J293" s="987"/>
      <c r="K293" s="89">
        <f>SUM(K292:K292)</f>
        <v>3</v>
      </c>
      <c r="L293" s="90"/>
    </row>
    <row r="294" spans="2:12" hidden="1">
      <c r="B294" s="219"/>
      <c r="C294" s="219"/>
      <c r="D294" s="219"/>
      <c r="E294" s="219"/>
      <c r="F294" s="219"/>
      <c r="G294" s="219"/>
      <c r="H294" s="219"/>
      <c r="I294" s="219"/>
      <c r="J294" s="219"/>
      <c r="K294" s="219"/>
      <c r="L294" s="219"/>
    </row>
    <row r="295" spans="2:12" ht="27.75" hidden="1" customHeight="1">
      <c r="B295" s="85" t="str">
        <f>'[6]PLANILHA ORÇAMENTÁRIA'!D87</f>
        <v>11.17</v>
      </c>
      <c r="C295" s="1032" t="str">
        <f>'[6]PLANILHA ORÇAMENTÁRIA'!E87</f>
        <v>TUBO PVC, SERIE NORMAL, ESGOTO PREDIAL, DN 50 MM, FORNECIDO E INSTALADO EM RAMAL DE DESCARGA OU RAMAL DE ESGOTO SANITÁRIO. AF_12/2014.</v>
      </c>
      <c r="D295" s="1032"/>
      <c r="E295" s="1032"/>
      <c r="F295" s="1032"/>
      <c r="G295" s="1032"/>
      <c r="H295" s="1032"/>
      <c r="I295" s="1032"/>
      <c r="J295" s="1032"/>
      <c r="K295" s="294" t="str">
        <f>'[6]PLANILHA ORÇAMENTÁRIA'!F87</f>
        <v>M</v>
      </c>
      <c r="L295" s="295">
        <f>K298</f>
        <v>6</v>
      </c>
    </row>
    <row r="296" spans="2:12" hidden="1">
      <c r="B296" s="86"/>
      <c r="C296" s="983" t="s">
        <v>20</v>
      </c>
      <c r="D296" s="983"/>
      <c r="E296" s="983"/>
      <c r="F296" s="87" t="s">
        <v>22</v>
      </c>
      <c r="G296" s="268" t="s">
        <v>111</v>
      </c>
      <c r="H296" s="268" t="s">
        <v>114</v>
      </c>
      <c r="I296" s="268" t="s">
        <v>113</v>
      </c>
      <c r="J296" s="268" t="s">
        <v>136</v>
      </c>
      <c r="K296" s="89" t="s">
        <v>25</v>
      </c>
      <c r="L296" s="90"/>
    </row>
    <row r="297" spans="2:12" hidden="1">
      <c r="B297" s="86"/>
      <c r="C297" s="1028"/>
      <c r="D297" s="1028"/>
      <c r="E297" s="1028"/>
      <c r="F297" s="91">
        <v>6</v>
      </c>
      <c r="G297" s="91"/>
      <c r="H297" s="91"/>
      <c r="I297" s="91"/>
      <c r="J297" s="91"/>
      <c r="K297" s="269">
        <f>F297</f>
        <v>6</v>
      </c>
      <c r="L297" s="90"/>
    </row>
    <row r="298" spans="2:12" hidden="1">
      <c r="B298" s="86"/>
      <c r="C298" s="987" t="s">
        <v>116</v>
      </c>
      <c r="D298" s="987"/>
      <c r="E298" s="987"/>
      <c r="F298" s="987"/>
      <c r="G298" s="987"/>
      <c r="H298" s="987"/>
      <c r="I298" s="987"/>
      <c r="J298" s="987"/>
      <c r="K298" s="89">
        <f>SUM(K297:K297)</f>
        <v>6</v>
      </c>
      <c r="L298" s="90"/>
    </row>
    <row r="299" spans="2:12" hidden="1">
      <c r="B299" s="219"/>
      <c r="C299" s="219"/>
      <c r="D299" s="219"/>
      <c r="E299" s="219"/>
      <c r="F299" s="219"/>
      <c r="G299" s="219"/>
      <c r="H299" s="219"/>
      <c r="I299" s="219"/>
      <c r="J299" s="219"/>
      <c r="K299" s="219"/>
      <c r="L299" s="219"/>
    </row>
    <row r="300" spans="2:12" ht="27" hidden="1" customHeight="1">
      <c r="B300" s="85" t="str">
        <f>'[6]PLANILHA ORÇAMENTÁRIA'!D88</f>
        <v>11.18</v>
      </c>
      <c r="C300" s="1032" t="str">
        <f>'[6]PLANILHA ORÇAMENTÁRIA'!E88</f>
        <v>JOELHO 45 GRAUS, PVC, SERIE NORMAL, ESGOTO PREDIAL, DN 100 MM, JUNTA ELÁSTICA, FORNECIDO E INSTALADO EM RAMAL DE DESCARGA OU RAMAL DE ESGOTO SANITÁRIO. AF_12/2014.</v>
      </c>
      <c r="D300" s="1032"/>
      <c r="E300" s="1032"/>
      <c r="F300" s="1032"/>
      <c r="G300" s="1032"/>
      <c r="H300" s="1032"/>
      <c r="I300" s="1032"/>
      <c r="J300" s="1032"/>
      <c r="K300" s="294" t="str">
        <f>'[6]PLANILHA ORÇAMENTÁRIA'!F88</f>
        <v>UND</v>
      </c>
      <c r="L300" s="295">
        <f>K303</f>
        <v>2</v>
      </c>
    </row>
    <row r="301" spans="2:12" hidden="1">
      <c r="B301" s="86"/>
      <c r="C301" s="983" t="s">
        <v>20</v>
      </c>
      <c r="D301" s="983"/>
      <c r="E301" s="983"/>
      <c r="F301" s="87" t="s">
        <v>22</v>
      </c>
      <c r="G301" s="268" t="s">
        <v>111</v>
      </c>
      <c r="H301" s="268" t="s">
        <v>114</v>
      </c>
      <c r="I301" s="268" t="s">
        <v>113</v>
      </c>
      <c r="J301" s="268" t="s">
        <v>136</v>
      </c>
      <c r="K301" s="89" t="s">
        <v>25</v>
      </c>
      <c r="L301" s="90"/>
    </row>
    <row r="302" spans="2:12" hidden="1">
      <c r="B302" s="86"/>
      <c r="C302" s="1028"/>
      <c r="D302" s="1028"/>
      <c r="E302" s="1028"/>
      <c r="F302" s="91">
        <v>2</v>
      </c>
      <c r="G302" s="91"/>
      <c r="H302" s="91"/>
      <c r="I302" s="91"/>
      <c r="J302" s="91"/>
      <c r="K302" s="269">
        <f>F302</f>
        <v>2</v>
      </c>
      <c r="L302" s="90"/>
    </row>
    <row r="303" spans="2:12" hidden="1">
      <c r="B303" s="86"/>
      <c r="C303" s="987" t="s">
        <v>116</v>
      </c>
      <c r="D303" s="987"/>
      <c r="E303" s="987"/>
      <c r="F303" s="987"/>
      <c r="G303" s="987"/>
      <c r="H303" s="987"/>
      <c r="I303" s="987"/>
      <c r="J303" s="987"/>
      <c r="K303" s="89">
        <f>SUM(K302:K302)</f>
        <v>2</v>
      </c>
      <c r="L303" s="90"/>
    </row>
    <row r="304" spans="2:12" hidden="1">
      <c r="B304" s="219"/>
      <c r="C304" s="219"/>
      <c r="D304" s="219"/>
      <c r="E304" s="219"/>
      <c r="F304" s="219"/>
      <c r="G304" s="219"/>
      <c r="H304" s="219"/>
      <c r="I304" s="219"/>
      <c r="J304" s="219"/>
      <c r="K304" s="219"/>
      <c r="L304" s="219"/>
    </row>
    <row r="305" spans="2:12" ht="25.5" hidden="1" customHeight="1">
      <c r="B305" s="85" t="str">
        <f>'[6]PLANILHA ORÇAMENTÁRIA'!D89</f>
        <v>11.19</v>
      </c>
      <c r="C305" s="1032" t="str">
        <f>'[6]PLANILHA ORÇAMENTÁRIA'!E89</f>
        <v>JOELHO 90 GRAUS, PVC, SERIE NORMAL, ESGOTO PREDIAL, DN 100 MM, JUNTA ELÁSTICA, FORNECIDO E INSTALADO EM RAMAL DE DESCARGA OU RAMAL DE ESGOTO SANITÁRIO. AF_12/2014.</v>
      </c>
      <c r="D305" s="1032"/>
      <c r="E305" s="1032"/>
      <c r="F305" s="1032"/>
      <c r="G305" s="1032"/>
      <c r="H305" s="1032"/>
      <c r="I305" s="1032"/>
      <c r="J305" s="1032"/>
      <c r="K305" s="294" t="str">
        <f>'[6]PLANILHA ORÇAMENTÁRIA'!F89</f>
        <v>UND</v>
      </c>
      <c r="L305" s="295">
        <f>K308</f>
        <v>2</v>
      </c>
    </row>
    <row r="306" spans="2:12" hidden="1">
      <c r="B306" s="86"/>
      <c r="C306" s="983" t="s">
        <v>20</v>
      </c>
      <c r="D306" s="983"/>
      <c r="E306" s="983"/>
      <c r="F306" s="87" t="s">
        <v>22</v>
      </c>
      <c r="G306" s="268" t="s">
        <v>111</v>
      </c>
      <c r="H306" s="268" t="s">
        <v>114</v>
      </c>
      <c r="I306" s="268" t="s">
        <v>113</v>
      </c>
      <c r="J306" s="268" t="s">
        <v>136</v>
      </c>
      <c r="K306" s="89" t="s">
        <v>25</v>
      </c>
      <c r="L306" s="90"/>
    </row>
    <row r="307" spans="2:12" hidden="1">
      <c r="B307" s="86"/>
      <c r="C307" s="1028"/>
      <c r="D307" s="1028"/>
      <c r="E307" s="1028"/>
      <c r="F307" s="91">
        <v>2</v>
      </c>
      <c r="G307" s="91"/>
      <c r="H307" s="91"/>
      <c r="I307" s="91"/>
      <c r="J307" s="91"/>
      <c r="K307" s="269">
        <f>F307</f>
        <v>2</v>
      </c>
      <c r="L307" s="90"/>
    </row>
    <row r="308" spans="2:12" hidden="1">
      <c r="B308" s="86"/>
      <c r="C308" s="987" t="s">
        <v>116</v>
      </c>
      <c r="D308" s="987"/>
      <c r="E308" s="987"/>
      <c r="F308" s="987"/>
      <c r="G308" s="987"/>
      <c r="H308" s="987"/>
      <c r="I308" s="987"/>
      <c r="J308" s="987"/>
      <c r="K308" s="89">
        <f>SUM(K307:K307)</f>
        <v>2</v>
      </c>
      <c r="L308" s="90"/>
    </row>
    <row r="309" spans="2:12" hidden="1">
      <c r="B309" s="219"/>
      <c r="C309" s="219"/>
      <c r="D309" s="219"/>
      <c r="E309" s="219"/>
      <c r="F309" s="219"/>
      <c r="G309" s="219"/>
      <c r="H309" s="219"/>
      <c r="I309" s="219"/>
      <c r="J309" s="219"/>
      <c r="K309" s="219"/>
      <c r="L309" s="219"/>
    </row>
    <row r="310" spans="2:12" ht="25.5" hidden="1" customHeight="1">
      <c r="B310" s="85" t="str">
        <f>'[6]PLANILHA ORÇAMENTÁRIA'!D90</f>
        <v>11.20</v>
      </c>
      <c r="C310" s="1032" t="str">
        <f>'[6]PLANILHA ORÇAMENTÁRIA'!E90</f>
        <v>TUBO PVC, SERIE NORMAL, ESGOTO PREDIAL, DN 100 MM, FORNECIDO E INSTALADO EM RAMAL DE DESCARGA OU RAMAL DE ESGOTO SANITÁRIO. AF_12/2014</v>
      </c>
      <c r="D310" s="1032"/>
      <c r="E310" s="1032"/>
      <c r="F310" s="1032"/>
      <c r="G310" s="1032"/>
      <c r="H310" s="1032"/>
      <c r="I310" s="1032"/>
      <c r="J310" s="1032"/>
      <c r="K310" s="294" t="str">
        <f>'[6]PLANILHA ORÇAMENTÁRIA'!F90</f>
        <v>M</v>
      </c>
      <c r="L310" s="295">
        <f>K313</f>
        <v>12</v>
      </c>
    </row>
    <row r="311" spans="2:12" hidden="1">
      <c r="B311" s="86"/>
      <c r="C311" s="983" t="s">
        <v>20</v>
      </c>
      <c r="D311" s="983"/>
      <c r="E311" s="983"/>
      <c r="F311" s="87" t="s">
        <v>22</v>
      </c>
      <c r="G311" s="268" t="s">
        <v>111</v>
      </c>
      <c r="H311" s="268" t="s">
        <v>114</v>
      </c>
      <c r="I311" s="268" t="s">
        <v>113</v>
      </c>
      <c r="J311" s="268" t="s">
        <v>136</v>
      </c>
      <c r="K311" s="89" t="s">
        <v>25</v>
      </c>
      <c r="L311" s="90"/>
    </row>
    <row r="312" spans="2:12" hidden="1">
      <c r="B312" s="86"/>
      <c r="C312" s="1028"/>
      <c r="D312" s="1028"/>
      <c r="E312" s="1028"/>
      <c r="F312" s="91">
        <v>12</v>
      </c>
      <c r="G312" s="91"/>
      <c r="H312" s="91"/>
      <c r="I312" s="91"/>
      <c r="J312" s="91"/>
      <c r="K312" s="269">
        <f>F312</f>
        <v>12</v>
      </c>
      <c r="L312" s="90"/>
    </row>
    <row r="313" spans="2:12" hidden="1">
      <c r="B313" s="86"/>
      <c r="C313" s="987" t="s">
        <v>116</v>
      </c>
      <c r="D313" s="987"/>
      <c r="E313" s="987"/>
      <c r="F313" s="987"/>
      <c r="G313" s="987"/>
      <c r="H313" s="987"/>
      <c r="I313" s="987"/>
      <c r="J313" s="987"/>
      <c r="K313" s="89">
        <f>SUM(K312:K312)</f>
        <v>12</v>
      </c>
      <c r="L313" s="90"/>
    </row>
    <row r="314" spans="2:12" hidden="1">
      <c r="B314" s="219"/>
      <c r="C314" s="219"/>
      <c r="D314" s="219"/>
      <c r="E314" s="219"/>
      <c r="F314" s="219"/>
      <c r="G314" s="219"/>
      <c r="H314" s="219"/>
      <c r="I314" s="219"/>
      <c r="J314" s="219"/>
      <c r="K314" s="219"/>
      <c r="L314" s="219"/>
    </row>
    <row r="315" spans="2:12" ht="24" hidden="1" customHeight="1">
      <c r="B315" s="85" t="str">
        <f>'[6]PLANILHA ORÇAMENTÁRIA'!D91</f>
        <v>11.21</v>
      </c>
      <c r="C315" s="1032" t="str">
        <f>'[6]PLANILHA ORÇAMENTÁRIA'!E91</f>
        <v>LUVA SIMPLES, PVC, SERIE NORMAL, ESGOTO PREDIAL, DN 100 MM, JUNTA ELÁSTICA, FORNECIDO E INSTALADO EM RAMAL DE DESCARGA OU RAMAL DE ESGOTO SANITÁRIO. AF_12/2014</v>
      </c>
      <c r="D315" s="1032"/>
      <c r="E315" s="1032"/>
      <c r="F315" s="1032"/>
      <c r="G315" s="1032"/>
      <c r="H315" s="1032"/>
      <c r="I315" s="1032"/>
      <c r="J315" s="1032"/>
      <c r="K315" s="294" t="str">
        <f>'[6]PLANILHA ORÇAMENTÁRIA'!F91</f>
        <v>UND</v>
      </c>
      <c r="L315" s="295">
        <f>K318</f>
        <v>2</v>
      </c>
    </row>
    <row r="316" spans="2:12" hidden="1">
      <c r="B316" s="86"/>
      <c r="C316" s="983" t="s">
        <v>20</v>
      </c>
      <c r="D316" s="983"/>
      <c r="E316" s="983"/>
      <c r="F316" s="87" t="s">
        <v>22</v>
      </c>
      <c r="G316" s="268" t="s">
        <v>111</v>
      </c>
      <c r="H316" s="268" t="s">
        <v>114</v>
      </c>
      <c r="I316" s="268" t="s">
        <v>113</v>
      </c>
      <c r="J316" s="268" t="s">
        <v>136</v>
      </c>
      <c r="K316" s="89" t="s">
        <v>25</v>
      </c>
      <c r="L316" s="90"/>
    </row>
    <row r="317" spans="2:12" hidden="1">
      <c r="B317" s="86"/>
      <c r="C317" s="1028"/>
      <c r="D317" s="1028"/>
      <c r="E317" s="1028"/>
      <c r="F317" s="91">
        <v>2</v>
      </c>
      <c r="G317" s="91"/>
      <c r="H317" s="91"/>
      <c r="I317" s="91"/>
      <c r="J317" s="91"/>
      <c r="K317" s="269">
        <f>F317</f>
        <v>2</v>
      </c>
      <c r="L317" s="90"/>
    </row>
    <row r="318" spans="2:12" hidden="1">
      <c r="B318" s="86"/>
      <c r="C318" s="987" t="s">
        <v>116</v>
      </c>
      <c r="D318" s="987"/>
      <c r="E318" s="987"/>
      <c r="F318" s="987"/>
      <c r="G318" s="987"/>
      <c r="H318" s="987"/>
      <c r="I318" s="987"/>
      <c r="J318" s="987"/>
      <c r="K318" s="89">
        <f>SUM(K317:K317)</f>
        <v>2</v>
      </c>
      <c r="L318" s="90"/>
    </row>
    <row r="319" spans="2:12" hidden="1">
      <c r="B319" s="219"/>
      <c r="C319" s="219"/>
      <c r="D319" s="219"/>
      <c r="E319" s="219"/>
      <c r="F319" s="219"/>
      <c r="G319" s="219"/>
      <c r="H319" s="219"/>
      <c r="I319" s="219"/>
      <c r="J319" s="219"/>
      <c r="K319" s="219"/>
      <c r="L319" s="219"/>
    </row>
    <row r="320" spans="2:12" ht="46.5" hidden="1" customHeight="1">
      <c r="B320" s="85" t="str">
        <f>'[6]PLANILHA ORÇAMENTÁRIA'!D92</f>
        <v>11.22</v>
      </c>
      <c r="C320" s="1032" t="str">
        <f>'[6]PLANILHA ORÇAMENTÁRIA'!E92</f>
        <v>COLETOR PREDIAL DE ESGOTO, DA CAIXA ATÉ A REDE (DISTÂNCIA = 8 M, LARGURA DA VALA = 0,65 M), INCLUINDO ESCAVAÇÃO MECANIZADA, PREPARO DE FUNDO DE VALA E REATERRO COM COMPACTAÇÃO MECANIZADA, TUBO PVC P/ REDE COLETORA ESGOTO JEI DN 100 MM E CONEXÕES - FORNECIMENTO E INSTALAÇÃO. AF_03/2016</v>
      </c>
      <c r="D320" s="1032"/>
      <c r="E320" s="1032"/>
      <c r="F320" s="1032"/>
      <c r="G320" s="1032"/>
      <c r="H320" s="1032"/>
      <c r="I320" s="1032"/>
      <c r="J320" s="1032"/>
      <c r="K320" s="294" t="str">
        <f>'[6]PLANILHA ORÇAMENTÁRIA'!F92</f>
        <v>UND</v>
      </c>
      <c r="L320" s="295">
        <f>K323</f>
        <v>1</v>
      </c>
    </row>
    <row r="321" spans="2:12" hidden="1">
      <c r="B321" s="86"/>
      <c r="C321" s="983" t="s">
        <v>20</v>
      </c>
      <c r="D321" s="983"/>
      <c r="E321" s="983"/>
      <c r="F321" s="87" t="s">
        <v>22</v>
      </c>
      <c r="G321" s="268" t="s">
        <v>111</v>
      </c>
      <c r="H321" s="268" t="s">
        <v>114</v>
      </c>
      <c r="I321" s="268" t="s">
        <v>113</v>
      </c>
      <c r="J321" s="268" t="s">
        <v>136</v>
      </c>
      <c r="K321" s="89" t="s">
        <v>25</v>
      </c>
      <c r="L321" s="90"/>
    </row>
    <row r="322" spans="2:12" hidden="1">
      <c r="B322" s="86"/>
      <c r="C322" s="1028"/>
      <c r="D322" s="1028"/>
      <c r="E322" s="1028"/>
      <c r="F322" s="91">
        <v>1</v>
      </c>
      <c r="G322" s="91"/>
      <c r="H322" s="91"/>
      <c r="I322" s="91"/>
      <c r="J322" s="91"/>
      <c r="K322" s="269">
        <f>F322</f>
        <v>1</v>
      </c>
      <c r="L322" s="90"/>
    </row>
    <row r="323" spans="2:12" hidden="1">
      <c r="B323" s="86"/>
      <c r="C323" s="987" t="s">
        <v>116</v>
      </c>
      <c r="D323" s="987"/>
      <c r="E323" s="987"/>
      <c r="F323" s="987"/>
      <c r="G323" s="987"/>
      <c r="H323" s="987"/>
      <c r="I323" s="987"/>
      <c r="J323" s="987"/>
      <c r="K323" s="89">
        <f>SUM(K322:K322)</f>
        <v>1</v>
      </c>
      <c r="L323" s="90"/>
    </row>
    <row r="324" spans="2:12" hidden="1">
      <c r="B324" s="219"/>
      <c r="C324" s="219"/>
      <c r="D324" s="219"/>
      <c r="E324" s="219"/>
      <c r="F324" s="219"/>
      <c r="G324" s="219"/>
      <c r="H324" s="219"/>
      <c r="I324" s="219"/>
      <c r="J324" s="219"/>
      <c r="K324" s="219"/>
      <c r="L324" s="219"/>
    </row>
    <row r="325" spans="2:12" hidden="1">
      <c r="B325" s="292" t="str">
        <f>'[6]PLANILHA ORÇAMENTÁRIA'!D93</f>
        <v>12.0</v>
      </c>
      <c r="C325" s="1093" t="str">
        <f>'[6]PLANILHA ORÇAMENTÁRIA'!E93</f>
        <v>INSTALAÇÕES ELÉTRICAS</v>
      </c>
      <c r="D325" s="1093"/>
      <c r="E325" s="1093"/>
      <c r="F325" s="1093"/>
      <c r="G325" s="1093"/>
      <c r="H325" s="1093"/>
      <c r="I325" s="1093"/>
      <c r="J325" s="1093"/>
      <c r="K325" s="293"/>
      <c r="L325" s="293"/>
    </row>
    <row r="326" spans="2:12" ht="27.75" hidden="1" customHeight="1">
      <c r="B326" s="85" t="str">
        <f>'[6]PLANILHA ORÇAMENTÁRIA'!D94</f>
        <v>12.1</v>
      </c>
      <c r="C326" s="1032" t="str">
        <f>'[6]PLANILHA ORÇAMENTÁRIA'!E94</f>
        <v>PONTO DE ILUMINAÇÃO RESIDENCIAL INCLUINDO INTERRUPTOR SIMPLES, CAIXA ELÉTRICA, ELETRODUTO, CABO, RASGO, QUEBRA E CHUMBAMENTO (EXCLUINDO LUMINÁRIA E LÂMPADA). AF_01/2016</v>
      </c>
      <c r="D326" s="1032"/>
      <c r="E326" s="1032"/>
      <c r="F326" s="1032"/>
      <c r="G326" s="1032"/>
      <c r="H326" s="1032"/>
      <c r="I326" s="1032"/>
      <c r="J326" s="1032"/>
      <c r="K326" s="294" t="str">
        <f>'[6]PLANILHA ORÇAMENTÁRIA'!F94</f>
        <v>UND</v>
      </c>
      <c r="L326" s="295">
        <f>K329</f>
        <v>7</v>
      </c>
    </row>
    <row r="327" spans="2:12" hidden="1">
      <c r="B327" s="86"/>
      <c r="C327" s="983" t="s">
        <v>20</v>
      </c>
      <c r="D327" s="983"/>
      <c r="E327" s="983"/>
      <c r="F327" s="87" t="s">
        <v>22</v>
      </c>
      <c r="G327" s="268" t="s">
        <v>111</v>
      </c>
      <c r="H327" s="268" t="s">
        <v>114</v>
      </c>
      <c r="I327" s="268" t="s">
        <v>113</v>
      </c>
      <c r="J327" s="268" t="s">
        <v>136</v>
      </c>
      <c r="K327" s="89" t="s">
        <v>25</v>
      </c>
      <c r="L327" s="90"/>
    </row>
    <row r="328" spans="2:12" hidden="1">
      <c r="B328" s="86"/>
      <c r="C328" s="1028"/>
      <c r="D328" s="1028"/>
      <c r="E328" s="1028"/>
      <c r="F328" s="91">
        <f>'[6]PLANILHA ORÇAMENTÁRIA'!G94</f>
        <v>7</v>
      </c>
      <c r="G328" s="91"/>
      <c r="H328" s="91"/>
      <c r="I328" s="91"/>
      <c r="J328" s="91"/>
      <c r="K328" s="269">
        <f>F328</f>
        <v>7</v>
      </c>
      <c r="L328" s="90"/>
    </row>
    <row r="329" spans="2:12" hidden="1">
      <c r="B329" s="86"/>
      <c r="C329" s="987" t="s">
        <v>116</v>
      </c>
      <c r="D329" s="987"/>
      <c r="E329" s="987"/>
      <c r="F329" s="987"/>
      <c r="G329" s="987"/>
      <c r="H329" s="987"/>
      <c r="I329" s="987"/>
      <c r="J329" s="987"/>
      <c r="K329" s="89">
        <f>SUM(K328:K328)</f>
        <v>7</v>
      </c>
      <c r="L329" s="90"/>
    </row>
    <row r="330" spans="2:12" hidden="1">
      <c r="B330" s="297"/>
      <c r="C330" s="297"/>
      <c r="D330" s="297"/>
      <c r="E330" s="297"/>
      <c r="F330" s="297"/>
      <c r="G330" s="297"/>
      <c r="H330" s="297"/>
      <c r="I330" s="297"/>
      <c r="J330" s="297"/>
      <c r="K330" s="297"/>
      <c r="L330" s="297"/>
    </row>
    <row r="331" spans="2:12" ht="29.25" hidden="1" customHeight="1">
      <c r="B331" s="85" t="str">
        <f>'[6]PLANILHA ORÇAMENTÁRIA'!D95</f>
        <v>12.2</v>
      </c>
      <c r="C331" s="1032" t="str">
        <f>'[6]PLANILHA ORÇAMENTÁRIA'!E95</f>
        <v>PONTO DE TOMADA RESIDENCIAL INCLUINDO TOMADA (2 MÓDULOS) 10A/250V, CAIXA ELÉTRICA, ELETRODUTO, CABO, RASGO, QUEBRA E CHUMBAMENTO. AF_01/2016</v>
      </c>
      <c r="D331" s="1032"/>
      <c r="E331" s="1032"/>
      <c r="F331" s="1032"/>
      <c r="G331" s="1032"/>
      <c r="H331" s="1032"/>
      <c r="I331" s="1032"/>
      <c r="J331" s="1032"/>
      <c r="K331" s="294" t="str">
        <f>'[6]PLANILHA ORÇAMENTÁRIA'!F95</f>
        <v>UND</v>
      </c>
      <c r="L331" s="295">
        <f>K334</f>
        <v>3</v>
      </c>
    </row>
    <row r="332" spans="2:12" hidden="1">
      <c r="B332" s="86"/>
      <c r="C332" s="983" t="s">
        <v>20</v>
      </c>
      <c r="D332" s="983"/>
      <c r="E332" s="983"/>
      <c r="F332" s="87" t="s">
        <v>22</v>
      </c>
      <c r="G332" s="268" t="s">
        <v>111</v>
      </c>
      <c r="H332" s="268" t="s">
        <v>114</v>
      </c>
      <c r="I332" s="268" t="s">
        <v>113</v>
      </c>
      <c r="J332" s="268" t="s">
        <v>136</v>
      </c>
      <c r="K332" s="89" t="s">
        <v>25</v>
      </c>
      <c r="L332" s="90"/>
    </row>
    <row r="333" spans="2:12" hidden="1">
      <c r="B333" s="86"/>
      <c r="C333" s="1028"/>
      <c r="D333" s="1028"/>
      <c r="E333" s="1028"/>
      <c r="F333" s="91">
        <f>'[6]PLANILHA ORÇAMENTÁRIA'!G95</f>
        <v>3</v>
      </c>
      <c r="G333" s="91"/>
      <c r="H333" s="91"/>
      <c r="I333" s="91"/>
      <c r="J333" s="91"/>
      <c r="K333" s="269">
        <f>F333</f>
        <v>3</v>
      </c>
      <c r="L333" s="90"/>
    </row>
    <row r="334" spans="2:12" hidden="1">
      <c r="B334" s="86"/>
      <c r="C334" s="987" t="s">
        <v>116</v>
      </c>
      <c r="D334" s="987"/>
      <c r="E334" s="987"/>
      <c r="F334" s="987"/>
      <c r="G334" s="987"/>
      <c r="H334" s="987"/>
      <c r="I334" s="987"/>
      <c r="J334" s="987"/>
      <c r="K334" s="89">
        <f>SUM(K333:K333)</f>
        <v>3</v>
      </c>
      <c r="L334" s="90"/>
    </row>
    <row r="335" spans="2:12" hidden="1">
      <c r="B335" s="297"/>
      <c r="C335" s="297"/>
      <c r="D335" s="297"/>
      <c r="E335" s="297"/>
      <c r="F335" s="297"/>
      <c r="G335" s="297"/>
      <c r="H335" s="297"/>
      <c r="I335" s="297"/>
      <c r="J335" s="297"/>
      <c r="K335" s="297"/>
      <c r="L335" s="297"/>
    </row>
    <row r="336" spans="2:12" ht="27.75" hidden="1" customHeight="1">
      <c r="B336" s="85" t="str">
        <f>'[6]PLANILHA ORÇAMENTÁRIA'!D96</f>
        <v>12.3</v>
      </c>
      <c r="C336" s="1032" t="str">
        <f>'[6]PLANILHA ORÇAMENTÁRIA'!E96</f>
        <v>POSTE DE ACO CONICO CONTINUO CURVO DUPLO, FLANGEADO, COM JANELA DE INSPECAO H=9M - FORNECIMENTO E INSTALACAO</v>
      </c>
      <c r="D336" s="1032"/>
      <c r="E336" s="1032"/>
      <c r="F336" s="1032"/>
      <c r="G336" s="1032"/>
      <c r="H336" s="1032"/>
      <c r="I336" s="1032"/>
      <c r="J336" s="1032"/>
      <c r="K336" s="294" t="str">
        <f>'[6]PLANILHA ORÇAMENTÁRIA'!F96</f>
        <v>UND</v>
      </c>
      <c r="L336" s="295">
        <f>K339</f>
        <v>4</v>
      </c>
    </row>
    <row r="337" spans="2:12" hidden="1">
      <c r="B337" s="86"/>
      <c r="C337" s="983" t="s">
        <v>20</v>
      </c>
      <c r="D337" s="983"/>
      <c r="E337" s="983"/>
      <c r="F337" s="87" t="s">
        <v>22</v>
      </c>
      <c r="G337" s="268" t="s">
        <v>111</v>
      </c>
      <c r="H337" s="268" t="s">
        <v>114</v>
      </c>
      <c r="I337" s="268" t="s">
        <v>113</v>
      </c>
      <c r="J337" s="268" t="s">
        <v>136</v>
      </c>
      <c r="K337" s="89" t="s">
        <v>25</v>
      </c>
      <c r="L337" s="90"/>
    </row>
    <row r="338" spans="2:12" hidden="1">
      <c r="B338" s="86"/>
      <c r="C338" s="1028"/>
      <c r="D338" s="1028"/>
      <c r="E338" s="1028"/>
      <c r="F338" s="91">
        <f>'[6]PLANILHA ORÇAMENTÁRIA'!G96</f>
        <v>4</v>
      </c>
      <c r="G338" s="91"/>
      <c r="H338" s="91"/>
      <c r="I338" s="91"/>
      <c r="J338" s="91"/>
      <c r="K338" s="269">
        <f>F338</f>
        <v>4</v>
      </c>
      <c r="L338" s="90"/>
    </row>
    <row r="339" spans="2:12" hidden="1">
      <c r="B339" s="86"/>
      <c r="C339" s="987" t="s">
        <v>116</v>
      </c>
      <c r="D339" s="987"/>
      <c r="E339" s="987"/>
      <c r="F339" s="987"/>
      <c r="G339" s="987"/>
      <c r="H339" s="987"/>
      <c r="I339" s="987"/>
      <c r="J339" s="987"/>
      <c r="K339" s="89">
        <f>SUM(K338:K338)</f>
        <v>4</v>
      </c>
      <c r="L339" s="90"/>
    </row>
    <row r="340" spans="2:12" hidden="1">
      <c r="B340" s="297"/>
      <c r="C340" s="297"/>
      <c r="D340" s="297"/>
      <c r="E340" s="297"/>
      <c r="F340" s="297"/>
      <c r="G340" s="297"/>
      <c r="H340" s="297"/>
      <c r="I340" s="297"/>
      <c r="J340" s="297"/>
      <c r="K340" s="297"/>
      <c r="L340" s="297"/>
    </row>
    <row r="341" spans="2:12" ht="42.75" hidden="1" customHeight="1">
      <c r="B341" s="85" t="str">
        <f>'[6]PLANILHA ORÇAMENTÁRIA'!D97</f>
        <v>12.4</v>
      </c>
      <c r="C341" s="1032" t="str">
        <f>'[6]PLANILHA ORÇAMENTÁRIA'!E97</f>
        <v>QUADRO DE DISTRIBUICAO DE ENERGIA DE EMBUTIR, EM CHAPA METALICA, PARA 18 DISJUNTORES TERMOMAGNETICOS MONOPOLARES, COM BARRAMENTO TRIFASICO E NEUTRO, FORNECIMENTO E INSTALACAO</v>
      </c>
      <c r="D341" s="1032"/>
      <c r="E341" s="1032"/>
      <c r="F341" s="1032"/>
      <c r="G341" s="1032"/>
      <c r="H341" s="1032"/>
      <c r="I341" s="1032"/>
      <c r="J341" s="1032"/>
      <c r="K341" s="294" t="str">
        <f>'[6]PLANILHA ORÇAMENTÁRIA'!F97</f>
        <v>UND</v>
      </c>
      <c r="L341" s="295">
        <f>K344</f>
        <v>1</v>
      </c>
    </row>
    <row r="342" spans="2:12" hidden="1">
      <c r="B342" s="86"/>
      <c r="C342" s="983" t="s">
        <v>20</v>
      </c>
      <c r="D342" s="983"/>
      <c r="E342" s="983"/>
      <c r="F342" s="87" t="s">
        <v>22</v>
      </c>
      <c r="G342" s="268" t="s">
        <v>111</v>
      </c>
      <c r="H342" s="268" t="s">
        <v>114</v>
      </c>
      <c r="I342" s="268" t="s">
        <v>113</v>
      </c>
      <c r="J342" s="268" t="s">
        <v>136</v>
      </c>
      <c r="K342" s="89" t="s">
        <v>25</v>
      </c>
      <c r="L342" s="90"/>
    </row>
    <row r="343" spans="2:12" hidden="1">
      <c r="B343" s="86"/>
      <c r="C343" s="1028"/>
      <c r="D343" s="1028"/>
      <c r="E343" s="1028"/>
      <c r="F343" s="91">
        <f>'[6]PLANILHA ORÇAMENTÁRIA'!G97</f>
        <v>1</v>
      </c>
      <c r="G343" s="91"/>
      <c r="H343" s="91"/>
      <c r="I343" s="91"/>
      <c r="J343" s="91"/>
      <c r="K343" s="269">
        <f>F343</f>
        <v>1</v>
      </c>
      <c r="L343" s="90"/>
    </row>
    <row r="344" spans="2:12" hidden="1">
      <c r="B344" s="86"/>
      <c r="C344" s="987" t="s">
        <v>116</v>
      </c>
      <c r="D344" s="987"/>
      <c r="E344" s="987"/>
      <c r="F344" s="987"/>
      <c r="G344" s="987"/>
      <c r="H344" s="987"/>
      <c r="I344" s="987"/>
      <c r="J344" s="987"/>
      <c r="K344" s="89">
        <f>SUM(K343:K343)</f>
        <v>1</v>
      </c>
      <c r="L344" s="90"/>
    </row>
    <row r="345" spans="2:12" hidden="1">
      <c r="B345" s="297"/>
      <c r="C345" s="297"/>
      <c r="D345" s="297"/>
      <c r="E345" s="297"/>
      <c r="F345" s="297"/>
      <c r="G345" s="297"/>
      <c r="H345" s="297"/>
      <c r="I345" s="297"/>
      <c r="J345" s="297"/>
      <c r="K345" s="297"/>
      <c r="L345" s="297"/>
    </row>
    <row r="346" spans="2:12" ht="28.5" hidden="1" customHeight="1">
      <c r="B346" s="85" t="str">
        <f>'[6]PLANILHA ORÇAMENTÁRIA'!D98</f>
        <v>12.5</v>
      </c>
      <c r="C346" s="1032" t="str">
        <f>'[6]PLANILHA ORÇAMENTÁRIA'!E98</f>
        <v>DISJUNTOR TERMOMAGNETICO MONOPOLAR PADRAO NEMA (AMERICANO) 10 A 30A 240V, FORNECIMENTO E INSTALACAO</v>
      </c>
      <c r="D346" s="1032"/>
      <c r="E346" s="1032"/>
      <c r="F346" s="1032"/>
      <c r="G346" s="1032"/>
      <c r="H346" s="1032"/>
      <c r="I346" s="1032"/>
      <c r="J346" s="1032"/>
      <c r="K346" s="294" t="str">
        <f>'[6]PLANILHA ORÇAMENTÁRIA'!F98</f>
        <v>UND</v>
      </c>
      <c r="L346" s="295">
        <f>K349</f>
        <v>3</v>
      </c>
    </row>
    <row r="347" spans="2:12" hidden="1">
      <c r="B347" s="86"/>
      <c r="C347" s="983" t="s">
        <v>20</v>
      </c>
      <c r="D347" s="983"/>
      <c r="E347" s="983"/>
      <c r="F347" s="87" t="s">
        <v>22</v>
      </c>
      <c r="G347" s="268" t="s">
        <v>111</v>
      </c>
      <c r="H347" s="268" t="s">
        <v>114</v>
      </c>
      <c r="I347" s="268" t="s">
        <v>113</v>
      </c>
      <c r="J347" s="268" t="s">
        <v>136</v>
      </c>
      <c r="K347" s="89" t="s">
        <v>25</v>
      </c>
      <c r="L347" s="90"/>
    </row>
    <row r="348" spans="2:12" hidden="1">
      <c r="B348" s="86"/>
      <c r="C348" s="1028"/>
      <c r="D348" s="1028"/>
      <c r="E348" s="1028"/>
      <c r="F348" s="91">
        <f>'[6]PLANILHA ORÇAMENTÁRIA'!G98</f>
        <v>3</v>
      </c>
      <c r="G348" s="91"/>
      <c r="H348" s="91"/>
      <c r="I348" s="91"/>
      <c r="J348" s="91"/>
      <c r="K348" s="269">
        <f>F348</f>
        <v>3</v>
      </c>
      <c r="L348" s="90"/>
    </row>
    <row r="349" spans="2:12" hidden="1">
      <c r="B349" s="86"/>
      <c r="C349" s="987" t="s">
        <v>116</v>
      </c>
      <c r="D349" s="987"/>
      <c r="E349" s="987"/>
      <c r="F349" s="987"/>
      <c r="G349" s="987"/>
      <c r="H349" s="987"/>
      <c r="I349" s="987"/>
      <c r="J349" s="987"/>
      <c r="K349" s="89">
        <f>SUM(K348:K348)</f>
        <v>3</v>
      </c>
      <c r="L349" s="90"/>
    </row>
    <row r="350" spans="2:12" hidden="1">
      <c r="B350" s="86"/>
      <c r="C350" s="211"/>
      <c r="D350" s="211"/>
      <c r="E350" s="211"/>
      <c r="F350" s="211"/>
      <c r="G350" s="211"/>
      <c r="H350" s="211"/>
      <c r="I350" s="211"/>
      <c r="J350" s="211"/>
      <c r="K350" s="212"/>
      <c r="L350" s="90"/>
    </row>
    <row r="351" spans="2:12" ht="15" hidden="1" customHeight="1">
      <c r="B351" s="85" t="str">
        <f>'[6]PLANILHA ORÇAMENTÁRIA'!D99</f>
        <v>12.6</v>
      </c>
      <c r="C351" s="1032" t="str">
        <f>'[6]PLANILHA ORÇAMENTÁRIA'!E99</f>
        <v>DISJUNTOR TERMOMAGNETICO BIPOLAR PADRAO NEMA (AMERICANO) 10 A 50A 240V, FORNECIMENTO E INSTALACAO</v>
      </c>
      <c r="D351" s="1032"/>
      <c r="E351" s="1032"/>
      <c r="F351" s="1032"/>
      <c r="G351" s="1032"/>
      <c r="H351" s="1032"/>
      <c r="I351" s="1032"/>
      <c r="J351" s="1032"/>
      <c r="K351" s="294" t="str">
        <f>'[6]PLANILHA ORÇAMENTÁRIA'!F99</f>
        <v>UND</v>
      </c>
      <c r="L351" s="295">
        <f>K354</f>
        <v>1</v>
      </c>
    </row>
    <row r="352" spans="2:12" hidden="1">
      <c r="B352" s="86"/>
      <c r="C352" s="983" t="s">
        <v>20</v>
      </c>
      <c r="D352" s="983"/>
      <c r="E352" s="983"/>
      <c r="F352" s="87" t="s">
        <v>22</v>
      </c>
      <c r="G352" s="268" t="s">
        <v>111</v>
      </c>
      <c r="H352" s="268" t="s">
        <v>114</v>
      </c>
      <c r="I352" s="268" t="s">
        <v>113</v>
      </c>
      <c r="J352" s="268" t="s">
        <v>136</v>
      </c>
      <c r="K352" s="89" t="s">
        <v>25</v>
      </c>
      <c r="L352" s="90"/>
    </row>
    <row r="353" spans="2:12" hidden="1">
      <c r="B353" s="86"/>
      <c r="C353" s="1028"/>
      <c r="D353" s="1028"/>
      <c r="E353" s="1028"/>
      <c r="F353" s="91">
        <f>'[6]PLANILHA ORÇAMENTÁRIA'!G99</f>
        <v>1</v>
      </c>
      <c r="G353" s="91"/>
      <c r="H353" s="91"/>
      <c r="I353" s="91"/>
      <c r="J353" s="91"/>
      <c r="K353" s="269">
        <f>F353</f>
        <v>1</v>
      </c>
      <c r="L353" s="90"/>
    </row>
    <row r="354" spans="2:12" hidden="1">
      <c r="B354" s="86"/>
      <c r="C354" s="987" t="s">
        <v>116</v>
      </c>
      <c r="D354" s="987"/>
      <c r="E354" s="987"/>
      <c r="F354" s="987"/>
      <c r="G354" s="987"/>
      <c r="H354" s="987"/>
      <c r="I354" s="987"/>
      <c r="J354" s="987"/>
      <c r="K354" s="89">
        <f>SUM(K353:K353)</f>
        <v>1</v>
      </c>
      <c r="L354" s="90"/>
    </row>
    <row r="355" spans="2:12" hidden="1">
      <c r="B355" s="86"/>
      <c r="C355" s="211"/>
      <c r="D355" s="211"/>
      <c r="E355" s="211"/>
      <c r="F355" s="211"/>
      <c r="G355" s="211"/>
      <c r="H355" s="211"/>
      <c r="I355" s="211"/>
      <c r="J355" s="211"/>
      <c r="K355" s="212"/>
      <c r="L355" s="90"/>
    </row>
    <row r="356" spans="2:12" ht="30.75" hidden="1" customHeight="1">
      <c r="B356" s="85" t="str">
        <f>'[6]PLANILHA ORÇAMENTÁRIA'!D100</f>
        <v>12.7</v>
      </c>
      <c r="C356" s="1032" t="str">
        <f>'[6]PLANILHA ORÇAMENTÁRIA'!E100</f>
        <v>DISJUNTOR TERMOMAGNETICO TRIPOLAR PADRAO NEMA (AMERICANO) 10 A 50A 240V, FORNECIMENTO E INSTALACAO</v>
      </c>
      <c r="D356" s="1032"/>
      <c r="E356" s="1032"/>
      <c r="F356" s="1032"/>
      <c r="G356" s="1032"/>
      <c r="H356" s="1032"/>
      <c r="I356" s="1032"/>
      <c r="J356" s="1032"/>
      <c r="K356" s="294" t="str">
        <f>'[6]PLANILHA ORÇAMENTÁRIA'!F100</f>
        <v>UND</v>
      </c>
      <c r="L356" s="295">
        <f>K359</f>
        <v>1</v>
      </c>
    </row>
    <row r="357" spans="2:12" hidden="1">
      <c r="B357" s="86"/>
      <c r="C357" s="983" t="s">
        <v>20</v>
      </c>
      <c r="D357" s="983"/>
      <c r="E357" s="983"/>
      <c r="F357" s="87" t="s">
        <v>22</v>
      </c>
      <c r="G357" s="268" t="s">
        <v>111</v>
      </c>
      <c r="H357" s="268" t="s">
        <v>114</v>
      </c>
      <c r="I357" s="268" t="s">
        <v>113</v>
      </c>
      <c r="J357" s="268" t="s">
        <v>136</v>
      </c>
      <c r="K357" s="89" t="s">
        <v>25</v>
      </c>
      <c r="L357" s="90"/>
    </row>
    <row r="358" spans="2:12" hidden="1">
      <c r="B358" s="86"/>
      <c r="C358" s="1028"/>
      <c r="D358" s="1028"/>
      <c r="E358" s="1028"/>
      <c r="F358" s="91">
        <f>'[6]PLANILHA ORÇAMENTÁRIA'!G100</f>
        <v>1</v>
      </c>
      <c r="G358" s="91"/>
      <c r="H358" s="91"/>
      <c r="I358" s="91"/>
      <c r="J358" s="91"/>
      <c r="K358" s="269">
        <f>F358</f>
        <v>1</v>
      </c>
      <c r="L358" s="90"/>
    </row>
    <row r="359" spans="2:12" hidden="1">
      <c r="B359" s="86"/>
      <c r="C359" s="987" t="s">
        <v>116</v>
      </c>
      <c r="D359" s="987"/>
      <c r="E359" s="987"/>
      <c r="F359" s="987"/>
      <c r="G359" s="987"/>
      <c r="H359" s="987"/>
      <c r="I359" s="987"/>
      <c r="J359" s="987"/>
      <c r="K359" s="89">
        <f>SUM(K358:K358)</f>
        <v>1</v>
      </c>
      <c r="L359" s="90"/>
    </row>
    <row r="360" spans="2:12" hidden="1">
      <c r="B360" s="86"/>
      <c r="C360" s="211"/>
      <c r="D360" s="211"/>
      <c r="E360" s="211"/>
      <c r="F360" s="211"/>
      <c r="G360" s="211"/>
      <c r="H360" s="211"/>
      <c r="I360" s="211"/>
      <c r="J360" s="211"/>
      <c r="K360" s="212"/>
      <c r="L360" s="90"/>
    </row>
    <row r="361" spans="2:12" ht="15" hidden="1" customHeight="1">
      <c r="B361" s="85" t="str">
        <f>'[6]PLANILHA ORÇAMENTÁRIA'!D101</f>
        <v>12.8</v>
      </c>
      <c r="C361" s="1032" t="str">
        <f>'[6]PLANILHA ORÇAMENTÁRIA'!E101</f>
        <v>LUMINÁRIA TIPO PLAFON, DE SOBREPOR, COM 1 LÂMPADA LED - FORNECIMENTO E INSTALAÇÃO. AF_11/2017</v>
      </c>
      <c r="D361" s="1032"/>
      <c r="E361" s="1032"/>
      <c r="F361" s="1032"/>
      <c r="G361" s="1032"/>
      <c r="H361" s="1032"/>
      <c r="I361" s="1032"/>
      <c r="J361" s="1032"/>
      <c r="K361" s="294" t="str">
        <f>'[6]PLANILHA ORÇAMENTÁRIA'!F101</f>
        <v>UND</v>
      </c>
      <c r="L361" s="295">
        <f>K364</f>
        <v>3</v>
      </c>
    </row>
    <row r="362" spans="2:12" hidden="1">
      <c r="B362" s="86"/>
      <c r="C362" s="983" t="s">
        <v>20</v>
      </c>
      <c r="D362" s="983"/>
      <c r="E362" s="983"/>
      <c r="F362" s="87" t="s">
        <v>22</v>
      </c>
      <c r="G362" s="268" t="s">
        <v>111</v>
      </c>
      <c r="H362" s="268" t="s">
        <v>114</v>
      </c>
      <c r="I362" s="268" t="s">
        <v>113</v>
      </c>
      <c r="J362" s="268" t="s">
        <v>136</v>
      </c>
      <c r="K362" s="89" t="s">
        <v>25</v>
      </c>
      <c r="L362" s="90"/>
    </row>
    <row r="363" spans="2:12" hidden="1">
      <c r="B363" s="86"/>
      <c r="C363" s="1028"/>
      <c r="D363" s="1028"/>
      <c r="E363" s="1028"/>
      <c r="F363" s="91">
        <f>'[6]PLANILHA ORÇAMENTÁRIA'!G101</f>
        <v>3</v>
      </c>
      <c r="G363" s="91"/>
      <c r="H363" s="91"/>
      <c r="I363" s="91"/>
      <c r="J363" s="91"/>
      <c r="K363" s="269">
        <f>F363</f>
        <v>3</v>
      </c>
      <c r="L363" s="90"/>
    </row>
    <row r="364" spans="2:12" hidden="1">
      <c r="B364" s="86"/>
      <c r="C364" s="987" t="s">
        <v>116</v>
      </c>
      <c r="D364" s="987"/>
      <c r="E364" s="987"/>
      <c r="F364" s="987"/>
      <c r="G364" s="987"/>
      <c r="H364" s="987"/>
      <c r="I364" s="987"/>
      <c r="J364" s="987"/>
      <c r="K364" s="89">
        <f>SUM(K363:K363)</f>
        <v>3</v>
      </c>
      <c r="L364" s="90"/>
    </row>
    <row r="365" spans="2:12" hidden="1">
      <c r="B365" s="219"/>
      <c r="C365" s="219"/>
      <c r="D365" s="219"/>
      <c r="E365" s="219"/>
      <c r="F365" s="219"/>
      <c r="G365" s="219"/>
      <c r="H365" s="219"/>
      <c r="I365" s="219"/>
      <c r="J365" s="219"/>
      <c r="K365" s="219"/>
      <c r="L365" s="219"/>
    </row>
    <row r="366" spans="2:12" ht="21.75" hidden="1" customHeight="1">
      <c r="B366" s="85" t="str">
        <f>'[6]PLANILHA ORÇAMENTÁRIA'!D102</f>
        <v>12.9</v>
      </c>
      <c r="C366" s="1032" t="str">
        <f>'[6]PLANILHA ORÇAMENTÁRIA'!E102</f>
        <v>LUMINÁRIAS TIPO CALHA, DE SOBREPOR E LÂMPADAS EM LED 2X2X18W, COMPLETAS, FORNECIMENTO E INSTALAÇÃO</v>
      </c>
      <c r="D366" s="1032"/>
      <c r="E366" s="1032"/>
      <c r="F366" s="1032"/>
      <c r="G366" s="1032"/>
      <c r="H366" s="1032"/>
      <c r="I366" s="1032"/>
      <c r="J366" s="1032"/>
      <c r="K366" s="294" t="str">
        <f>'[6]PLANILHA ORÇAMENTÁRIA'!F102</f>
        <v>UND</v>
      </c>
      <c r="L366" s="295">
        <f>K369</f>
        <v>4</v>
      </c>
    </row>
    <row r="367" spans="2:12" hidden="1">
      <c r="B367" s="86"/>
      <c r="C367" s="983" t="s">
        <v>20</v>
      </c>
      <c r="D367" s="983"/>
      <c r="E367" s="983"/>
      <c r="F367" s="87" t="s">
        <v>22</v>
      </c>
      <c r="G367" s="268" t="s">
        <v>111</v>
      </c>
      <c r="H367" s="268" t="s">
        <v>114</v>
      </c>
      <c r="I367" s="268" t="s">
        <v>113</v>
      </c>
      <c r="J367" s="268" t="s">
        <v>136</v>
      </c>
      <c r="K367" s="89" t="s">
        <v>25</v>
      </c>
      <c r="L367" s="90"/>
    </row>
    <row r="368" spans="2:12" hidden="1">
      <c r="B368" s="86"/>
      <c r="C368" s="1028"/>
      <c r="D368" s="1028"/>
      <c r="E368" s="1028"/>
      <c r="F368" s="91">
        <f>'[6]PLANILHA ORÇAMENTÁRIA'!G102</f>
        <v>4</v>
      </c>
      <c r="G368" s="91"/>
      <c r="H368" s="91"/>
      <c r="I368" s="91"/>
      <c r="J368" s="91"/>
      <c r="K368" s="269">
        <f>F368</f>
        <v>4</v>
      </c>
      <c r="L368" s="90"/>
    </row>
    <row r="369" spans="2:12" hidden="1">
      <c r="B369" s="86"/>
      <c r="C369" s="987" t="s">
        <v>116</v>
      </c>
      <c r="D369" s="987"/>
      <c r="E369" s="987"/>
      <c r="F369" s="987"/>
      <c r="G369" s="987"/>
      <c r="H369" s="987"/>
      <c r="I369" s="987"/>
      <c r="J369" s="987"/>
      <c r="K369" s="89">
        <f>SUM(K368:K368)</f>
        <v>4</v>
      </c>
      <c r="L369" s="90"/>
    </row>
    <row r="370" spans="2:12" hidden="1">
      <c r="B370" s="219"/>
      <c r="C370" s="219"/>
      <c r="D370" s="219"/>
      <c r="E370" s="219"/>
      <c r="F370" s="219"/>
      <c r="G370" s="219"/>
      <c r="H370" s="219"/>
      <c r="I370" s="219"/>
      <c r="J370" s="219"/>
      <c r="K370" s="219"/>
      <c r="L370" s="219"/>
    </row>
    <row r="371" spans="2:12" ht="27.75" hidden="1" customHeight="1">
      <c r="B371" s="85" t="str">
        <f>'[6]PLANILHA ORÇAMENTÁRIA'!D103</f>
        <v>12.10</v>
      </c>
      <c r="C371" s="1032" t="str">
        <f>'[6]PLANILHA ORÇAMENTÁRIA'!E103</f>
        <v>RELE FOTOELETRICO P/ COMANDO DE ILUMINACAO EXTERNA 220V/1000W - FORNECIMENTO E INSTALACAO</v>
      </c>
      <c r="D371" s="1032"/>
      <c r="E371" s="1032"/>
      <c r="F371" s="1032"/>
      <c r="G371" s="1032"/>
      <c r="H371" s="1032"/>
      <c r="I371" s="1032"/>
      <c r="J371" s="1032"/>
      <c r="K371" s="294" t="str">
        <f>'[6]PLANILHA ORÇAMENTÁRIA'!F103</f>
        <v>UND</v>
      </c>
      <c r="L371" s="295">
        <f>K374</f>
        <v>1</v>
      </c>
    </row>
    <row r="372" spans="2:12" hidden="1">
      <c r="B372" s="86"/>
      <c r="C372" s="983" t="s">
        <v>20</v>
      </c>
      <c r="D372" s="983"/>
      <c r="E372" s="983"/>
      <c r="F372" s="87" t="s">
        <v>22</v>
      </c>
      <c r="G372" s="268" t="s">
        <v>111</v>
      </c>
      <c r="H372" s="268" t="s">
        <v>114</v>
      </c>
      <c r="I372" s="268" t="s">
        <v>113</v>
      </c>
      <c r="J372" s="268" t="s">
        <v>136</v>
      </c>
      <c r="K372" s="89" t="s">
        <v>25</v>
      </c>
      <c r="L372" s="90"/>
    </row>
    <row r="373" spans="2:12" hidden="1">
      <c r="B373" s="86"/>
      <c r="C373" s="1028"/>
      <c r="D373" s="1028"/>
      <c r="E373" s="1028"/>
      <c r="F373" s="91">
        <f>'[6]PLANILHA ORÇAMENTÁRIA'!G103</f>
        <v>1</v>
      </c>
      <c r="G373" s="91"/>
      <c r="H373" s="91"/>
      <c r="I373" s="91"/>
      <c r="J373" s="91"/>
      <c r="K373" s="269">
        <f>F373</f>
        <v>1</v>
      </c>
      <c r="L373" s="90"/>
    </row>
    <row r="374" spans="2:12" hidden="1">
      <c r="B374" s="86"/>
      <c r="C374" s="987" t="s">
        <v>116</v>
      </c>
      <c r="D374" s="987"/>
      <c r="E374" s="987"/>
      <c r="F374" s="987"/>
      <c r="G374" s="987"/>
      <c r="H374" s="987"/>
      <c r="I374" s="987"/>
      <c r="J374" s="987"/>
      <c r="K374" s="89">
        <f>SUM(K373:K373)</f>
        <v>1</v>
      </c>
      <c r="L374" s="90"/>
    </row>
    <row r="375" spans="2:12" hidden="1">
      <c r="B375" s="219"/>
      <c r="C375" s="219"/>
      <c r="D375" s="219"/>
      <c r="E375" s="219"/>
      <c r="F375" s="219"/>
      <c r="G375" s="219"/>
      <c r="H375" s="219"/>
      <c r="I375" s="219"/>
      <c r="J375" s="219"/>
      <c r="K375" s="219"/>
      <c r="L375" s="219"/>
    </row>
    <row r="376" spans="2:12" ht="29.25" hidden="1" customHeight="1">
      <c r="B376" s="85" t="str">
        <f>'[6]PLANILHA ORÇAMENTÁRIA'!D104</f>
        <v>12.11</v>
      </c>
      <c r="C376" s="1032" t="str">
        <f>'[6]PLANILHA ORÇAMENTÁRIA'!E104</f>
        <v>ELETRODUTO RÍGIDO ROSCÁVEL, PVC, DN 32 MM (1"), PARA CIRCUITOS TERMINAIS, INSTALADO EM FORRO - FORNECIMENTO E INSTALAÇÃO. AF_12/2015</v>
      </c>
      <c r="D376" s="1032"/>
      <c r="E376" s="1032"/>
      <c r="F376" s="1032"/>
      <c r="G376" s="1032"/>
      <c r="H376" s="1032"/>
      <c r="I376" s="1032"/>
      <c r="J376" s="1032"/>
      <c r="K376" s="294" t="str">
        <f>'[6]PLANILHA ORÇAMENTÁRIA'!F104</f>
        <v>M</v>
      </c>
      <c r="L376" s="295">
        <f>K379</f>
        <v>70</v>
      </c>
    </row>
    <row r="377" spans="2:12" hidden="1">
      <c r="B377" s="86"/>
      <c r="C377" s="983" t="s">
        <v>20</v>
      </c>
      <c r="D377" s="983"/>
      <c r="E377" s="983"/>
      <c r="F377" s="87" t="s">
        <v>22</v>
      </c>
      <c r="G377" s="268" t="s">
        <v>111</v>
      </c>
      <c r="H377" s="268" t="s">
        <v>114</v>
      </c>
      <c r="I377" s="268" t="s">
        <v>113</v>
      </c>
      <c r="J377" s="268" t="s">
        <v>136</v>
      </c>
      <c r="K377" s="89" t="s">
        <v>25</v>
      </c>
      <c r="L377" s="90"/>
    </row>
    <row r="378" spans="2:12" hidden="1">
      <c r="B378" s="86"/>
      <c r="C378" s="1028"/>
      <c r="D378" s="1028"/>
      <c r="E378" s="1028"/>
      <c r="F378" s="91"/>
      <c r="G378" s="91"/>
      <c r="H378" s="91"/>
      <c r="I378" s="91">
        <f>'[6]PLANILHA ORÇAMENTÁRIA'!G104</f>
        <v>70</v>
      </c>
      <c r="J378" s="91"/>
      <c r="K378" s="269">
        <f>I378</f>
        <v>70</v>
      </c>
      <c r="L378" s="90"/>
    </row>
    <row r="379" spans="2:12" hidden="1">
      <c r="B379" s="86"/>
      <c r="C379" s="987" t="s">
        <v>116</v>
      </c>
      <c r="D379" s="987"/>
      <c r="E379" s="987"/>
      <c r="F379" s="987"/>
      <c r="G379" s="987"/>
      <c r="H379" s="987"/>
      <c r="I379" s="987"/>
      <c r="J379" s="987"/>
      <c r="K379" s="89">
        <f>SUM(K378:K378)</f>
        <v>70</v>
      </c>
      <c r="L379" s="90"/>
    </row>
    <row r="380" spans="2:12" hidden="1">
      <c r="B380" s="219"/>
      <c r="C380" s="219"/>
      <c r="D380" s="219"/>
      <c r="E380" s="219"/>
      <c r="F380" s="219"/>
      <c r="G380" s="219"/>
      <c r="H380" s="219"/>
      <c r="I380" s="219"/>
      <c r="J380" s="219"/>
      <c r="K380" s="219"/>
      <c r="L380" s="219"/>
    </row>
    <row r="381" spans="2:12" ht="15" hidden="1" customHeight="1">
      <c r="B381" s="85" t="str">
        <f>'[6]PLANILHA ORÇAMENTÁRIA'!D105</f>
        <v>12.12</v>
      </c>
      <c r="C381" s="1032" t="str">
        <f>'[6]PLANILHA ORÇAMENTÁRIA'!E105</f>
        <v>REFLETOR SIMPLES LED 150W DE POTÊNCIA, BRANCO FRIO, 6500K, AUTOVOLT, MARCA G-LIGHT OU SIMILAR</v>
      </c>
      <c r="D381" s="1032"/>
      <c r="E381" s="1032"/>
      <c r="F381" s="1032"/>
      <c r="G381" s="1032"/>
      <c r="H381" s="1032"/>
      <c r="I381" s="1032"/>
      <c r="J381" s="1032"/>
      <c r="K381" s="294" t="str">
        <f>'[6]PLANILHA ORÇAMENTÁRIA'!F105</f>
        <v>UND</v>
      </c>
      <c r="L381" s="295">
        <f>K384</f>
        <v>8</v>
      </c>
    </row>
    <row r="382" spans="2:12" hidden="1">
      <c r="B382" s="86"/>
      <c r="C382" s="983" t="s">
        <v>20</v>
      </c>
      <c r="D382" s="983"/>
      <c r="E382" s="983"/>
      <c r="F382" s="87" t="s">
        <v>22</v>
      </c>
      <c r="G382" s="268" t="s">
        <v>111</v>
      </c>
      <c r="H382" s="268" t="s">
        <v>114</v>
      </c>
      <c r="I382" s="268" t="s">
        <v>113</v>
      </c>
      <c r="J382" s="268" t="s">
        <v>136</v>
      </c>
      <c r="K382" s="89" t="s">
        <v>25</v>
      </c>
      <c r="L382" s="90"/>
    </row>
    <row r="383" spans="2:12" hidden="1">
      <c r="B383" s="86"/>
      <c r="C383" s="1028"/>
      <c r="D383" s="1028"/>
      <c r="E383" s="1028"/>
      <c r="F383" s="91">
        <f>'[6]PLANILHA ORÇAMENTÁRIA'!G105</f>
        <v>8</v>
      </c>
      <c r="G383" s="91"/>
      <c r="H383" s="91"/>
      <c r="I383" s="91"/>
      <c r="J383" s="91"/>
      <c r="K383" s="269">
        <f>F383</f>
        <v>8</v>
      </c>
      <c r="L383" s="90"/>
    </row>
    <row r="384" spans="2:12" hidden="1">
      <c r="B384" s="86"/>
      <c r="C384" s="987" t="s">
        <v>116</v>
      </c>
      <c r="D384" s="987"/>
      <c r="E384" s="987"/>
      <c r="F384" s="987"/>
      <c r="G384" s="987"/>
      <c r="H384" s="987"/>
      <c r="I384" s="987"/>
      <c r="J384" s="987"/>
      <c r="K384" s="89">
        <f>SUM(K383:K383)</f>
        <v>8</v>
      </c>
      <c r="L384" s="90"/>
    </row>
    <row r="385" spans="2:12" hidden="1">
      <c r="B385" s="219"/>
      <c r="C385" s="219"/>
      <c r="D385" s="219"/>
      <c r="E385" s="219"/>
      <c r="F385" s="219"/>
      <c r="G385" s="219"/>
      <c r="H385" s="219"/>
      <c r="I385" s="219"/>
      <c r="J385" s="219"/>
      <c r="K385" s="219"/>
      <c r="L385" s="219"/>
    </row>
    <row r="386" spans="2:12" ht="21.75" hidden="1" customHeight="1">
      <c r="B386" s="85" t="str">
        <f>'[6]PLANILHA ORÇAMENTÁRIA'!D106</f>
        <v>12.13</v>
      </c>
      <c r="C386" s="1032" t="str">
        <f>'[6]PLANILHA ORÇAMENTÁRIA'!E106</f>
        <v>CAIXA ENTERRADA ELÉTRICA RETANGULAR, EM ALVENARIA COM TIJOLOS CERÂMICOS MACIÇOS, FUNDO COM BRITA, DIMENSÕES INTERNAS: 0,3X0,3X0,3 M. AF_05/2018</v>
      </c>
      <c r="D386" s="1032"/>
      <c r="E386" s="1032"/>
      <c r="F386" s="1032"/>
      <c r="G386" s="1032"/>
      <c r="H386" s="1032"/>
      <c r="I386" s="1032"/>
      <c r="J386" s="1032"/>
      <c r="K386" s="294" t="str">
        <f>'[6]PLANILHA ORÇAMENTÁRIA'!F106</f>
        <v>UND</v>
      </c>
      <c r="L386" s="295">
        <f>K389</f>
        <v>0</v>
      </c>
    </row>
    <row r="387" spans="2:12" hidden="1">
      <c r="B387" s="86"/>
      <c r="C387" s="983" t="s">
        <v>20</v>
      </c>
      <c r="D387" s="983"/>
      <c r="E387" s="983"/>
      <c r="F387" s="87" t="s">
        <v>22</v>
      </c>
      <c r="G387" s="268" t="s">
        <v>111</v>
      </c>
      <c r="H387" s="268" t="s">
        <v>114</v>
      </c>
      <c r="I387" s="268" t="s">
        <v>113</v>
      </c>
      <c r="J387" s="268" t="s">
        <v>136</v>
      </c>
      <c r="K387" s="89" t="s">
        <v>25</v>
      </c>
      <c r="L387" s="90"/>
    </row>
    <row r="388" spans="2:12" hidden="1">
      <c r="B388" s="86"/>
      <c r="C388" s="1028"/>
      <c r="D388" s="1028"/>
      <c r="E388" s="1028"/>
      <c r="F388" s="91">
        <f>'[6]PLANILHA ORÇAMENTÁRIA'!G106</f>
        <v>4</v>
      </c>
      <c r="G388" s="91"/>
      <c r="H388" s="91"/>
      <c r="I388" s="91"/>
      <c r="J388" s="91"/>
      <c r="K388" s="269">
        <f>I388</f>
        <v>0</v>
      </c>
      <c r="L388" s="90"/>
    </row>
    <row r="389" spans="2:12" hidden="1">
      <c r="B389" s="86"/>
      <c r="C389" s="987" t="s">
        <v>116</v>
      </c>
      <c r="D389" s="987"/>
      <c r="E389" s="987"/>
      <c r="F389" s="987"/>
      <c r="G389" s="987"/>
      <c r="H389" s="987"/>
      <c r="I389" s="987"/>
      <c r="J389" s="987"/>
      <c r="K389" s="89">
        <f>SUM(K388:K388)</f>
        <v>0</v>
      </c>
      <c r="L389" s="90"/>
    </row>
    <row r="390" spans="2:12" hidden="1">
      <c r="B390" s="219"/>
      <c r="C390" s="219"/>
      <c r="D390" s="219"/>
      <c r="E390" s="219"/>
      <c r="F390" s="219"/>
      <c r="G390" s="219"/>
      <c r="H390" s="219"/>
      <c r="I390" s="219"/>
      <c r="J390" s="219"/>
      <c r="K390" s="219"/>
      <c r="L390" s="219"/>
    </row>
    <row r="391" spans="2:12" ht="24.75" hidden="1" customHeight="1">
      <c r="B391" s="85" t="str">
        <f>'[6]PLANILHA ORÇAMENTÁRIA'!D107</f>
        <v>12.14</v>
      </c>
      <c r="C391" s="1032" t="str">
        <f>'[6]PLANILHA ORÇAMENTÁRIA'!E107</f>
        <v>CABO DE COBRE FLEXÍVEL ISOLADO, 4 MM², ANTI-CHAMA 450/750 V, PARA CIRCUITOS TERMINAIS - FORNECIMENTO E INSTALAÇÃO. AF_12/2015</v>
      </c>
      <c r="D391" s="1032"/>
      <c r="E391" s="1032"/>
      <c r="F391" s="1032"/>
      <c r="G391" s="1032"/>
      <c r="H391" s="1032"/>
      <c r="I391" s="1032"/>
      <c r="J391" s="1032"/>
      <c r="K391" s="294" t="str">
        <f>'[6]PLANILHA ORÇAMENTÁRIA'!F107</f>
        <v>M</v>
      </c>
      <c r="L391" s="295">
        <f>K394</f>
        <v>160</v>
      </c>
    </row>
    <row r="392" spans="2:12" hidden="1">
      <c r="B392" s="86"/>
      <c r="C392" s="983" t="s">
        <v>20</v>
      </c>
      <c r="D392" s="983"/>
      <c r="E392" s="983"/>
      <c r="F392" s="87" t="s">
        <v>22</v>
      </c>
      <c r="G392" s="268" t="s">
        <v>111</v>
      </c>
      <c r="H392" s="268" t="s">
        <v>114</v>
      </c>
      <c r="I392" s="268" t="s">
        <v>113</v>
      </c>
      <c r="J392" s="268" t="s">
        <v>136</v>
      </c>
      <c r="K392" s="89" t="s">
        <v>25</v>
      </c>
      <c r="L392" s="90"/>
    </row>
    <row r="393" spans="2:12" hidden="1">
      <c r="B393" s="86"/>
      <c r="C393" s="1028"/>
      <c r="D393" s="1028"/>
      <c r="E393" s="1028"/>
      <c r="F393" s="91"/>
      <c r="G393" s="91"/>
      <c r="H393" s="91"/>
      <c r="I393" s="91">
        <f>'[6]PLANILHA ORÇAMENTÁRIA'!G107</f>
        <v>160</v>
      </c>
      <c r="J393" s="91"/>
      <c r="K393" s="269">
        <f>I393</f>
        <v>160</v>
      </c>
      <c r="L393" s="90"/>
    </row>
    <row r="394" spans="2:12" hidden="1">
      <c r="B394" s="86"/>
      <c r="C394" s="987" t="s">
        <v>116</v>
      </c>
      <c r="D394" s="987"/>
      <c r="E394" s="987"/>
      <c r="F394" s="987"/>
      <c r="G394" s="987"/>
      <c r="H394" s="987"/>
      <c r="I394" s="987"/>
      <c r="J394" s="987"/>
      <c r="K394" s="89">
        <f>SUM(K393:K393)</f>
        <v>160</v>
      </c>
      <c r="L394" s="90"/>
    </row>
    <row r="395" spans="2:12" hidden="1">
      <c r="B395" s="86"/>
      <c r="C395" s="211"/>
      <c r="D395" s="211"/>
      <c r="E395" s="211"/>
      <c r="F395" s="211"/>
      <c r="G395" s="211"/>
      <c r="H395" s="211"/>
      <c r="I395" s="211"/>
      <c r="J395" s="211"/>
      <c r="K395" s="212"/>
      <c r="L395" s="90"/>
    </row>
    <row r="396" spans="2:12" ht="32.25" hidden="1" customHeight="1">
      <c r="B396" s="85" t="str">
        <f>'[6]PLANILHA ORÇAMENTÁRIA'!D108</f>
        <v>12.15</v>
      </c>
      <c r="C396" s="1032" t="str">
        <f>'[6]PLANILHA ORÇAMENTÁRIA'!E108</f>
        <v>CABO DE COBRE FLEXÍVEL ISOLADO, 2,5 MM², ANTI-CHAMA 450/750 V, PARA CIRCUITOS TERMINAIS - FORNECIMENTO E INSTALAÇÃO. AF_12/2015</v>
      </c>
      <c r="D396" s="1032"/>
      <c r="E396" s="1032"/>
      <c r="F396" s="1032"/>
      <c r="G396" s="1032"/>
      <c r="H396" s="1032"/>
      <c r="I396" s="1032"/>
      <c r="J396" s="1032"/>
      <c r="K396" s="294" t="str">
        <f>'[6]PLANILHA ORÇAMENTÁRIA'!F108</f>
        <v>M</v>
      </c>
      <c r="L396" s="295">
        <f>K399</f>
        <v>160</v>
      </c>
    </row>
    <row r="397" spans="2:12" hidden="1">
      <c r="B397" s="86"/>
      <c r="C397" s="983" t="s">
        <v>20</v>
      </c>
      <c r="D397" s="983"/>
      <c r="E397" s="983"/>
      <c r="F397" s="87" t="s">
        <v>22</v>
      </c>
      <c r="G397" s="268" t="s">
        <v>111</v>
      </c>
      <c r="H397" s="268" t="s">
        <v>114</v>
      </c>
      <c r="I397" s="268" t="s">
        <v>113</v>
      </c>
      <c r="J397" s="268" t="s">
        <v>136</v>
      </c>
      <c r="K397" s="89" t="s">
        <v>25</v>
      </c>
      <c r="L397" s="90"/>
    </row>
    <row r="398" spans="2:12" hidden="1">
      <c r="B398" s="86"/>
      <c r="C398" s="1028"/>
      <c r="D398" s="1028"/>
      <c r="E398" s="1028"/>
      <c r="F398" s="91"/>
      <c r="G398" s="91"/>
      <c r="H398" s="91"/>
      <c r="I398" s="91">
        <f>'[6]PLANILHA ORÇAMENTÁRIA'!G108</f>
        <v>160</v>
      </c>
      <c r="J398" s="91"/>
      <c r="K398" s="269">
        <f>I398</f>
        <v>160</v>
      </c>
      <c r="L398" s="90"/>
    </row>
    <row r="399" spans="2:12" hidden="1">
      <c r="B399" s="86"/>
      <c r="C399" s="987" t="s">
        <v>116</v>
      </c>
      <c r="D399" s="987"/>
      <c r="E399" s="987"/>
      <c r="F399" s="987"/>
      <c r="G399" s="987"/>
      <c r="H399" s="987"/>
      <c r="I399" s="987"/>
      <c r="J399" s="987"/>
      <c r="K399" s="89">
        <f>SUM(K398:K398)</f>
        <v>160</v>
      </c>
      <c r="L399" s="90"/>
    </row>
    <row r="400" spans="2:12" hidden="1">
      <c r="B400" s="219"/>
      <c r="C400" s="219"/>
      <c r="D400" s="219"/>
      <c r="E400" s="219"/>
      <c r="F400" s="219"/>
      <c r="G400" s="219"/>
      <c r="H400" s="219"/>
      <c r="I400" s="219"/>
      <c r="J400" s="219"/>
      <c r="K400" s="219"/>
      <c r="L400" s="219"/>
    </row>
    <row r="401" spans="2:12" hidden="1">
      <c r="B401" s="292" t="str">
        <f>'[6]PLANILHA ORÇAMENTÁRIA'!D109</f>
        <v>13.0</v>
      </c>
      <c r="C401" s="1093" t="str">
        <f>'[6]PLANILHA ORÇAMENTÁRIA'!E109</f>
        <v>PINTURA</v>
      </c>
      <c r="D401" s="1093"/>
      <c r="E401" s="1093"/>
      <c r="F401" s="1093"/>
      <c r="G401" s="1093"/>
      <c r="H401" s="1093"/>
      <c r="I401" s="1093"/>
      <c r="J401" s="1093"/>
      <c r="K401" s="293"/>
      <c r="L401" s="293"/>
    </row>
    <row r="402" spans="2:12" ht="15" hidden="1" customHeight="1">
      <c r="B402" s="85" t="str">
        <f>'[6]PLANILHA ORÇAMENTÁRIA'!D110</f>
        <v>13.1</v>
      </c>
      <c r="C402" s="1032" t="str">
        <f>'[6]PLANILHA ORÇAMENTÁRIA'!E110</f>
        <v>APLICAÇÃO DE FUNDO SELADOR LÁTEX PVA EM TETO, UMA DEMÃO. AF_06/2014</v>
      </c>
      <c r="D402" s="1032"/>
      <c r="E402" s="1032"/>
      <c r="F402" s="1032"/>
      <c r="G402" s="1032"/>
      <c r="H402" s="1032"/>
      <c r="I402" s="1032"/>
      <c r="J402" s="1032"/>
      <c r="K402" s="294" t="str">
        <f>'[6]PLANILHA ORÇAMENTÁRIA'!F110</f>
        <v>M2</v>
      </c>
      <c r="L402" s="295">
        <f>K409</f>
        <v>23.02</v>
      </c>
    </row>
    <row r="403" spans="2:12" hidden="1">
      <c r="B403" s="86"/>
      <c r="C403" s="983" t="s">
        <v>20</v>
      </c>
      <c r="D403" s="983"/>
      <c r="E403" s="983"/>
      <c r="F403" s="87" t="s">
        <v>22</v>
      </c>
      <c r="G403" s="268" t="s">
        <v>111</v>
      </c>
      <c r="H403" s="87" t="s">
        <v>112</v>
      </c>
      <c r="I403" s="268" t="s">
        <v>113</v>
      </c>
      <c r="J403" s="268" t="s">
        <v>114</v>
      </c>
      <c r="K403" s="89" t="s">
        <v>25</v>
      </c>
      <c r="L403" s="90"/>
    </row>
    <row r="404" spans="2:12" hidden="1">
      <c r="B404" s="86"/>
      <c r="C404" s="1028" t="s">
        <v>167</v>
      </c>
      <c r="D404" s="1028"/>
      <c r="E404" s="1028"/>
      <c r="F404" s="91"/>
      <c r="G404" s="91"/>
      <c r="H404" s="91">
        <v>2</v>
      </c>
      <c r="I404" s="91">
        <v>4.2</v>
      </c>
      <c r="J404" s="91"/>
      <c r="K404" s="269">
        <f>TRUNC(H404*I404,2)</f>
        <v>8.4</v>
      </c>
      <c r="L404" s="90"/>
    </row>
    <row r="405" spans="2:12" hidden="1">
      <c r="B405" s="86"/>
      <c r="C405" s="1028" t="s">
        <v>168</v>
      </c>
      <c r="D405" s="1028"/>
      <c r="E405" s="1028"/>
      <c r="F405" s="91"/>
      <c r="G405" s="91"/>
      <c r="H405" s="91">
        <v>2</v>
      </c>
      <c r="I405" s="91">
        <v>3.13</v>
      </c>
      <c r="J405" s="91"/>
      <c r="K405" s="269">
        <f>TRUNC(H405*I405,2)</f>
        <v>6.26</v>
      </c>
      <c r="L405" s="90"/>
    </row>
    <row r="406" spans="2:12" hidden="1">
      <c r="B406" s="86"/>
      <c r="C406" s="1028" t="s">
        <v>169</v>
      </c>
      <c r="D406" s="1028"/>
      <c r="E406" s="1028"/>
      <c r="F406" s="91"/>
      <c r="G406" s="91"/>
      <c r="H406" s="91">
        <v>1</v>
      </c>
      <c r="I406" s="91">
        <v>1.05</v>
      </c>
      <c r="J406" s="91"/>
      <c r="K406" s="269">
        <f>TRUNC(H406*I406,2)</f>
        <v>1.05</v>
      </c>
      <c r="L406" s="90"/>
    </row>
    <row r="407" spans="2:12" hidden="1">
      <c r="B407" s="86"/>
      <c r="C407" s="1028" t="s">
        <v>170</v>
      </c>
      <c r="D407" s="1028"/>
      <c r="E407" s="1028"/>
      <c r="F407" s="91"/>
      <c r="G407" s="91"/>
      <c r="H407" s="91">
        <v>2</v>
      </c>
      <c r="I407" s="91">
        <v>3.13</v>
      </c>
      <c r="J407" s="91"/>
      <c r="K407" s="269">
        <f>TRUNC(H407*I407,2)</f>
        <v>6.26</v>
      </c>
      <c r="L407" s="90"/>
    </row>
    <row r="408" spans="2:12" hidden="1">
      <c r="B408" s="86"/>
      <c r="C408" s="1028" t="s">
        <v>171</v>
      </c>
      <c r="D408" s="1028"/>
      <c r="E408" s="1028"/>
      <c r="F408" s="91"/>
      <c r="G408" s="91"/>
      <c r="H408" s="91">
        <v>1</v>
      </c>
      <c r="I408" s="91">
        <v>1.05</v>
      </c>
      <c r="J408" s="91"/>
      <c r="K408" s="269">
        <f>TRUNC(H408*I408,2)</f>
        <v>1.05</v>
      </c>
      <c r="L408" s="90"/>
    </row>
    <row r="409" spans="2:12" hidden="1">
      <c r="B409" s="86"/>
      <c r="C409" s="987" t="s">
        <v>116</v>
      </c>
      <c r="D409" s="987"/>
      <c r="E409" s="987"/>
      <c r="F409" s="987"/>
      <c r="G409" s="987"/>
      <c r="H409" s="987"/>
      <c r="I409" s="987"/>
      <c r="J409" s="987"/>
      <c r="K409" s="89">
        <f>SUM(K404:K408)</f>
        <v>23.02</v>
      </c>
      <c r="L409" s="90"/>
    </row>
    <row r="410" spans="2:12" hidden="1">
      <c r="B410" s="219"/>
      <c r="C410" s="219"/>
      <c r="D410" s="219"/>
      <c r="E410" s="219"/>
      <c r="F410" s="219"/>
      <c r="G410" s="219"/>
      <c r="H410" s="219"/>
      <c r="I410" s="219"/>
      <c r="J410" s="219"/>
      <c r="K410" s="219"/>
      <c r="L410" s="219"/>
    </row>
    <row r="411" spans="2:12" ht="15" hidden="1" customHeight="1">
      <c r="B411" s="85" t="str">
        <f>'[6]PLANILHA ORÇAMENTÁRIA'!D111</f>
        <v>13.2</v>
      </c>
      <c r="C411" s="1032" t="str">
        <f>'[6]PLANILHA ORÇAMENTÁRIA'!E111</f>
        <v>APLICAÇÃO E LIXAMENTO DE MASSA LÁTEX EM TETO, DUAS DEMÃOS. AF_06/2014</v>
      </c>
      <c r="D411" s="1032"/>
      <c r="E411" s="1032"/>
      <c r="F411" s="1032"/>
      <c r="G411" s="1032"/>
      <c r="H411" s="1032"/>
      <c r="I411" s="1032"/>
      <c r="J411" s="1032"/>
      <c r="K411" s="294" t="str">
        <f>'[6]PLANILHA ORÇAMENTÁRIA'!F111</f>
        <v>M2</v>
      </c>
      <c r="L411" s="295">
        <f>K418</f>
        <v>23.02</v>
      </c>
    </row>
    <row r="412" spans="2:12" hidden="1">
      <c r="B412" s="86"/>
      <c r="C412" s="983" t="s">
        <v>20</v>
      </c>
      <c r="D412" s="983"/>
      <c r="E412" s="983"/>
      <c r="F412" s="87" t="s">
        <v>22</v>
      </c>
      <c r="G412" s="268" t="s">
        <v>111</v>
      </c>
      <c r="H412" s="87" t="s">
        <v>112</v>
      </c>
      <c r="I412" s="268" t="s">
        <v>113</v>
      </c>
      <c r="J412" s="268" t="s">
        <v>114</v>
      </c>
      <c r="K412" s="89" t="s">
        <v>25</v>
      </c>
      <c r="L412" s="90"/>
    </row>
    <row r="413" spans="2:12" hidden="1">
      <c r="B413" s="86"/>
      <c r="C413" s="1028" t="s">
        <v>167</v>
      </c>
      <c r="D413" s="1028"/>
      <c r="E413" s="1028"/>
      <c r="F413" s="91"/>
      <c r="G413" s="91"/>
      <c r="H413" s="91">
        <v>2</v>
      </c>
      <c r="I413" s="91">
        <v>4.2</v>
      </c>
      <c r="J413" s="91"/>
      <c r="K413" s="269">
        <f>TRUNC(H413*I413,2)</f>
        <v>8.4</v>
      </c>
      <c r="L413" s="90"/>
    </row>
    <row r="414" spans="2:12" hidden="1">
      <c r="B414" s="86"/>
      <c r="C414" s="1028" t="s">
        <v>168</v>
      </c>
      <c r="D414" s="1028"/>
      <c r="E414" s="1028"/>
      <c r="F414" s="91"/>
      <c r="G414" s="91"/>
      <c r="H414" s="91">
        <v>2</v>
      </c>
      <c r="I414" s="91">
        <v>3.13</v>
      </c>
      <c r="J414" s="91"/>
      <c r="K414" s="269">
        <f>TRUNC(H414*I414,2)</f>
        <v>6.26</v>
      </c>
      <c r="L414" s="90"/>
    </row>
    <row r="415" spans="2:12" hidden="1">
      <c r="B415" s="86"/>
      <c r="C415" s="1028" t="s">
        <v>169</v>
      </c>
      <c r="D415" s="1028"/>
      <c r="E415" s="1028"/>
      <c r="F415" s="91"/>
      <c r="G415" s="91"/>
      <c r="H415" s="91">
        <v>1</v>
      </c>
      <c r="I415" s="91">
        <v>1.05</v>
      </c>
      <c r="J415" s="91"/>
      <c r="K415" s="269">
        <f>TRUNC(H415*I415,2)</f>
        <v>1.05</v>
      </c>
      <c r="L415" s="90"/>
    </row>
    <row r="416" spans="2:12" hidden="1">
      <c r="B416" s="86"/>
      <c r="C416" s="1028" t="s">
        <v>170</v>
      </c>
      <c r="D416" s="1028"/>
      <c r="E416" s="1028"/>
      <c r="F416" s="91"/>
      <c r="G416" s="91"/>
      <c r="H416" s="91">
        <v>2</v>
      </c>
      <c r="I416" s="91">
        <v>3.13</v>
      </c>
      <c r="J416" s="91"/>
      <c r="K416" s="269">
        <f>TRUNC(H416*I416,2)</f>
        <v>6.26</v>
      </c>
      <c r="L416" s="90"/>
    </row>
    <row r="417" spans="2:12" hidden="1">
      <c r="B417" s="86"/>
      <c r="C417" s="1028" t="s">
        <v>171</v>
      </c>
      <c r="D417" s="1028"/>
      <c r="E417" s="1028"/>
      <c r="F417" s="91"/>
      <c r="G417" s="91"/>
      <c r="H417" s="91">
        <v>1</v>
      </c>
      <c r="I417" s="91">
        <v>1.05</v>
      </c>
      <c r="J417" s="91"/>
      <c r="K417" s="269">
        <f>TRUNC(H417*I417,2)</f>
        <v>1.05</v>
      </c>
      <c r="L417" s="90"/>
    </row>
    <row r="418" spans="2:12" hidden="1">
      <c r="B418" s="86"/>
      <c r="C418" s="987" t="s">
        <v>116</v>
      </c>
      <c r="D418" s="987"/>
      <c r="E418" s="987"/>
      <c r="F418" s="987"/>
      <c r="G418" s="987"/>
      <c r="H418" s="987"/>
      <c r="I418" s="987"/>
      <c r="J418" s="987"/>
      <c r="K418" s="89">
        <f>SUM(K413:K417)</f>
        <v>23.02</v>
      </c>
      <c r="L418" s="90"/>
    </row>
    <row r="419" spans="2:12" hidden="1">
      <c r="B419" s="219"/>
      <c r="C419" s="219"/>
      <c r="D419" s="219"/>
      <c r="E419" s="219"/>
      <c r="F419" s="219"/>
      <c r="G419" s="219"/>
      <c r="H419" s="219"/>
      <c r="I419" s="219"/>
      <c r="J419" s="219"/>
      <c r="K419" s="219"/>
      <c r="L419" s="219"/>
    </row>
    <row r="420" spans="2:12" ht="15" hidden="1" customHeight="1">
      <c r="B420" s="85" t="str">
        <f>'[6]PLANILHA ORÇAMENTÁRIA'!D112</f>
        <v>13.3</v>
      </c>
      <c r="C420" s="1032" t="str">
        <f>'[6]PLANILHA ORÇAMENTÁRIA'!E112</f>
        <v>APLICAÇÃO MANUAL DE PINTURA COM TINTA LÁTEX PVA EM TETO, DUAS DEMÃOS. AF_06/2014</v>
      </c>
      <c r="D420" s="1032"/>
      <c r="E420" s="1032"/>
      <c r="F420" s="1032"/>
      <c r="G420" s="1032"/>
      <c r="H420" s="1032"/>
      <c r="I420" s="1032"/>
      <c r="J420" s="1032"/>
      <c r="K420" s="294" t="str">
        <f>'[6]PLANILHA ORÇAMENTÁRIA'!F112</f>
        <v>M2</v>
      </c>
      <c r="L420" s="295">
        <f>K427</f>
        <v>23.02</v>
      </c>
    </row>
    <row r="421" spans="2:12" hidden="1">
      <c r="B421" s="86"/>
      <c r="C421" s="983" t="s">
        <v>20</v>
      </c>
      <c r="D421" s="983"/>
      <c r="E421" s="983"/>
      <c r="F421" s="87" t="s">
        <v>22</v>
      </c>
      <c r="G421" s="268" t="s">
        <v>111</v>
      </c>
      <c r="H421" s="87" t="s">
        <v>112</v>
      </c>
      <c r="I421" s="268" t="s">
        <v>113</v>
      </c>
      <c r="J421" s="268" t="s">
        <v>114</v>
      </c>
      <c r="K421" s="89" t="s">
        <v>25</v>
      </c>
      <c r="L421" s="90"/>
    </row>
    <row r="422" spans="2:12" hidden="1">
      <c r="B422" s="86"/>
      <c r="C422" s="1028" t="s">
        <v>167</v>
      </c>
      <c r="D422" s="1028"/>
      <c r="E422" s="1028"/>
      <c r="F422" s="91"/>
      <c r="G422" s="91"/>
      <c r="H422" s="91">
        <v>2</v>
      </c>
      <c r="I422" s="91">
        <v>4.2</v>
      </c>
      <c r="J422" s="91"/>
      <c r="K422" s="269">
        <f>TRUNC(H422*I422,2)</f>
        <v>8.4</v>
      </c>
      <c r="L422" s="90"/>
    </row>
    <row r="423" spans="2:12" hidden="1">
      <c r="B423" s="86"/>
      <c r="C423" s="1028" t="s">
        <v>168</v>
      </c>
      <c r="D423" s="1028"/>
      <c r="E423" s="1028"/>
      <c r="F423" s="91"/>
      <c r="G423" s="91"/>
      <c r="H423" s="91">
        <v>2</v>
      </c>
      <c r="I423" s="91">
        <v>3.13</v>
      </c>
      <c r="J423" s="91"/>
      <c r="K423" s="269">
        <f>TRUNC(H423*I423,2)</f>
        <v>6.26</v>
      </c>
      <c r="L423" s="90"/>
    </row>
    <row r="424" spans="2:12" hidden="1">
      <c r="B424" s="86"/>
      <c r="C424" s="1028" t="s">
        <v>169</v>
      </c>
      <c r="D424" s="1028"/>
      <c r="E424" s="1028"/>
      <c r="F424" s="91"/>
      <c r="G424" s="91"/>
      <c r="H424" s="91">
        <v>1</v>
      </c>
      <c r="I424" s="91">
        <v>1.05</v>
      </c>
      <c r="J424" s="91"/>
      <c r="K424" s="269">
        <f>TRUNC(H424*I424,2)</f>
        <v>1.05</v>
      </c>
      <c r="L424" s="90"/>
    </row>
    <row r="425" spans="2:12" hidden="1">
      <c r="B425" s="86"/>
      <c r="C425" s="1028" t="s">
        <v>170</v>
      </c>
      <c r="D425" s="1028"/>
      <c r="E425" s="1028"/>
      <c r="F425" s="91"/>
      <c r="G425" s="91"/>
      <c r="H425" s="91">
        <v>2</v>
      </c>
      <c r="I425" s="91">
        <v>3.13</v>
      </c>
      <c r="J425" s="91"/>
      <c r="K425" s="269">
        <f>TRUNC(H425*I425,2)</f>
        <v>6.26</v>
      </c>
      <c r="L425" s="90"/>
    </row>
    <row r="426" spans="2:12" hidden="1">
      <c r="B426" s="86"/>
      <c r="C426" s="1028" t="s">
        <v>171</v>
      </c>
      <c r="D426" s="1028"/>
      <c r="E426" s="1028"/>
      <c r="F426" s="91"/>
      <c r="G426" s="91"/>
      <c r="H426" s="91">
        <v>1</v>
      </c>
      <c r="I426" s="91">
        <v>1.05</v>
      </c>
      <c r="J426" s="91"/>
      <c r="K426" s="269">
        <f>TRUNC(H426*I426,2)</f>
        <v>1.05</v>
      </c>
      <c r="L426" s="90"/>
    </row>
    <row r="427" spans="2:12" hidden="1">
      <c r="B427" s="86"/>
      <c r="C427" s="987" t="s">
        <v>116</v>
      </c>
      <c r="D427" s="987"/>
      <c r="E427" s="987"/>
      <c r="F427" s="987"/>
      <c r="G427" s="987"/>
      <c r="H427" s="987"/>
      <c r="I427" s="987"/>
      <c r="J427" s="987"/>
      <c r="K427" s="89">
        <f>SUM(K422:K426)</f>
        <v>23.02</v>
      </c>
      <c r="L427" s="90"/>
    </row>
    <row r="428" spans="2:12" hidden="1">
      <c r="B428" s="219"/>
      <c r="C428" s="219"/>
      <c r="D428" s="219"/>
      <c r="E428" s="219"/>
      <c r="F428" s="219"/>
      <c r="G428" s="219"/>
      <c r="H428" s="219"/>
      <c r="I428" s="219"/>
      <c r="J428" s="219"/>
      <c r="K428" s="219"/>
      <c r="L428" s="219"/>
    </row>
    <row r="429" spans="2:12" hidden="1">
      <c r="B429" s="85" t="str">
        <f>'[6]PLANILHA ORÇAMENTÁRIA'!D113</f>
        <v>13.4</v>
      </c>
      <c r="C429" s="1032" t="str">
        <f>'[6]PLANILHA ORÇAMENTÁRIA'!E113</f>
        <v>APLICAÇÃO DE FUNDO SELADOR ACRÍLICO EM PAREDES, UMA DEMÃO. AF_06/2014</v>
      </c>
      <c r="D429" s="1032"/>
      <c r="E429" s="1032"/>
      <c r="F429" s="1032"/>
      <c r="G429" s="1032"/>
      <c r="H429" s="1032"/>
      <c r="I429" s="1032"/>
      <c r="J429" s="1032"/>
      <c r="K429" s="294" t="str">
        <f>'[6]PLANILHA ORÇAMENTÁRIA'!F113</f>
        <v>M2</v>
      </c>
      <c r="L429" s="295">
        <f>K433</f>
        <v>50.4</v>
      </c>
    </row>
    <row r="430" spans="2:12" hidden="1">
      <c r="B430" s="86"/>
      <c r="C430" s="983" t="s">
        <v>20</v>
      </c>
      <c r="D430" s="983"/>
      <c r="E430" s="983"/>
      <c r="F430" s="87" t="s">
        <v>22</v>
      </c>
      <c r="G430" s="268" t="s">
        <v>111</v>
      </c>
      <c r="H430" s="87" t="s">
        <v>112</v>
      </c>
      <c r="I430" s="268" t="s">
        <v>154</v>
      </c>
      <c r="J430" s="268" t="s">
        <v>114</v>
      </c>
      <c r="K430" s="89" t="s">
        <v>25</v>
      </c>
      <c r="L430" s="90"/>
    </row>
    <row r="431" spans="2:12" ht="25.5" hidden="1" customHeight="1">
      <c r="B431" s="86"/>
      <c r="C431" s="1028" t="s">
        <v>172</v>
      </c>
      <c r="D431" s="1028"/>
      <c r="E431" s="1028"/>
      <c r="F431" s="91">
        <v>1</v>
      </c>
      <c r="G431" s="91">
        <v>2.4</v>
      </c>
      <c r="H431" s="91"/>
      <c r="I431" s="91">
        <v>12.6</v>
      </c>
      <c r="J431" s="91"/>
      <c r="K431" s="269">
        <f>TRUNC(((G431*I431)*F431)-J431,2)</f>
        <v>30.24</v>
      </c>
      <c r="L431" s="90"/>
    </row>
    <row r="432" spans="2:12" hidden="1">
      <c r="B432" s="86"/>
      <c r="C432" s="1028" t="s">
        <v>173</v>
      </c>
      <c r="D432" s="1028"/>
      <c r="E432" s="1028"/>
      <c r="F432" s="91">
        <v>1</v>
      </c>
      <c r="G432" s="91">
        <v>2.4</v>
      </c>
      <c r="H432" s="91"/>
      <c r="I432" s="91">
        <v>8.4</v>
      </c>
      <c r="J432" s="91"/>
      <c r="K432" s="269">
        <f>TRUNC(((G432*I432)*F432),2)</f>
        <v>20.16</v>
      </c>
      <c r="L432" s="90"/>
    </row>
    <row r="433" spans="2:12" hidden="1">
      <c r="B433" s="219"/>
      <c r="C433" s="987" t="s">
        <v>116</v>
      </c>
      <c r="D433" s="987"/>
      <c r="E433" s="987"/>
      <c r="F433" s="987"/>
      <c r="G433" s="987"/>
      <c r="H433" s="987"/>
      <c r="I433" s="987"/>
      <c r="J433" s="987"/>
      <c r="K433" s="89">
        <f>SUM(K431:K432)</f>
        <v>50.4</v>
      </c>
      <c r="L433" s="219"/>
    </row>
    <row r="434" spans="2:12" hidden="1">
      <c r="B434" s="219"/>
      <c r="C434" s="219"/>
      <c r="D434" s="219"/>
      <c r="E434" s="219"/>
      <c r="F434" s="219"/>
      <c r="G434" s="219"/>
      <c r="H434" s="219"/>
      <c r="I434" s="219"/>
      <c r="J434" s="219"/>
      <c r="K434" s="219"/>
      <c r="L434" s="219"/>
    </row>
    <row r="435" spans="2:12" hidden="1">
      <c r="B435" s="85" t="str">
        <f>'[6]PLANILHA ORÇAMENTÁRIA'!D114</f>
        <v>13.5</v>
      </c>
      <c r="C435" s="1032" t="str">
        <f>'[6]PLANILHA ORÇAMENTÁRIA'!E114</f>
        <v>APLICAÇÃO E LIXAMENTO DE MASSA LÁTEX EM PAREDES, UMA DEMÃO. AF_06/2014</v>
      </c>
      <c r="D435" s="1032"/>
      <c r="E435" s="1032"/>
      <c r="F435" s="1032"/>
      <c r="G435" s="1032"/>
      <c r="H435" s="1032"/>
      <c r="I435" s="1032"/>
      <c r="J435" s="1032"/>
      <c r="K435" s="294" t="str">
        <f>'[6]PLANILHA ORÇAMENTÁRIA'!F114</f>
        <v>M2</v>
      </c>
      <c r="L435" s="295">
        <f>K439</f>
        <v>50.4</v>
      </c>
    </row>
    <row r="436" spans="2:12" hidden="1">
      <c r="B436" s="86"/>
      <c r="C436" s="983" t="s">
        <v>20</v>
      </c>
      <c r="D436" s="983"/>
      <c r="E436" s="983"/>
      <c r="F436" s="87" t="s">
        <v>22</v>
      </c>
      <c r="G436" s="268" t="s">
        <v>111</v>
      </c>
      <c r="H436" s="87" t="s">
        <v>112</v>
      </c>
      <c r="I436" s="268" t="s">
        <v>154</v>
      </c>
      <c r="J436" s="268" t="s">
        <v>114</v>
      </c>
      <c r="K436" s="89" t="s">
        <v>25</v>
      </c>
      <c r="L436" s="90"/>
    </row>
    <row r="437" spans="2:12" hidden="1">
      <c r="B437" s="86"/>
      <c r="C437" s="1028" t="s">
        <v>172</v>
      </c>
      <c r="D437" s="1028"/>
      <c r="E437" s="1028"/>
      <c r="F437" s="91">
        <v>1</v>
      </c>
      <c r="G437" s="91">
        <v>2.4</v>
      </c>
      <c r="H437" s="91"/>
      <c r="I437" s="91">
        <v>12.6</v>
      </c>
      <c r="J437" s="91"/>
      <c r="K437" s="269">
        <f>TRUNC(((G437*I437)*F437)-J437,2)</f>
        <v>30.24</v>
      </c>
      <c r="L437" s="90"/>
    </row>
    <row r="438" spans="2:12" hidden="1">
      <c r="B438" s="86"/>
      <c r="C438" s="1028" t="s">
        <v>173</v>
      </c>
      <c r="D438" s="1028"/>
      <c r="E438" s="1028"/>
      <c r="F438" s="91">
        <v>1</v>
      </c>
      <c r="G438" s="91">
        <v>2.4</v>
      </c>
      <c r="H438" s="91"/>
      <c r="I438" s="91">
        <v>8.4</v>
      </c>
      <c r="J438" s="91"/>
      <c r="K438" s="269">
        <f>TRUNC(((G438*I438)*F438),2)</f>
        <v>20.16</v>
      </c>
      <c r="L438" s="90"/>
    </row>
    <row r="439" spans="2:12" hidden="1">
      <c r="B439" s="219"/>
      <c r="C439" s="987" t="s">
        <v>116</v>
      </c>
      <c r="D439" s="987"/>
      <c r="E439" s="987"/>
      <c r="F439" s="987"/>
      <c r="G439" s="987"/>
      <c r="H439" s="987"/>
      <c r="I439" s="987"/>
      <c r="J439" s="987"/>
      <c r="K439" s="89">
        <f>SUM(K437:K438)</f>
        <v>50.4</v>
      </c>
      <c r="L439" s="219"/>
    </row>
    <row r="440" spans="2:12" hidden="1">
      <c r="B440" s="219"/>
      <c r="C440" s="219"/>
      <c r="D440" s="219"/>
      <c r="E440" s="219"/>
      <c r="F440" s="219"/>
      <c r="G440" s="219"/>
      <c r="H440" s="219"/>
      <c r="I440" s="219"/>
      <c r="J440" s="219"/>
      <c r="K440" s="219"/>
      <c r="L440" s="219"/>
    </row>
    <row r="441" spans="2:12" hidden="1">
      <c r="B441" s="85" t="str">
        <f>'[6]PLANILHA ORÇAMENTÁRIA'!D115</f>
        <v>13.6</v>
      </c>
      <c r="C441" s="1032" t="str">
        <f>'[6]PLANILHA ORÇAMENTÁRIA'!E115</f>
        <v>APLICAÇÃO MANUAL DE PINTURA COM TINTA LÁTEX ACRÍLICA EM PAREDES, DUAS DEMÃOS. AF_06/2014</v>
      </c>
      <c r="D441" s="1032"/>
      <c r="E441" s="1032"/>
      <c r="F441" s="1032"/>
      <c r="G441" s="1032"/>
      <c r="H441" s="1032"/>
      <c r="I441" s="1032"/>
      <c r="J441" s="1032"/>
      <c r="K441" s="294" t="str">
        <f>'[6]PLANILHA ORÇAMENTÁRIA'!F115</f>
        <v>M2</v>
      </c>
      <c r="L441" s="295">
        <f>K445</f>
        <v>50.4</v>
      </c>
    </row>
    <row r="442" spans="2:12" hidden="1">
      <c r="B442" s="86"/>
      <c r="C442" s="983" t="s">
        <v>20</v>
      </c>
      <c r="D442" s="983"/>
      <c r="E442" s="983"/>
      <c r="F442" s="87" t="s">
        <v>22</v>
      </c>
      <c r="G442" s="268" t="s">
        <v>111</v>
      </c>
      <c r="H442" s="87" t="s">
        <v>112</v>
      </c>
      <c r="I442" s="268" t="s">
        <v>154</v>
      </c>
      <c r="J442" s="268" t="s">
        <v>114</v>
      </c>
      <c r="K442" s="89" t="s">
        <v>25</v>
      </c>
      <c r="L442" s="90"/>
    </row>
    <row r="443" spans="2:12" hidden="1">
      <c r="B443" s="86"/>
      <c r="C443" s="1028" t="s">
        <v>172</v>
      </c>
      <c r="D443" s="1028"/>
      <c r="E443" s="1028"/>
      <c r="F443" s="91">
        <v>1</v>
      </c>
      <c r="G443" s="91">
        <v>2.4</v>
      </c>
      <c r="H443" s="91"/>
      <c r="I443" s="91">
        <v>12.6</v>
      </c>
      <c r="J443" s="91"/>
      <c r="K443" s="269">
        <f>TRUNC(((G443*I443)*F443)-J443,2)</f>
        <v>30.24</v>
      </c>
      <c r="L443" s="90"/>
    </row>
    <row r="444" spans="2:12" hidden="1">
      <c r="B444" s="86"/>
      <c r="C444" s="1028" t="s">
        <v>173</v>
      </c>
      <c r="D444" s="1028"/>
      <c r="E444" s="1028"/>
      <c r="F444" s="91">
        <v>1</v>
      </c>
      <c r="G444" s="91">
        <v>2.4</v>
      </c>
      <c r="H444" s="91"/>
      <c r="I444" s="91">
        <v>8.4</v>
      </c>
      <c r="J444" s="91"/>
      <c r="K444" s="269">
        <f>TRUNC(((G444*I444)*F444),2)</f>
        <v>20.16</v>
      </c>
      <c r="L444" s="90"/>
    </row>
    <row r="445" spans="2:12" hidden="1">
      <c r="B445" s="219"/>
      <c r="C445" s="987" t="s">
        <v>116</v>
      </c>
      <c r="D445" s="987"/>
      <c r="E445" s="987"/>
      <c r="F445" s="987"/>
      <c r="G445" s="987"/>
      <c r="H445" s="987"/>
      <c r="I445" s="987"/>
      <c r="J445" s="987"/>
      <c r="K445" s="89">
        <f>SUM(K443:K444)</f>
        <v>50.4</v>
      </c>
      <c r="L445" s="219"/>
    </row>
    <row r="446" spans="2:12" hidden="1">
      <c r="B446" s="219"/>
      <c r="C446" s="219"/>
      <c r="D446" s="219"/>
      <c r="E446" s="219"/>
      <c r="F446" s="219"/>
      <c r="G446" s="219"/>
      <c r="H446" s="219"/>
      <c r="I446" s="219"/>
      <c r="J446" s="219"/>
      <c r="K446" s="219"/>
      <c r="L446" s="219"/>
    </row>
    <row r="447" spans="2:12" hidden="1">
      <c r="B447" s="292" t="str">
        <f>'[6]PLANILHA ORÇAMENTÁRIA'!D116</f>
        <v>14.0</v>
      </c>
      <c r="C447" s="1093" t="str">
        <f>'[6]PLANILHA ORÇAMENTÁRIA'!E116</f>
        <v>APARELHOS DA ACADEMIA</v>
      </c>
      <c r="D447" s="1093"/>
      <c r="E447" s="1093"/>
      <c r="F447" s="1093"/>
      <c r="G447" s="1093"/>
      <c r="H447" s="1093"/>
      <c r="I447" s="1093"/>
      <c r="J447" s="1093"/>
      <c r="K447" s="293"/>
      <c r="L447" s="293"/>
    </row>
    <row r="448" spans="2:12" hidden="1">
      <c r="B448" s="292" t="str">
        <f>'[6]PLANILHA ORÇAMENTÁRIA'!D117</f>
        <v>14.1</v>
      </c>
      <c r="C448" s="1093" t="str">
        <f>'[6]PLANILHA ORÇAMENTÁRIA'!E117</f>
        <v>BARRA PARALELA</v>
      </c>
      <c r="D448" s="1093"/>
      <c r="E448" s="1093"/>
      <c r="F448" s="1093"/>
      <c r="G448" s="1093"/>
      <c r="H448" s="1093"/>
      <c r="I448" s="1093"/>
      <c r="J448" s="1093"/>
      <c r="K448" s="293"/>
      <c r="L448" s="293"/>
    </row>
    <row r="449" spans="2:12" ht="15" hidden="1" customHeight="1">
      <c r="B449" s="85" t="str">
        <f>'[6]PLANILHA ORÇAMENTÁRIA'!D118</f>
        <v>14.1.1</v>
      </c>
      <c r="C449" s="1032" t="str">
        <f>'[6]PLANILHA ORÇAMENTÁRIA'!E118</f>
        <v>ESCAVAÇÃO MANUAL DE VALA COM PROFUNDIDADE MENOR OU IGUAL A 1,30 M</v>
      </c>
      <c r="D449" s="1032"/>
      <c r="E449" s="1032"/>
      <c r="F449" s="1032"/>
      <c r="G449" s="1032"/>
      <c r="H449" s="1032"/>
      <c r="I449" s="1032"/>
      <c r="J449" s="1032"/>
      <c r="K449" s="294" t="str">
        <f>'[6]PLANILHA ORÇAMENTÁRIA'!F118</f>
        <v>M3</v>
      </c>
      <c r="L449" s="295">
        <f>K452</f>
        <v>9.9000000000000005E-2</v>
      </c>
    </row>
    <row r="450" spans="2:12" hidden="1">
      <c r="B450" s="86"/>
      <c r="C450" s="983" t="s">
        <v>20</v>
      </c>
      <c r="D450" s="983"/>
      <c r="E450" s="983"/>
      <c r="F450" s="87" t="s">
        <v>22</v>
      </c>
      <c r="G450" s="268" t="s">
        <v>111</v>
      </c>
      <c r="H450" s="87" t="s">
        <v>112</v>
      </c>
      <c r="I450" s="268" t="s">
        <v>113</v>
      </c>
      <c r="J450" s="268" t="s">
        <v>114</v>
      </c>
      <c r="K450" s="89" t="s">
        <v>25</v>
      </c>
      <c r="L450" s="90"/>
    </row>
    <row r="451" spans="2:12" hidden="1">
      <c r="B451" s="86"/>
      <c r="C451" s="1028" t="s">
        <v>174</v>
      </c>
      <c r="D451" s="1028"/>
      <c r="E451" s="1028"/>
      <c r="F451" s="91">
        <v>8</v>
      </c>
      <c r="G451" s="91">
        <v>0.55000000000000004</v>
      </c>
      <c r="H451" s="91">
        <v>0.15</v>
      </c>
      <c r="I451" s="91">
        <v>0.15</v>
      </c>
      <c r="J451" s="91"/>
      <c r="K451" s="296">
        <f>PRODUCT(F451:I451)</f>
        <v>9.9000000000000005E-2</v>
      </c>
      <c r="L451" s="90"/>
    </row>
    <row r="452" spans="2:12" hidden="1">
      <c r="B452" s="86"/>
      <c r="C452" s="987" t="s">
        <v>116</v>
      </c>
      <c r="D452" s="987"/>
      <c r="E452" s="987"/>
      <c r="F452" s="987"/>
      <c r="G452" s="987"/>
      <c r="H452" s="987"/>
      <c r="I452" s="987"/>
      <c r="J452" s="987"/>
      <c r="K452" s="298">
        <f>SUM(K451:K451)</f>
        <v>9.9000000000000005E-2</v>
      </c>
      <c r="L452" s="90"/>
    </row>
    <row r="453" spans="2:12" hidden="1">
      <c r="B453" s="86"/>
      <c r="C453" s="211"/>
      <c r="D453" s="211"/>
      <c r="E453" s="211"/>
      <c r="F453" s="211"/>
      <c r="G453" s="211"/>
      <c r="H453" s="211"/>
      <c r="I453" s="211"/>
      <c r="J453" s="211"/>
      <c r="K453" s="299"/>
      <c r="L453" s="90"/>
    </row>
    <row r="454" spans="2:12" ht="22.5" hidden="1" customHeight="1">
      <c r="B454" s="85" t="str">
        <f>'[6]PLANILHA ORÇAMENTÁRIA'!D119</f>
        <v>14.1.2</v>
      </c>
      <c r="C454" s="1032" t="str">
        <f>'[6]PLANILHA ORÇAMENTÁRIA'!E119</f>
        <v>LASTRO DE CONCRETO MAGRO, APLICADO EM PISOS OU RADIERS, ESPESSURA DE 5CM. AF_07_2016</v>
      </c>
      <c r="D454" s="1032"/>
      <c r="E454" s="1032"/>
      <c r="F454" s="1032"/>
      <c r="G454" s="1032"/>
      <c r="H454" s="1032"/>
      <c r="I454" s="1032"/>
      <c r="J454" s="1032"/>
      <c r="K454" s="294" t="str">
        <f>'[6]PLANILHA ORÇAMENTÁRIA'!F119</f>
        <v>M2</v>
      </c>
      <c r="L454" s="295">
        <f>K457</f>
        <v>0.18</v>
      </c>
    </row>
    <row r="455" spans="2:12" hidden="1">
      <c r="B455" s="86"/>
      <c r="C455" s="983" t="s">
        <v>20</v>
      </c>
      <c r="D455" s="983"/>
      <c r="E455" s="983"/>
      <c r="F455" s="87" t="s">
        <v>22</v>
      </c>
      <c r="G455" s="268" t="s">
        <v>111</v>
      </c>
      <c r="H455" s="87" t="s">
        <v>112</v>
      </c>
      <c r="I455" s="268" t="s">
        <v>113</v>
      </c>
      <c r="J455" s="268" t="s">
        <v>114</v>
      </c>
      <c r="K455" s="89" t="s">
        <v>25</v>
      </c>
      <c r="L455" s="90"/>
    </row>
    <row r="456" spans="2:12" hidden="1">
      <c r="B456" s="86"/>
      <c r="C456" s="1028"/>
      <c r="D456" s="1028"/>
      <c r="E456" s="1028"/>
      <c r="F456" s="91">
        <v>8</v>
      </c>
      <c r="G456" s="91"/>
      <c r="H456" s="91">
        <v>0.15</v>
      </c>
      <c r="I456" s="91">
        <v>0.15</v>
      </c>
      <c r="J456" s="91"/>
      <c r="K456" s="296">
        <f>PRODUCT(F456:I456)</f>
        <v>0.18</v>
      </c>
      <c r="L456" s="90"/>
    </row>
    <row r="457" spans="2:12" hidden="1">
      <c r="B457" s="86"/>
      <c r="C457" s="987" t="s">
        <v>116</v>
      </c>
      <c r="D457" s="987"/>
      <c r="E457" s="987"/>
      <c r="F457" s="987"/>
      <c r="G457" s="987"/>
      <c r="H457" s="987"/>
      <c r="I457" s="987"/>
      <c r="J457" s="987"/>
      <c r="K457" s="298">
        <f>SUM(K456:K456)</f>
        <v>0.18</v>
      </c>
      <c r="L457" s="90"/>
    </row>
    <row r="458" spans="2:12" hidden="1">
      <c r="B458" s="86"/>
      <c r="C458" s="211"/>
      <c r="D458" s="211"/>
      <c r="E458" s="211"/>
      <c r="F458" s="211"/>
      <c r="G458" s="211"/>
      <c r="H458" s="211"/>
      <c r="I458" s="211"/>
      <c r="J458" s="211"/>
      <c r="K458" s="299"/>
      <c r="L458" s="90"/>
    </row>
    <row r="459" spans="2:12" ht="24" hidden="1" customHeight="1">
      <c r="B459" s="85" t="str">
        <f>'[6]PLANILHA ORÇAMENTÁRIA'!D120</f>
        <v>14.1.3</v>
      </c>
      <c r="C459" s="1032" t="str">
        <f>'[6]PLANILHA ORÇAMENTÁRIA'!E120</f>
        <v>CONCRETAGEM DE BLOCOS DE COROAMENTO E VIGAS BALDRAMES, FCK 30 MPA, COM USO DE BOMBA LANÇAMENTO, ADENSAMENTO E ACABAMENTO. AF_06/2017</v>
      </c>
      <c r="D459" s="1032"/>
      <c r="E459" s="1032"/>
      <c r="F459" s="1032"/>
      <c r="G459" s="1032"/>
      <c r="H459" s="1032"/>
      <c r="I459" s="1032"/>
      <c r="J459" s="1032"/>
      <c r="K459" s="294" t="str">
        <f>'[6]PLANILHA ORÇAMENTÁRIA'!F120</f>
        <v>M3</v>
      </c>
      <c r="L459" s="295">
        <f>K462</f>
        <v>7.0000000000000007E-2</v>
      </c>
    </row>
    <row r="460" spans="2:12" hidden="1">
      <c r="B460" s="86"/>
      <c r="C460" s="983" t="s">
        <v>20</v>
      </c>
      <c r="D460" s="983"/>
      <c r="E460" s="983"/>
      <c r="F460" s="87" t="s">
        <v>22</v>
      </c>
      <c r="G460" s="268" t="s">
        <v>111</v>
      </c>
      <c r="H460" s="87" t="s">
        <v>112</v>
      </c>
      <c r="I460" s="268" t="s">
        <v>113</v>
      </c>
      <c r="J460" s="268" t="s">
        <v>114</v>
      </c>
      <c r="K460" s="89" t="s">
        <v>25</v>
      </c>
      <c r="L460" s="90"/>
    </row>
    <row r="461" spans="2:12" hidden="1">
      <c r="B461" s="86"/>
      <c r="C461" s="1028" t="s">
        <v>175</v>
      </c>
      <c r="D461" s="1028"/>
      <c r="E461" s="1028"/>
      <c r="F461" s="91">
        <v>8</v>
      </c>
      <c r="G461" s="91">
        <v>0.4</v>
      </c>
      <c r="H461" s="91">
        <v>0.15</v>
      </c>
      <c r="I461" s="91">
        <v>0.15</v>
      </c>
      <c r="J461" s="91"/>
      <c r="K461" s="269">
        <f>TRUNC(G461*H461*F461*I461,2)</f>
        <v>7.0000000000000007E-2</v>
      </c>
      <c r="L461" s="90"/>
    </row>
    <row r="462" spans="2:12" hidden="1">
      <c r="B462" s="86"/>
      <c r="C462" s="987" t="s">
        <v>116</v>
      </c>
      <c r="D462" s="987"/>
      <c r="E462" s="987"/>
      <c r="F462" s="987"/>
      <c r="G462" s="987"/>
      <c r="H462" s="987"/>
      <c r="I462" s="987"/>
      <c r="J462" s="987"/>
      <c r="K462" s="89">
        <f>SUM(K461:K461)</f>
        <v>7.0000000000000007E-2</v>
      </c>
      <c r="L462" s="90"/>
    </row>
    <row r="463" spans="2:12" hidden="1">
      <c r="B463" s="219"/>
      <c r="C463" s="219"/>
      <c r="D463" s="219"/>
      <c r="E463" s="219"/>
      <c r="F463" s="219"/>
      <c r="G463" s="219"/>
      <c r="H463" s="219"/>
      <c r="I463" s="219"/>
      <c r="J463" s="219"/>
      <c r="K463" s="219"/>
      <c r="L463" s="219"/>
    </row>
    <row r="464" spans="2:12" ht="15" hidden="1" customHeight="1">
      <c r="B464" s="85" t="str">
        <f>'[6]PLANILHA ORÇAMENTÁRIA'!D121</f>
        <v>14.1.4</v>
      </c>
      <c r="C464" s="1032" t="str">
        <f>'[6]PLANILHA ORÇAMENTÁRIA'!E121</f>
        <v>TUBO DE AÇO GALVANIZADO COM COSTURA 2" - FORNECIMENTO E INSTALACAO.</v>
      </c>
      <c r="D464" s="1032"/>
      <c r="E464" s="1032"/>
      <c r="F464" s="1032"/>
      <c r="G464" s="1032"/>
      <c r="H464" s="1032"/>
      <c r="I464" s="1032"/>
      <c r="J464" s="1032"/>
      <c r="K464" s="294" t="str">
        <f>'[6]PLANILHA ORÇAMENTÁRIA'!F121</f>
        <v>M</v>
      </c>
      <c r="L464" s="295">
        <f>K468</f>
        <v>21.2</v>
      </c>
    </row>
    <row r="465" spans="2:12" hidden="1">
      <c r="B465" s="86"/>
      <c r="C465" s="983" t="s">
        <v>20</v>
      </c>
      <c r="D465" s="983"/>
      <c r="E465" s="983"/>
      <c r="F465" s="87" t="s">
        <v>22</v>
      </c>
      <c r="G465" s="268" t="s">
        <v>111</v>
      </c>
      <c r="H465" s="87" t="s">
        <v>112</v>
      </c>
      <c r="I465" s="268" t="s">
        <v>113</v>
      </c>
      <c r="J465" s="268" t="s">
        <v>114</v>
      </c>
      <c r="K465" s="89" t="s">
        <v>25</v>
      </c>
      <c r="L465" s="90"/>
    </row>
    <row r="466" spans="2:12" hidden="1">
      <c r="B466" s="86"/>
      <c r="C466" s="1028" t="s">
        <v>176</v>
      </c>
      <c r="D466" s="1028"/>
      <c r="E466" s="1028"/>
      <c r="F466" s="91">
        <v>8</v>
      </c>
      <c r="G466" s="91"/>
      <c r="H466" s="91"/>
      <c r="I466" s="91">
        <v>1.65</v>
      </c>
      <c r="J466" s="91"/>
      <c r="K466" s="269">
        <f>F466*I466</f>
        <v>13.2</v>
      </c>
      <c r="L466" s="90"/>
    </row>
    <row r="467" spans="2:12" hidden="1">
      <c r="B467" s="86"/>
      <c r="C467" s="984" t="s">
        <v>177</v>
      </c>
      <c r="D467" s="985"/>
      <c r="E467" s="986"/>
      <c r="F467" s="91">
        <v>4</v>
      </c>
      <c r="G467" s="91"/>
      <c r="H467" s="91"/>
      <c r="I467" s="91">
        <v>2</v>
      </c>
      <c r="J467" s="91"/>
      <c r="K467" s="269">
        <f>F467*I467</f>
        <v>8</v>
      </c>
      <c r="L467" s="90"/>
    </row>
    <row r="468" spans="2:12" hidden="1">
      <c r="B468" s="86"/>
      <c r="C468" s="987" t="s">
        <v>116</v>
      </c>
      <c r="D468" s="987"/>
      <c r="E468" s="987"/>
      <c r="F468" s="987"/>
      <c r="G468" s="987"/>
      <c r="H468" s="987"/>
      <c r="I468" s="987"/>
      <c r="J468" s="987"/>
      <c r="K468" s="89">
        <f>SUM(K466:K467)</f>
        <v>21.2</v>
      </c>
      <c r="L468" s="90"/>
    </row>
    <row r="469" spans="2:12" hidden="1">
      <c r="B469" s="86"/>
      <c r="C469" s="211"/>
      <c r="D469" s="211"/>
      <c r="E469" s="211"/>
      <c r="F469" s="211"/>
      <c r="G469" s="211"/>
      <c r="H469" s="211"/>
      <c r="I469" s="211"/>
      <c r="J469" s="211"/>
      <c r="K469" s="212"/>
      <c r="L469" s="90"/>
    </row>
    <row r="470" spans="2:12" ht="15" hidden="1" customHeight="1">
      <c r="B470" s="85" t="str">
        <f>'[6]PLANILHA ORÇAMENTÁRIA'!D122</f>
        <v>14.1.5</v>
      </c>
      <c r="C470" s="1032" t="str">
        <f>'[6]PLANILHA ORÇAMENTÁRIA'!E122</f>
        <v>PINTURA ESMALTE ALTO BRILHO, DUAS DEMAOS, SOBRE SUPERFICIE METALICA</v>
      </c>
      <c r="D470" s="1032"/>
      <c r="E470" s="1032"/>
      <c r="F470" s="1032"/>
      <c r="G470" s="1032"/>
      <c r="H470" s="1032"/>
      <c r="I470" s="1032"/>
      <c r="J470" s="1032"/>
      <c r="K470" s="294" t="str">
        <f>'[6]PLANILHA ORÇAMENTÁRIA'!F122</f>
        <v>M2</v>
      </c>
      <c r="L470" s="295">
        <f>K475</f>
        <v>2.76</v>
      </c>
    </row>
    <row r="471" spans="2:12" hidden="1">
      <c r="B471" s="86"/>
      <c r="C471" s="983" t="s">
        <v>20</v>
      </c>
      <c r="D471" s="983"/>
      <c r="E471" s="983"/>
      <c r="F471" s="87" t="s">
        <v>22</v>
      </c>
      <c r="G471" s="268" t="s">
        <v>111</v>
      </c>
      <c r="H471" s="87" t="s">
        <v>178</v>
      </c>
      <c r="I471" s="268" t="s">
        <v>113</v>
      </c>
      <c r="J471" s="268" t="s">
        <v>114</v>
      </c>
      <c r="K471" s="89" t="s">
        <v>25</v>
      </c>
      <c r="L471" s="90"/>
    </row>
    <row r="472" spans="2:12" hidden="1">
      <c r="B472" s="86"/>
      <c r="C472" s="1028" t="s">
        <v>176</v>
      </c>
      <c r="D472" s="1028"/>
      <c r="E472" s="1028"/>
      <c r="F472" s="91">
        <v>8</v>
      </c>
      <c r="G472" s="91"/>
      <c r="H472" s="300">
        <v>2.5000000000000001E-2</v>
      </c>
      <c r="I472" s="91">
        <v>1.2</v>
      </c>
      <c r="J472" s="91"/>
      <c r="K472" s="269">
        <f>TRUNC((2*3.14*H472*I472)*F472,2)</f>
        <v>1.5</v>
      </c>
      <c r="L472" s="90"/>
    </row>
    <row r="473" spans="2:12" hidden="1">
      <c r="B473" s="86"/>
      <c r="C473" s="984" t="s">
        <v>177</v>
      </c>
      <c r="D473" s="985"/>
      <c r="E473" s="986"/>
      <c r="F473" s="91">
        <v>4</v>
      </c>
      <c r="G473" s="91"/>
      <c r="H473" s="300">
        <v>2.5000000000000001E-2</v>
      </c>
      <c r="I473" s="91">
        <v>2</v>
      </c>
      <c r="J473" s="91"/>
      <c r="K473" s="269">
        <f>TRUNC((2*3.14*H473*I473)*F473,2)</f>
        <v>1.25</v>
      </c>
      <c r="L473" s="90"/>
    </row>
    <row r="474" spans="2:12" hidden="1">
      <c r="B474" s="86"/>
      <c r="C474" s="984" t="s">
        <v>179</v>
      </c>
      <c r="D474" s="985"/>
      <c r="E474" s="986"/>
      <c r="F474" s="91">
        <v>8</v>
      </c>
      <c r="G474" s="91"/>
      <c r="H474" s="300">
        <v>2.5000000000000001E-2</v>
      </c>
      <c r="I474" s="91"/>
      <c r="J474" s="91"/>
      <c r="K474" s="269">
        <f>TRUNC((3.14*H474^2)*F474,2)</f>
        <v>0.01</v>
      </c>
      <c r="L474" s="90"/>
    </row>
    <row r="475" spans="2:12" hidden="1">
      <c r="B475" s="86"/>
      <c r="C475" s="987" t="s">
        <v>116</v>
      </c>
      <c r="D475" s="987"/>
      <c r="E475" s="987"/>
      <c r="F475" s="987"/>
      <c r="G475" s="987"/>
      <c r="H475" s="987"/>
      <c r="I475" s="987"/>
      <c r="J475" s="987"/>
      <c r="K475" s="89">
        <f>SUM(K472:K474)</f>
        <v>2.76</v>
      </c>
      <c r="L475" s="90"/>
    </row>
    <row r="476" spans="2:12" hidden="1">
      <c r="B476" s="86"/>
      <c r="C476" s="211"/>
      <c r="D476" s="211"/>
      <c r="E476" s="211"/>
      <c r="F476" s="211"/>
      <c r="G476" s="211"/>
      <c r="H476" s="211"/>
      <c r="I476" s="211"/>
      <c r="J476" s="211"/>
      <c r="K476" s="212"/>
      <c r="L476" s="90"/>
    </row>
    <row r="477" spans="2:12" hidden="1">
      <c r="B477" s="292" t="str">
        <f>'[6]PLANILHA ORÇAMENTÁRIA'!D123</f>
        <v>14.2</v>
      </c>
      <c r="C477" s="1093" t="str">
        <f>'[6]PLANILHA ORÇAMENTÁRIA'!E123</f>
        <v>BARRAS MARINHEIRO</v>
      </c>
      <c r="D477" s="1093"/>
      <c r="E477" s="1093"/>
      <c r="F477" s="1093"/>
      <c r="G477" s="1093"/>
      <c r="H477" s="1093"/>
      <c r="I477" s="1093"/>
      <c r="J477" s="1093"/>
      <c r="K477" s="293"/>
      <c r="L477" s="293"/>
    </row>
    <row r="478" spans="2:12" ht="15" hidden="1" customHeight="1">
      <c r="B478" s="85" t="str">
        <f>'[6]PLANILHA ORÇAMENTÁRIA'!D124</f>
        <v>14.2.1</v>
      </c>
      <c r="C478" s="1032" t="str">
        <f>'[6]PLANILHA ORÇAMENTÁRIA'!E124</f>
        <v>ESCAVAÇÃO MANUAL DE VALA COM PROFUNDIDADE MENOR OU IGUAL A 1,30 M</v>
      </c>
      <c r="D478" s="1032"/>
      <c r="E478" s="1032"/>
      <c r="F478" s="1032"/>
      <c r="G478" s="1032"/>
      <c r="H478" s="1032"/>
      <c r="I478" s="1032"/>
      <c r="J478" s="1032"/>
      <c r="K478" s="294" t="str">
        <f>'[6]PLANILHA ORÇAMENTÁRIA'!F124</f>
        <v>M3</v>
      </c>
      <c r="L478" s="295">
        <f>K481</f>
        <v>0.14849999999999999</v>
      </c>
    </row>
    <row r="479" spans="2:12" hidden="1">
      <c r="B479" s="86"/>
      <c r="C479" s="983" t="s">
        <v>20</v>
      </c>
      <c r="D479" s="983"/>
      <c r="E479" s="983"/>
      <c r="F479" s="87" t="s">
        <v>22</v>
      </c>
      <c r="G479" s="268" t="s">
        <v>111</v>
      </c>
      <c r="H479" s="87" t="s">
        <v>112</v>
      </c>
      <c r="I479" s="268" t="s">
        <v>113</v>
      </c>
      <c r="J479" s="268" t="s">
        <v>114</v>
      </c>
      <c r="K479" s="89" t="s">
        <v>25</v>
      </c>
      <c r="L479" s="90"/>
    </row>
    <row r="480" spans="2:12" hidden="1">
      <c r="B480" s="86"/>
      <c r="C480" s="1028" t="s">
        <v>174</v>
      </c>
      <c r="D480" s="1028"/>
      <c r="E480" s="1028"/>
      <c r="F480" s="91">
        <v>12</v>
      </c>
      <c r="G480" s="91">
        <v>0.55000000000000004</v>
      </c>
      <c r="H480" s="91">
        <v>0.15</v>
      </c>
      <c r="I480" s="91">
        <v>0.15</v>
      </c>
      <c r="J480" s="91"/>
      <c r="K480" s="296">
        <f>PRODUCT(F480:I480)</f>
        <v>0.14849999999999999</v>
      </c>
      <c r="L480" s="90"/>
    </row>
    <row r="481" spans="2:12" hidden="1">
      <c r="B481" s="86"/>
      <c r="C481" s="987" t="s">
        <v>116</v>
      </c>
      <c r="D481" s="987"/>
      <c r="E481" s="987"/>
      <c r="F481" s="987"/>
      <c r="G481" s="987"/>
      <c r="H481" s="987"/>
      <c r="I481" s="987"/>
      <c r="J481" s="987"/>
      <c r="K481" s="298">
        <f>SUM(K480:K480)</f>
        <v>0.14849999999999999</v>
      </c>
      <c r="L481" s="90"/>
    </row>
    <row r="482" spans="2:12" hidden="1">
      <c r="B482" s="86"/>
      <c r="C482" s="211"/>
      <c r="D482" s="211"/>
      <c r="E482" s="211"/>
      <c r="F482" s="211"/>
      <c r="G482" s="211"/>
      <c r="H482" s="211"/>
      <c r="I482" s="211"/>
      <c r="J482" s="211"/>
      <c r="K482" s="299"/>
      <c r="L482" s="90"/>
    </row>
    <row r="483" spans="2:12" ht="15" hidden="1" customHeight="1">
      <c r="B483" s="85" t="str">
        <f>'[6]PLANILHA ORÇAMENTÁRIA'!D125</f>
        <v>14.2.2</v>
      </c>
      <c r="C483" s="1032" t="str">
        <f>'[6]PLANILHA ORÇAMENTÁRIA'!E125</f>
        <v>LASTRO DE CONCRETO MAGRO, APLICADO EM PISOS OU RADIERS, ESPESSURA DE 5CM. AF_07_2016</v>
      </c>
      <c r="D483" s="1032"/>
      <c r="E483" s="1032"/>
      <c r="F483" s="1032"/>
      <c r="G483" s="1032"/>
      <c r="H483" s="1032"/>
      <c r="I483" s="1032"/>
      <c r="J483" s="1032"/>
      <c r="K483" s="294" t="str">
        <f>'[6]PLANILHA ORÇAMENTÁRIA'!F125</f>
        <v>M2</v>
      </c>
      <c r="L483" s="295">
        <f>K486</f>
        <v>0.26999999999999996</v>
      </c>
    </row>
    <row r="484" spans="2:12" hidden="1">
      <c r="B484" s="86"/>
      <c r="C484" s="983" t="s">
        <v>20</v>
      </c>
      <c r="D484" s="983"/>
      <c r="E484" s="983"/>
      <c r="F484" s="87" t="s">
        <v>22</v>
      </c>
      <c r="G484" s="268" t="s">
        <v>111</v>
      </c>
      <c r="H484" s="87" t="s">
        <v>112</v>
      </c>
      <c r="I484" s="268" t="s">
        <v>113</v>
      </c>
      <c r="J484" s="268" t="s">
        <v>114</v>
      </c>
      <c r="K484" s="89" t="s">
        <v>25</v>
      </c>
      <c r="L484" s="90"/>
    </row>
    <row r="485" spans="2:12" hidden="1">
      <c r="B485" s="86"/>
      <c r="C485" s="1028"/>
      <c r="D485" s="1028"/>
      <c r="E485" s="1028"/>
      <c r="F485" s="91">
        <v>12</v>
      </c>
      <c r="G485" s="91"/>
      <c r="H485" s="91">
        <v>0.15</v>
      </c>
      <c r="I485" s="91">
        <v>0.15</v>
      </c>
      <c r="J485" s="91"/>
      <c r="K485" s="296">
        <f>PRODUCT(F485:I485)</f>
        <v>0.26999999999999996</v>
      </c>
      <c r="L485" s="90"/>
    </row>
    <row r="486" spans="2:12" hidden="1">
      <c r="B486" s="86"/>
      <c r="C486" s="987" t="s">
        <v>116</v>
      </c>
      <c r="D486" s="987"/>
      <c r="E486" s="987"/>
      <c r="F486" s="987"/>
      <c r="G486" s="987"/>
      <c r="H486" s="987"/>
      <c r="I486" s="987"/>
      <c r="J486" s="987"/>
      <c r="K486" s="298">
        <f>SUM(K485:K485)</f>
        <v>0.26999999999999996</v>
      </c>
      <c r="L486" s="90"/>
    </row>
    <row r="487" spans="2:12" hidden="1">
      <c r="B487" s="86"/>
      <c r="C487" s="211"/>
      <c r="D487" s="211"/>
      <c r="E487" s="211"/>
      <c r="F487" s="211"/>
      <c r="G487" s="211"/>
      <c r="H487" s="211"/>
      <c r="I487" s="211"/>
      <c r="J487" s="211"/>
      <c r="K487" s="299"/>
      <c r="L487" s="90"/>
    </row>
    <row r="488" spans="2:12" ht="22.5" hidden="1" customHeight="1">
      <c r="B488" s="85" t="str">
        <f>'[6]PLANILHA ORÇAMENTÁRIA'!D126</f>
        <v>14.2.3</v>
      </c>
      <c r="C488" s="1032" t="str">
        <f>'[6]PLANILHA ORÇAMENTÁRIA'!E126</f>
        <v>CONCRETAGEM DE BLOCOS DE COROAMENTO E VIGAS BALDRAMES, FCK 30 MPA, COM USO DE BOMBA LANÇAMENTO, ADENSAMENTO E ACABAMENTO. AF_06/2017</v>
      </c>
      <c r="D488" s="1032"/>
      <c r="E488" s="1032"/>
      <c r="F488" s="1032"/>
      <c r="G488" s="1032"/>
      <c r="H488" s="1032"/>
      <c r="I488" s="1032"/>
      <c r="J488" s="1032"/>
      <c r="K488" s="294" t="str">
        <f>'[6]PLANILHA ORÇAMENTÁRIA'!F126</f>
        <v>M3</v>
      </c>
      <c r="L488" s="295">
        <f>K491</f>
        <v>0.1</v>
      </c>
    </row>
    <row r="489" spans="2:12" hidden="1">
      <c r="B489" s="86"/>
      <c r="C489" s="983" t="s">
        <v>20</v>
      </c>
      <c r="D489" s="983"/>
      <c r="E489" s="983"/>
      <c r="F489" s="87" t="s">
        <v>22</v>
      </c>
      <c r="G489" s="268" t="s">
        <v>111</v>
      </c>
      <c r="H489" s="87" t="s">
        <v>112</v>
      </c>
      <c r="I489" s="268" t="s">
        <v>113</v>
      </c>
      <c r="J489" s="268" t="s">
        <v>114</v>
      </c>
      <c r="K489" s="89" t="s">
        <v>25</v>
      </c>
      <c r="L489" s="90"/>
    </row>
    <row r="490" spans="2:12" hidden="1">
      <c r="B490" s="86"/>
      <c r="C490" s="1028" t="s">
        <v>175</v>
      </c>
      <c r="D490" s="1028"/>
      <c r="E490" s="1028"/>
      <c r="F490" s="91">
        <v>12</v>
      </c>
      <c r="G490" s="91">
        <v>0.4</v>
      </c>
      <c r="H490" s="91">
        <v>0.15</v>
      </c>
      <c r="I490" s="91">
        <v>0.15</v>
      </c>
      <c r="J490" s="91"/>
      <c r="K490" s="269">
        <f>TRUNC(G490*H490*F490*I490,2)</f>
        <v>0.1</v>
      </c>
      <c r="L490" s="90"/>
    </row>
    <row r="491" spans="2:12" hidden="1">
      <c r="B491" s="86"/>
      <c r="C491" s="987" t="s">
        <v>116</v>
      </c>
      <c r="D491" s="987"/>
      <c r="E491" s="987"/>
      <c r="F491" s="987"/>
      <c r="G491" s="987"/>
      <c r="H491" s="987"/>
      <c r="I491" s="987"/>
      <c r="J491" s="987"/>
      <c r="K491" s="89">
        <f>SUM(K490:K490)</f>
        <v>0.1</v>
      </c>
      <c r="L491" s="90"/>
    </row>
    <row r="492" spans="2:12" hidden="1">
      <c r="B492" s="219"/>
      <c r="C492" s="219"/>
      <c r="D492" s="219"/>
      <c r="E492" s="219"/>
      <c r="F492" s="219"/>
      <c r="G492" s="219"/>
      <c r="H492" s="219"/>
      <c r="I492" s="219"/>
      <c r="J492" s="219"/>
      <c r="K492" s="219"/>
      <c r="L492" s="219"/>
    </row>
    <row r="493" spans="2:12" ht="15" hidden="1" customHeight="1">
      <c r="B493" s="85" t="str">
        <f>'[6]PLANILHA ORÇAMENTÁRIA'!D127</f>
        <v>14.2.4</v>
      </c>
      <c r="C493" s="1032" t="str">
        <f>'[6]PLANILHA ORÇAMENTÁRIA'!E127</f>
        <v>TUBO DE AÇO GALVANIZADO COM COSTURA 2" - FORNECIMENTO E INSTALACAO. - M</v>
      </c>
      <c r="D493" s="1032"/>
      <c r="E493" s="1032"/>
      <c r="F493" s="1032"/>
      <c r="G493" s="1032"/>
      <c r="H493" s="1032"/>
      <c r="I493" s="1032"/>
      <c r="J493" s="1032"/>
      <c r="K493" s="294" t="str">
        <f>'[6]PLANILHA ORÇAMENTÁRIA'!F127</f>
        <v>M</v>
      </c>
      <c r="L493" s="295">
        <f>K498</f>
        <v>19.100000000000001</v>
      </c>
    </row>
    <row r="494" spans="2:12" hidden="1">
      <c r="B494" s="86"/>
      <c r="C494" s="983" t="s">
        <v>20</v>
      </c>
      <c r="D494" s="983"/>
      <c r="E494" s="983"/>
      <c r="F494" s="87" t="s">
        <v>22</v>
      </c>
      <c r="G494" s="268" t="s">
        <v>111</v>
      </c>
      <c r="H494" s="87" t="s">
        <v>112</v>
      </c>
      <c r="I494" s="268" t="s">
        <v>113</v>
      </c>
      <c r="J494" s="268" t="s">
        <v>114</v>
      </c>
      <c r="K494" s="89" t="s">
        <v>25</v>
      </c>
      <c r="L494" s="90"/>
    </row>
    <row r="495" spans="2:12" hidden="1">
      <c r="B495" s="86"/>
      <c r="C495" s="1028" t="s">
        <v>180</v>
      </c>
      <c r="D495" s="1028"/>
      <c r="E495" s="1028"/>
      <c r="F495" s="91">
        <v>2</v>
      </c>
      <c r="G495" s="91"/>
      <c r="H495" s="91"/>
      <c r="I495" s="91">
        <v>3.56</v>
      </c>
      <c r="J495" s="91"/>
      <c r="K495" s="269">
        <f>F495*I495</f>
        <v>7.12</v>
      </c>
      <c r="L495" s="90"/>
    </row>
    <row r="496" spans="2:12" hidden="1">
      <c r="B496" s="86"/>
      <c r="C496" s="984" t="s">
        <v>181</v>
      </c>
      <c r="D496" s="985"/>
      <c r="E496" s="986"/>
      <c r="F496" s="91">
        <v>2</v>
      </c>
      <c r="G496" s="91"/>
      <c r="H496" s="91"/>
      <c r="I496" s="91">
        <v>3.16</v>
      </c>
      <c r="J496" s="91"/>
      <c r="K496" s="269">
        <f>F496*I496</f>
        <v>6.32</v>
      </c>
      <c r="L496" s="90"/>
    </row>
    <row r="497" spans="2:12" hidden="1">
      <c r="B497" s="86"/>
      <c r="C497" s="984" t="s">
        <v>182</v>
      </c>
      <c r="D497" s="985"/>
      <c r="E497" s="986"/>
      <c r="F497" s="91">
        <v>2</v>
      </c>
      <c r="G497" s="91"/>
      <c r="H497" s="91"/>
      <c r="I497" s="91">
        <v>2.83</v>
      </c>
      <c r="J497" s="91"/>
      <c r="K497" s="269">
        <f>F497*I497</f>
        <v>5.66</v>
      </c>
      <c r="L497" s="90"/>
    </row>
    <row r="498" spans="2:12" hidden="1">
      <c r="B498" s="86"/>
      <c r="C498" s="987" t="s">
        <v>116</v>
      </c>
      <c r="D498" s="987"/>
      <c r="E498" s="987"/>
      <c r="F498" s="987"/>
      <c r="G498" s="987"/>
      <c r="H498" s="987"/>
      <c r="I498" s="987"/>
      <c r="J498" s="987"/>
      <c r="K498" s="89">
        <f>SUM(K495:K497)</f>
        <v>19.100000000000001</v>
      </c>
      <c r="L498" s="90"/>
    </row>
    <row r="499" spans="2:12" hidden="1">
      <c r="B499" s="86"/>
      <c r="C499" s="211"/>
      <c r="D499" s="211"/>
      <c r="E499" s="211"/>
      <c r="F499" s="211"/>
      <c r="G499" s="211"/>
      <c r="H499" s="211"/>
      <c r="I499" s="211"/>
      <c r="J499" s="211"/>
      <c r="K499" s="212"/>
      <c r="L499" s="90"/>
    </row>
    <row r="500" spans="2:12" ht="15" hidden="1" customHeight="1">
      <c r="B500" s="85" t="str">
        <f>'[6]PLANILHA ORÇAMENTÁRIA'!D128</f>
        <v>14.2.5</v>
      </c>
      <c r="C500" s="1032" t="str">
        <f>'[6]PLANILHA ORÇAMENTÁRIA'!E128</f>
        <v>PINTURA ESMALTE ALTO BRILHO, DUAS DEMAOS, SOBRE SUPERFICIE METALICA</v>
      </c>
      <c r="D500" s="1032"/>
      <c r="E500" s="1032"/>
      <c r="F500" s="1032"/>
      <c r="G500" s="1032"/>
      <c r="H500" s="1032"/>
      <c r="I500" s="1032"/>
      <c r="J500" s="1032"/>
      <c r="K500" s="294" t="str">
        <f>'[6]PLANILHA ORÇAMENTÁRIA'!F128</f>
        <v>M2</v>
      </c>
      <c r="L500" s="295">
        <f>K505</f>
        <v>2.13</v>
      </c>
    </row>
    <row r="501" spans="2:12" hidden="1">
      <c r="B501" s="86"/>
      <c r="C501" s="983" t="s">
        <v>20</v>
      </c>
      <c r="D501" s="983"/>
      <c r="E501" s="983"/>
      <c r="F501" s="87" t="s">
        <v>22</v>
      </c>
      <c r="G501" s="268" t="s">
        <v>111</v>
      </c>
      <c r="H501" s="87" t="s">
        <v>178</v>
      </c>
      <c r="I501" s="268" t="s">
        <v>113</v>
      </c>
      <c r="J501" s="268" t="s">
        <v>114</v>
      </c>
      <c r="K501" s="89" t="s">
        <v>25</v>
      </c>
      <c r="L501" s="90"/>
    </row>
    <row r="502" spans="2:12" hidden="1">
      <c r="B502" s="86"/>
      <c r="C502" s="1028" t="s">
        <v>180</v>
      </c>
      <c r="D502" s="1028"/>
      <c r="E502" s="1028"/>
      <c r="F502" s="91">
        <v>2</v>
      </c>
      <c r="G502" s="91"/>
      <c r="H502" s="300">
        <v>2.5000000000000001E-2</v>
      </c>
      <c r="I502" s="91">
        <f>I495-0.9</f>
        <v>2.66</v>
      </c>
      <c r="J502" s="91"/>
      <c r="K502" s="269">
        <f>TRUNC((2*3.14*H502*I502)*F502,2)</f>
        <v>0.83</v>
      </c>
      <c r="L502" s="90"/>
    </row>
    <row r="503" spans="2:12" hidden="1">
      <c r="B503" s="86"/>
      <c r="C503" s="984" t="s">
        <v>181</v>
      </c>
      <c r="D503" s="985"/>
      <c r="E503" s="986"/>
      <c r="F503" s="91">
        <v>2</v>
      </c>
      <c r="G503" s="91"/>
      <c r="H503" s="300">
        <v>2.5000000000000001E-2</v>
      </c>
      <c r="I503" s="91">
        <f>I496-0.9</f>
        <v>2.2600000000000002</v>
      </c>
      <c r="J503" s="91"/>
      <c r="K503" s="269">
        <f>TRUNC((2*3.14*H503*I503)*F503,2)</f>
        <v>0.7</v>
      </c>
      <c r="L503" s="90"/>
    </row>
    <row r="504" spans="2:12" hidden="1">
      <c r="B504" s="86"/>
      <c r="C504" s="984" t="s">
        <v>182</v>
      </c>
      <c r="D504" s="985"/>
      <c r="E504" s="986"/>
      <c r="F504" s="91">
        <v>2</v>
      </c>
      <c r="G504" s="91"/>
      <c r="H504" s="300">
        <v>2.5000000000000001E-2</v>
      </c>
      <c r="I504" s="91">
        <f>I497-0.9</f>
        <v>1.9300000000000002</v>
      </c>
      <c r="J504" s="91"/>
      <c r="K504" s="269">
        <f>TRUNC((2*3.14*H504*I504)*F504,2)</f>
        <v>0.6</v>
      </c>
      <c r="L504" s="90"/>
    </row>
    <row r="505" spans="2:12" hidden="1">
      <c r="B505" s="86"/>
      <c r="C505" s="987" t="s">
        <v>116</v>
      </c>
      <c r="D505" s="987"/>
      <c r="E505" s="987"/>
      <c r="F505" s="987"/>
      <c r="G505" s="987"/>
      <c r="H505" s="987"/>
      <c r="I505" s="987"/>
      <c r="J505" s="987"/>
      <c r="K505" s="89">
        <f>SUM(K502:K504)</f>
        <v>2.13</v>
      </c>
      <c r="L505" s="90"/>
    </row>
    <row r="506" spans="2:12" hidden="1">
      <c r="B506" s="219"/>
      <c r="C506" s="219"/>
      <c r="D506" s="219"/>
      <c r="E506" s="219"/>
      <c r="F506" s="219"/>
      <c r="G506" s="219"/>
      <c r="H506" s="219"/>
      <c r="I506" s="219"/>
      <c r="J506" s="219"/>
      <c r="K506" s="219"/>
      <c r="L506" s="219"/>
    </row>
    <row r="507" spans="2:12" hidden="1">
      <c r="B507" s="292" t="str">
        <f>'[6]PLANILHA ORÇAMENTÁRIA'!D129</f>
        <v>14.3</v>
      </c>
      <c r="C507" s="1093" t="str">
        <f>'[6]PLANILHA ORÇAMENTÁRIA'!E129</f>
        <v>BARRA HORIZONTAL TRIPLA</v>
      </c>
      <c r="D507" s="1093"/>
      <c r="E507" s="1093"/>
      <c r="F507" s="1093"/>
      <c r="G507" s="1093"/>
      <c r="H507" s="1093"/>
      <c r="I507" s="1093"/>
      <c r="J507" s="1093"/>
      <c r="K507" s="293"/>
      <c r="L507" s="293"/>
    </row>
    <row r="508" spans="2:12" ht="15" hidden="1" customHeight="1">
      <c r="B508" s="85" t="str">
        <f>'[6]PLANILHA ORÇAMENTÁRIA'!D130</f>
        <v>14.3.1</v>
      </c>
      <c r="C508" s="1032" t="str">
        <f>'[6]PLANILHA ORÇAMENTÁRIA'!E130</f>
        <v>ESCAVAÇÃO MANUAL DE VALA COM PROFUNDIDADE MENOR OU IGUAL A 1,30 M</v>
      </c>
      <c r="D508" s="1032"/>
      <c r="E508" s="1032"/>
      <c r="F508" s="1032"/>
      <c r="G508" s="1032"/>
      <c r="H508" s="1032"/>
      <c r="I508" s="1032"/>
      <c r="J508" s="1032"/>
      <c r="K508" s="294" t="str">
        <f>'[6]PLANILHA ORÇAMENTÁRIA'!F130</f>
        <v>M3</v>
      </c>
      <c r="L508" s="295">
        <f>K513</f>
        <v>7.5374999999999998E-2</v>
      </c>
    </row>
    <row r="509" spans="2:12" hidden="1">
      <c r="B509" s="86"/>
      <c r="C509" s="983" t="s">
        <v>20</v>
      </c>
      <c r="D509" s="983"/>
      <c r="E509" s="983"/>
      <c r="F509" s="87" t="s">
        <v>22</v>
      </c>
      <c r="G509" s="268" t="s">
        <v>111</v>
      </c>
      <c r="H509" s="87" t="s">
        <v>112</v>
      </c>
      <c r="I509" s="268" t="s">
        <v>113</v>
      </c>
      <c r="J509" s="268" t="s">
        <v>114</v>
      </c>
      <c r="K509" s="89" t="s">
        <v>25</v>
      </c>
      <c r="L509" s="90"/>
    </row>
    <row r="510" spans="2:12" hidden="1">
      <c r="B510" s="86"/>
      <c r="C510" s="1028" t="s">
        <v>183</v>
      </c>
      <c r="D510" s="1028"/>
      <c r="E510" s="1028"/>
      <c r="F510" s="91">
        <v>2</v>
      </c>
      <c r="G510" s="91">
        <v>0.9</v>
      </c>
      <c r="H510" s="91">
        <v>0.15</v>
      </c>
      <c r="I510" s="91">
        <v>0.15</v>
      </c>
      <c r="J510" s="91"/>
      <c r="K510" s="296">
        <f>PRODUCT(F510:I510)</f>
        <v>4.0500000000000001E-2</v>
      </c>
      <c r="L510" s="90"/>
    </row>
    <row r="511" spans="2:12" hidden="1">
      <c r="B511" s="86"/>
      <c r="C511" s="1028" t="s">
        <v>184</v>
      </c>
      <c r="D511" s="1028"/>
      <c r="E511" s="1028"/>
      <c r="F511" s="91">
        <v>1</v>
      </c>
      <c r="G511" s="91">
        <v>0.8</v>
      </c>
      <c r="H511" s="91">
        <v>0.15</v>
      </c>
      <c r="I511" s="91">
        <v>0.15</v>
      </c>
      <c r="J511" s="91"/>
      <c r="K511" s="296">
        <f>PRODUCT(F511:I511)</f>
        <v>1.7999999999999999E-2</v>
      </c>
      <c r="L511" s="90"/>
    </row>
    <row r="512" spans="2:12" hidden="1">
      <c r="B512" s="86"/>
      <c r="C512" s="1028" t="s">
        <v>185</v>
      </c>
      <c r="D512" s="1028"/>
      <c r="E512" s="1028"/>
      <c r="F512" s="91">
        <v>1</v>
      </c>
      <c r="G512" s="91">
        <v>0.75</v>
      </c>
      <c r="H512" s="91">
        <v>0.15</v>
      </c>
      <c r="I512" s="91">
        <v>0.15</v>
      </c>
      <c r="J512" s="91"/>
      <c r="K512" s="296">
        <f>PRODUCT(F512:I512)</f>
        <v>1.6874999999999998E-2</v>
      </c>
      <c r="L512" s="90"/>
    </row>
    <row r="513" spans="2:12" hidden="1">
      <c r="B513" s="86"/>
      <c r="C513" s="987" t="s">
        <v>116</v>
      </c>
      <c r="D513" s="987"/>
      <c r="E513" s="987"/>
      <c r="F513" s="987"/>
      <c r="G513" s="987"/>
      <c r="H513" s="987"/>
      <c r="I513" s="987"/>
      <c r="J513" s="987"/>
      <c r="K513" s="298">
        <f>SUM(K510:K512)</f>
        <v>7.5374999999999998E-2</v>
      </c>
      <c r="L513" s="90"/>
    </row>
    <row r="514" spans="2:12" hidden="1">
      <c r="B514" s="86"/>
      <c r="C514" s="211"/>
      <c r="D514" s="211"/>
      <c r="E514" s="211"/>
      <c r="F514" s="211"/>
      <c r="G514" s="211"/>
      <c r="H514" s="211"/>
      <c r="I514" s="211"/>
      <c r="J514" s="211"/>
      <c r="K514" s="299"/>
      <c r="L514" s="90"/>
    </row>
    <row r="515" spans="2:12" ht="15" hidden="1" customHeight="1">
      <c r="B515" s="85" t="str">
        <f>'[6]PLANILHA ORÇAMENTÁRIA'!D131</f>
        <v>14.3.2</v>
      </c>
      <c r="C515" s="1032" t="str">
        <f>'[6]PLANILHA ORÇAMENTÁRIA'!E131</f>
        <v>LASTRO DE CONCRETO MAGRO, APLICADO EM PISOS OU RADIERS, ESPESSURA DE 5CM. AF_07_2016</v>
      </c>
      <c r="D515" s="1032"/>
      <c r="E515" s="1032"/>
      <c r="F515" s="1032"/>
      <c r="G515" s="1032"/>
      <c r="H515" s="1032"/>
      <c r="I515" s="1032"/>
      <c r="J515" s="1032"/>
      <c r="K515" s="294" t="str">
        <f>'[6]PLANILHA ORÇAMENTÁRIA'!F131</f>
        <v>M2</v>
      </c>
      <c r="L515" s="295">
        <f>K518</f>
        <v>0.09</v>
      </c>
    </row>
    <row r="516" spans="2:12" hidden="1">
      <c r="B516" s="86"/>
      <c r="C516" s="983" t="s">
        <v>20</v>
      </c>
      <c r="D516" s="983"/>
      <c r="E516" s="983"/>
      <c r="F516" s="87" t="s">
        <v>22</v>
      </c>
      <c r="G516" s="268" t="s">
        <v>111</v>
      </c>
      <c r="H516" s="87" t="s">
        <v>112</v>
      </c>
      <c r="I516" s="268" t="s">
        <v>113</v>
      </c>
      <c r="J516" s="268" t="s">
        <v>114</v>
      </c>
      <c r="K516" s="89" t="s">
        <v>25</v>
      </c>
      <c r="L516" s="90"/>
    </row>
    <row r="517" spans="2:12" hidden="1">
      <c r="B517" s="86"/>
      <c r="C517" s="1028"/>
      <c r="D517" s="1028"/>
      <c r="E517" s="1028"/>
      <c r="F517" s="91">
        <v>4</v>
      </c>
      <c r="G517" s="91"/>
      <c r="H517" s="91">
        <v>0.15</v>
      </c>
      <c r="I517" s="91">
        <v>0.15</v>
      </c>
      <c r="J517" s="91"/>
      <c r="K517" s="296">
        <f>PRODUCT(F517:I517)</f>
        <v>0.09</v>
      </c>
      <c r="L517" s="90"/>
    </row>
    <row r="518" spans="2:12" hidden="1">
      <c r="B518" s="86"/>
      <c r="C518" s="987" t="s">
        <v>116</v>
      </c>
      <c r="D518" s="987"/>
      <c r="E518" s="987"/>
      <c r="F518" s="987"/>
      <c r="G518" s="987"/>
      <c r="H518" s="987"/>
      <c r="I518" s="987"/>
      <c r="J518" s="987"/>
      <c r="K518" s="298">
        <f>SUM(K517:K517)</f>
        <v>0.09</v>
      </c>
      <c r="L518" s="90"/>
    </row>
    <row r="519" spans="2:12" hidden="1">
      <c r="B519" s="86"/>
      <c r="C519" s="211"/>
      <c r="D519" s="211"/>
      <c r="E519" s="211"/>
      <c r="F519" s="211"/>
      <c r="G519" s="211"/>
      <c r="H519" s="211"/>
      <c r="I519" s="211"/>
      <c r="J519" s="211"/>
      <c r="K519" s="299"/>
      <c r="L519" s="90"/>
    </row>
    <row r="520" spans="2:12" ht="27" hidden="1" customHeight="1">
      <c r="B520" s="85" t="str">
        <f>'[6]PLANILHA ORÇAMENTÁRIA'!D132</f>
        <v>14.3.3</v>
      </c>
      <c r="C520" s="1032" t="str">
        <f>'[6]PLANILHA ORÇAMENTÁRIA'!E132</f>
        <v>CONCRETAGEM DE BLOCOS DE COROAMENTO E VIGAS BALDRAMES, FCK 30 MPA, COM USO DE BOMBA LANÇAMENTO, ADENSAMENTO E ACABAMENTO. AF_06/2017</v>
      </c>
      <c r="D520" s="1032"/>
      <c r="E520" s="1032"/>
      <c r="F520" s="1032"/>
      <c r="G520" s="1032"/>
      <c r="H520" s="1032"/>
      <c r="I520" s="1032"/>
      <c r="J520" s="1032"/>
      <c r="K520" s="294" t="str">
        <f>'[6]PLANILHA ORÇAMENTÁRIA'!F132</f>
        <v>M3</v>
      </c>
      <c r="L520" s="295">
        <f>K525</f>
        <v>0.05</v>
      </c>
    </row>
    <row r="521" spans="2:12" hidden="1">
      <c r="B521" s="86"/>
      <c r="C521" s="983" t="s">
        <v>20</v>
      </c>
      <c r="D521" s="983"/>
      <c r="E521" s="983"/>
      <c r="F521" s="87" t="s">
        <v>22</v>
      </c>
      <c r="G521" s="268" t="s">
        <v>111</v>
      </c>
      <c r="H521" s="87" t="s">
        <v>112</v>
      </c>
      <c r="I521" s="268" t="s">
        <v>113</v>
      </c>
      <c r="J521" s="268" t="s">
        <v>114</v>
      </c>
      <c r="K521" s="89" t="s">
        <v>25</v>
      </c>
      <c r="L521" s="90"/>
    </row>
    <row r="522" spans="2:12" hidden="1">
      <c r="B522" s="86"/>
      <c r="C522" s="1028" t="s">
        <v>186</v>
      </c>
      <c r="D522" s="1028"/>
      <c r="E522" s="1028"/>
      <c r="F522" s="91">
        <v>2</v>
      </c>
      <c r="G522" s="91">
        <v>0.75</v>
      </c>
      <c r="H522" s="91">
        <v>0.15</v>
      </c>
      <c r="I522" s="91">
        <v>0.15</v>
      </c>
      <c r="J522" s="91"/>
      <c r="K522" s="269">
        <f>TRUNC(G522*H522*F522*I522,2)</f>
        <v>0.03</v>
      </c>
      <c r="L522" s="90"/>
    </row>
    <row r="523" spans="2:12" hidden="1">
      <c r="B523" s="86"/>
      <c r="C523" s="1028" t="s">
        <v>187</v>
      </c>
      <c r="D523" s="1028"/>
      <c r="E523" s="1028"/>
      <c r="F523" s="91">
        <v>1</v>
      </c>
      <c r="G523" s="91">
        <v>0.65</v>
      </c>
      <c r="H523" s="91">
        <v>0.15</v>
      </c>
      <c r="I523" s="91">
        <v>0.15</v>
      </c>
      <c r="J523" s="91"/>
      <c r="K523" s="269">
        <f>TRUNC(G523*H523*F523*I523,2)</f>
        <v>0.01</v>
      </c>
      <c r="L523" s="90"/>
    </row>
    <row r="524" spans="2:12" hidden="1">
      <c r="B524" s="86"/>
      <c r="C524" s="1028" t="s">
        <v>188</v>
      </c>
      <c r="D524" s="1028"/>
      <c r="E524" s="1028"/>
      <c r="F524" s="91">
        <v>1</v>
      </c>
      <c r="G524" s="91">
        <v>0.6</v>
      </c>
      <c r="H524" s="91">
        <v>0.15</v>
      </c>
      <c r="I524" s="91">
        <v>0.15</v>
      </c>
      <c r="J524" s="91"/>
      <c r="K524" s="269">
        <f>TRUNC(G524*H524*F524*I524,2)</f>
        <v>0.01</v>
      </c>
      <c r="L524" s="90"/>
    </row>
    <row r="525" spans="2:12" hidden="1">
      <c r="B525" s="86"/>
      <c r="C525" s="987" t="s">
        <v>116</v>
      </c>
      <c r="D525" s="987"/>
      <c r="E525" s="987"/>
      <c r="F525" s="987"/>
      <c r="G525" s="987"/>
      <c r="H525" s="987"/>
      <c r="I525" s="987"/>
      <c r="J525" s="987"/>
      <c r="K525" s="89">
        <f>SUM(K522:K524)</f>
        <v>0.05</v>
      </c>
      <c r="L525" s="90"/>
    </row>
    <row r="526" spans="2:12" hidden="1">
      <c r="B526" s="219"/>
      <c r="C526" s="219"/>
      <c r="D526" s="219"/>
      <c r="E526" s="219"/>
      <c r="F526" s="219"/>
      <c r="G526" s="219"/>
      <c r="H526" s="219"/>
      <c r="I526" s="219"/>
      <c r="J526" s="219"/>
      <c r="K526" s="219"/>
      <c r="L526" s="219"/>
    </row>
    <row r="527" spans="2:12" ht="15" hidden="1" customHeight="1">
      <c r="B527" s="85" t="str">
        <f>'[6]PLANILHA ORÇAMENTÁRIA'!D133</f>
        <v>14.3.4</v>
      </c>
      <c r="C527" s="1032" t="str">
        <f>'[6]PLANILHA ORÇAMENTÁRIA'!E133</f>
        <v>TUBO DE AÇO GALVANIZADO COM COSTURA 2" - FORNECIMENTO E INSTALACAO. - M</v>
      </c>
      <c r="D527" s="1032"/>
      <c r="E527" s="1032"/>
      <c r="F527" s="1032"/>
      <c r="G527" s="1032"/>
      <c r="H527" s="1032"/>
      <c r="I527" s="1032"/>
      <c r="J527" s="1032"/>
      <c r="K527" s="294" t="str">
        <f>'[6]PLANILHA ORÇAMENTÁRIA'!F133</f>
        <v>M</v>
      </c>
      <c r="L527" s="295">
        <f>K531</f>
        <v>13.2</v>
      </c>
    </row>
    <row r="528" spans="2:12" hidden="1">
      <c r="B528" s="86"/>
      <c r="C528" s="983" t="s">
        <v>20</v>
      </c>
      <c r="D528" s="983"/>
      <c r="E528" s="983"/>
      <c r="F528" s="87" t="s">
        <v>22</v>
      </c>
      <c r="G528" s="268" t="s">
        <v>111</v>
      </c>
      <c r="H528" s="87" t="s">
        <v>112</v>
      </c>
      <c r="I528" s="268" t="s">
        <v>113</v>
      </c>
      <c r="J528" s="268" t="s">
        <v>114</v>
      </c>
      <c r="K528" s="89" t="s">
        <v>25</v>
      </c>
      <c r="L528" s="90"/>
    </row>
    <row r="529" spans="2:12" hidden="1">
      <c r="B529" s="86"/>
      <c r="C529" s="1028" t="s">
        <v>189</v>
      </c>
      <c r="D529" s="1028"/>
      <c r="E529" s="1028"/>
      <c r="F529" s="91">
        <v>1</v>
      </c>
      <c r="G529" s="91"/>
      <c r="H529" s="91"/>
      <c r="I529" s="91">
        <v>10.199999999999999</v>
      </c>
      <c r="J529" s="91"/>
      <c r="K529" s="269">
        <f>F529*I529</f>
        <v>10.199999999999999</v>
      </c>
      <c r="L529" s="90"/>
    </row>
    <row r="530" spans="2:12" hidden="1">
      <c r="B530" s="86"/>
      <c r="C530" s="984" t="s">
        <v>190</v>
      </c>
      <c r="D530" s="985"/>
      <c r="E530" s="986"/>
      <c r="F530" s="91">
        <v>3</v>
      </c>
      <c r="G530" s="91"/>
      <c r="H530" s="91"/>
      <c r="I530" s="91">
        <v>1</v>
      </c>
      <c r="J530" s="91"/>
      <c r="K530" s="269">
        <f>F530*I530</f>
        <v>3</v>
      </c>
      <c r="L530" s="90"/>
    </row>
    <row r="531" spans="2:12" hidden="1">
      <c r="B531" s="86"/>
      <c r="C531" s="987" t="s">
        <v>116</v>
      </c>
      <c r="D531" s="987"/>
      <c r="E531" s="987"/>
      <c r="F531" s="987"/>
      <c r="G531" s="987"/>
      <c r="H531" s="987"/>
      <c r="I531" s="987"/>
      <c r="J531" s="987"/>
      <c r="K531" s="89">
        <f>SUM(K529:K530)</f>
        <v>13.2</v>
      </c>
      <c r="L531" s="90"/>
    </row>
    <row r="532" spans="2:12" hidden="1">
      <c r="B532" s="86"/>
      <c r="C532" s="211"/>
      <c r="D532" s="211"/>
      <c r="E532" s="211"/>
      <c r="F532" s="211"/>
      <c r="G532" s="211"/>
      <c r="H532" s="211"/>
      <c r="I532" s="211"/>
      <c r="J532" s="211"/>
      <c r="K532" s="212"/>
      <c r="L532" s="90"/>
    </row>
    <row r="533" spans="2:12" ht="15" hidden="1" customHeight="1">
      <c r="B533" s="85" t="str">
        <f>'[6]PLANILHA ORÇAMENTÁRIA'!D134</f>
        <v>14.3.5</v>
      </c>
      <c r="C533" s="1032" t="str">
        <f>'[6]PLANILHA ORÇAMENTÁRIA'!E134</f>
        <v>PINTURA ESMALTE ALTO BRILHO, DUAS DEMAOS, SOBRE SUPERFICIE METALICA</v>
      </c>
      <c r="D533" s="1032"/>
      <c r="E533" s="1032"/>
      <c r="F533" s="1032"/>
      <c r="G533" s="1032"/>
      <c r="H533" s="1032"/>
      <c r="I533" s="1032"/>
      <c r="J533" s="1032"/>
      <c r="K533" s="294" t="str">
        <f>'[6]PLANILHA ORÇAMENTÁRIA'!F134</f>
        <v>M2</v>
      </c>
      <c r="L533" s="295">
        <f>K537</f>
        <v>1.63</v>
      </c>
    </row>
    <row r="534" spans="2:12" hidden="1">
      <c r="B534" s="86"/>
      <c r="C534" s="983" t="s">
        <v>20</v>
      </c>
      <c r="D534" s="983"/>
      <c r="E534" s="983"/>
      <c r="F534" s="87" t="s">
        <v>22</v>
      </c>
      <c r="G534" s="268" t="s">
        <v>111</v>
      </c>
      <c r="H534" s="87" t="s">
        <v>178</v>
      </c>
      <c r="I534" s="268" t="s">
        <v>113</v>
      </c>
      <c r="J534" s="268" t="s">
        <v>114</v>
      </c>
      <c r="K534" s="89" t="s">
        <v>25</v>
      </c>
      <c r="L534" s="90"/>
    </row>
    <row r="535" spans="2:12" hidden="1">
      <c r="B535" s="86"/>
      <c r="C535" s="1028" t="s">
        <v>189</v>
      </c>
      <c r="D535" s="1028"/>
      <c r="E535" s="1028"/>
      <c r="F535" s="91">
        <v>1</v>
      </c>
      <c r="G535" s="91"/>
      <c r="H535" s="300">
        <v>2.5000000000000001E-2</v>
      </c>
      <c r="I535" s="91">
        <v>7.45</v>
      </c>
      <c r="J535" s="91"/>
      <c r="K535" s="269">
        <f>TRUNC((2*3.14*H535*I535)*F535,2)</f>
        <v>1.1599999999999999</v>
      </c>
      <c r="L535" s="90"/>
    </row>
    <row r="536" spans="2:12" hidden="1">
      <c r="B536" s="86"/>
      <c r="C536" s="984" t="s">
        <v>190</v>
      </c>
      <c r="D536" s="985"/>
      <c r="E536" s="986"/>
      <c r="F536" s="91">
        <v>3</v>
      </c>
      <c r="G536" s="91"/>
      <c r="H536" s="300">
        <v>2.5000000000000001E-2</v>
      </c>
      <c r="I536" s="91">
        <v>1</v>
      </c>
      <c r="J536" s="91"/>
      <c r="K536" s="269">
        <f>TRUNC((2*3.14*H536*I536)*F536,2)</f>
        <v>0.47</v>
      </c>
      <c r="L536" s="90"/>
    </row>
    <row r="537" spans="2:12" hidden="1">
      <c r="B537" s="86"/>
      <c r="C537" s="987" t="s">
        <v>116</v>
      </c>
      <c r="D537" s="987"/>
      <c r="E537" s="987"/>
      <c r="F537" s="987"/>
      <c r="G537" s="987"/>
      <c r="H537" s="987"/>
      <c r="I537" s="987"/>
      <c r="J537" s="987"/>
      <c r="K537" s="89">
        <f>SUM(K535:K536)</f>
        <v>1.63</v>
      </c>
      <c r="L537" s="90"/>
    </row>
    <row r="538" spans="2:12" hidden="1">
      <c r="B538" s="219"/>
      <c r="C538" s="219"/>
      <c r="D538" s="219"/>
      <c r="E538" s="219"/>
      <c r="F538" s="219"/>
      <c r="G538" s="219"/>
      <c r="H538" s="219"/>
      <c r="I538" s="219"/>
      <c r="J538" s="219"/>
      <c r="K538" s="219"/>
      <c r="L538" s="219"/>
    </row>
    <row r="539" spans="2:12" hidden="1">
      <c r="B539" s="292" t="str">
        <f>'[6]PLANILHA ORÇAMENTÁRIA'!D135</f>
        <v>14.4</v>
      </c>
      <c r="C539" s="1093" t="str">
        <f>'[6]PLANILHA ORÇAMENTÁRIA'!E135</f>
        <v>ESPALDAR SIMPLES</v>
      </c>
      <c r="D539" s="1093"/>
      <c r="E539" s="1093"/>
      <c r="F539" s="1093"/>
      <c r="G539" s="1093"/>
      <c r="H539" s="1093"/>
      <c r="I539" s="1093"/>
      <c r="J539" s="1093"/>
      <c r="K539" s="293"/>
      <c r="L539" s="293"/>
    </row>
    <row r="540" spans="2:12" ht="15" hidden="1" customHeight="1">
      <c r="B540" s="85" t="str">
        <f>'[6]PLANILHA ORÇAMENTÁRIA'!D136</f>
        <v>14.4.1</v>
      </c>
      <c r="C540" s="1032" t="str">
        <f>'[6]PLANILHA ORÇAMENTÁRIA'!E136</f>
        <v>ESCAVAÇÃO MANUAL DE VALA COM PROFUNDIDADE MENOR OU IGUAL A 1,30 M</v>
      </c>
      <c r="D540" s="1032"/>
      <c r="E540" s="1032"/>
      <c r="F540" s="1032"/>
      <c r="G540" s="1032"/>
      <c r="H540" s="1032"/>
      <c r="I540" s="1032"/>
      <c r="J540" s="1032"/>
      <c r="K540" s="294" t="str">
        <f>'[6]PLANILHA ORÇAMENTÁRIA'!F136</f>
        <v>M3</v>
      </c>
      <c r="L540" s="295">
        <f>K543</f>
        <v>3.5999999999999997E-2</v>
      </c>
    </row>
    <row r="541" spans="2:12" hidden="1">
      <c r="B541" s="86"/>
      <c r="C541" s="983" t="s">
        <v>20</v>
      </c>
      <c r="D541" s="983"/>
      <c r="E541" s="983"/>
      <c r="F541" s="87" t="s">
        <v>22</v>
      </c>
      <c r="G541" s="268" t="s">
        <v>111</v>
      </c>
      <c r="H541" s="87" t="s">
        <v>112</v>
      </c>
      <c r="I541" s="268" t="s">
        <v>113</v>
      </c>
      <c r="J541" s="268" t="s">
        <v>114</v>
      </c>
      <c r="K541" s="89" t="s">
        <v>25</v>
      </c>
      <c r="L541" s="90"/>
    </row>
    <row r="542" spans="2:12" hidden="1">
      <c r="B542" s="86"/>
      <c r="C542" s="1028" t="s">
        <v>174</v>
      </c>
      <c r="D542" s="1028"/>
      <c r="E542" s="1028"/>
      <c r="F542" s="91">
        <v>2</v>
      </c>
      <c r="G542" s="91">
        <v>0.8</v>
      </c>
      <c r="H542" s="91">
        <v>0.15</v>
      </c>
      <c r="I542" s="91">
        <v>0.15</v>
      </c>
      <c r="J542" s="91"/>
      <c r="K542" s="296">
        <f>PRODUCT(F542:I542)</f>
        <v>3.5999999999999997E-2</v>
      </c>
      <c r="L542" s="90"/>
    </row>
    <row r="543" spans="2:12" hidden="1">
      <c r="B543" s="86"/>
      <c r="C543" s="987" t="s">
        <v>116</v>
      </c>
      <c r="D543" s="987"/>
      <c r="E543" s="987"/>
      <c r="F543" s="987"/>
      <c r="G543" s="987"/>
      <c r="H543" s="987"/>
      <c r="I543" s="987"/>
      <c r="J543" s="987"/>
      <c r="K543" s="298">
        <f>SUM(K542:K542)</f>
        <v>3.5999999999999997E-2</v>
      </c>
      <c r="L543" s="90"/>
    </row>
    <row r="544" spans="2:12" hidden="1">
      <c r="B544" s="86"/>
      <c r="C544" s="211"/>
      <c r="D544" s="211"/>
      <c r="E544" s="211"/>
      <c r="F544" s="211"/>
      <c r="G544" s="211"/>
      <c r="H544" s="211"/>
      <c r="I544" s="211"/>
      <c r="J544" s="211"/>
      <c r="K544" s="299"/>
      <c r="L544" s="90"/>
    </row>
    <row r="545" spans="2:12" ht="15" hidden="1" customHeight="1">
      <c r="B545" s="85" t="str">
        <f>'[6]PLANILHA ORÇAMENTÁRIA'!D137</f>
        <v>14.4.2</v>
      </c>
      <c r="C545" s="1032" t="str">
        <f>'[6]PLANILHA ORÇAMENTÁRIA'!E137</f>
        <v>LASTRO DE CONCRETO MAGRO, APLICADO EM PISOS OU RADIERS, ESPESSURA DE 5CM. AF_07_2016</v>
      </c>
      <c r="D545" s="1032"/>
      <c r="E545" s="1032"/>
      <c r="F545" s="1032"/>
      <c r="G545" s="1032"/>
      <c r="H545" s="1032"/>
      <c r="I545" s="1032"/>
      <c r="J545" s="1032"/>
      <c r="K545" s="294" t="str">
        <f>'[6]PLANILHA ORÇAMENTÁRIA'!F137</f>
        <v>M2</v>
      </c>
      <c r="L545" s="295">
        <f>K548</f>
        <v>4.4999999999999998E-2</v>
      </c>
    </row>
    <row r="546" spans="2:12" hidden="1">
      <c r="B546" s="86"/>
      <c r="C546" s="983" t="s">
        <v>20</v>
      </c>
      <c r="D546" s="983"/>
      <c r="E546" s="983"/>
      <c r="F546" s="87" t="s">
        <v>22</v>
      </c>
      <c r="G546" s="268" t="s">
        <v>111</v>
      </c>
      <c r="H546" s="87" t="s">
        <v>112</v>
      </c>
      <c r="I546" s="268" t="s">
        <v>113</v>
      </c>
      <c r="J546" s="268" t="s">
        <v>114</v>
      </c>
      <c r="K546" s="89" t="s">
        <v>25</v>
      </c>
      <c r="L546" s="90"/>
    </row>
    <row r="547" spans="2:12" hidden="1">
      <c r="B547" s="86"/>
      <c r="C547" s="1028"/>
      <c r="D547" s="1028"/>
      <c r="E547" s="1028"/>
      <c r="F547" s="91">
        <v>2</v>
      </c>
      <c r="G547" s="91"/>
      <c r="H547" s="91">
        <v>0.15</v>
      </c>
      <c r="I547" s="91">
        <v>0.15</v>
      </c>
      <c r="J547" s="91"/>
      <c r="K547" s="296">
        <f>PRODUCT(F547:I547)</f>
        <v>4.4999999999999998E-2</v>
      </c>
      <c r="L547" s="90"/>
    </row>
    <row r="548" spans="2:12" hidden="1">
      <c r="B548" s="86"/>
      <c r="C548" s="987" t="s">
        <v>116</v>
      </c>
      <c r="D548" s="987"/>
      <c r="E548" s="987"/>
      <c r="F548" s="987"/>
      <c r="G548" s="987"/>
      <c r="H548" s="987"/>
      <c r="I548" s="987"/>
      <c r="J548" s="987"/>
      <c r="K548" s="298">
        <f>SUM(K547:K547)</f>
        <v>4.4999999999999998E-2</v>
      </c>
      <c r="L548" s="90"/>
    </row>
    <row r="549" spans="2:12" hidden="1">
      <c r="B549" s="86"/>
      <c r="C549" s="211"/>
      <c r="D549" s="211"/>
      <c r="E549" s="211"/>
      <c r="F549" s="211"/>
      <c r="G549" s="211"/>
      <c r="H549" s="211"/>
      <c r="I549" s="211"/>
      <c r="J549" s="211"/>
      <c r="K549" s="299"/>
      <c r="L549" s="90"/>
    </row>
    <row r="550" spans="2:12" ht="21.75" hidden="1" customHeight="1">
      <c r="B550" s="85" t="str">
        <f>'[6]PLANILHA ORÇAMENTÁRIA'!D138</f>
        <v>14.4.3</v>
      </c>
      <c r="C550" s="1032" t="str">
        <f>'[6]PLANILHA ORÇAMENTÁRIA'!E138</f>
        <v>CONCRETAGEM DE BLOCOS DE COROAMENTO E VIGAS BALDRAMES, FCK 30 MPA, COM USO DE BOMBA LANÇAMENTO, ADENSAMENTO E ACABAMENTO. AF_06/2017</v>
      </c>
      <c r="D550" s="1032"/>
      <c r="E550" s="1032"/>
      <c r="F550" s="1032"/>
      <c r="G550" s="1032"/>
      <c r="H550" s="1032"/>
      <c r="I550" s="1032"/>
      <c r="J550" s="1032"/>
      <c r="K550" s="294" t="str">
        <f>'[6]PLANILHA ORÇAMENTÁRIA'!F138</f>
        <v>M3</v>
      </c>
      <c r="L550" s="295">
        <f>K553</f>
        <v>0.02</v>
      </c>
    </row>
    <row r="551" spans="2:12" hidden="1">
      <c r="B551" s="86"/>
      <c r="C551" s="983" t="s">
        <v>20</v>
      </c>
      <c r="D551" s="983"/>
      <c r="E551" s="983"/>
      <c r="F551" s="87" t="s">
        <v>22</v>
      </c>
      <c r="G551" s="268" t="s">
        <v>111</v>
      </c>
      <c r="H551" s="87" t="s">
        <v>112</v>
      </c>
      <c r="I551" s="268" t="s">
        <v>113</v>
      </c>
      <c r="J551" s="268" t="s">
        <v>114</v>
      </c>
      <c r="K551" s="89" t="s">
        <v>25</v>
      </c>
      <c r="L551" s="90"/>
    </row>
    <row r="552" spans="2:12" hidden="1">
      <c r="B552" s="86"/>
      <c r="C552" s="1028" t="s">
        <v>191</v>
      </c>
      <c r="D552" s="1028"/>
      <c r="E552" s="1028"/>
      <c r="F552" s="91">
        <v>2</v>
      </c>
      <c r="G552" s="91">
        <v>0.65</v>
      </c>
      <c r="H552" s="91">
        <v>0.15</v>
      </c>
      <c r="I552" s="91">
        <v>0.15</v>
      </c>
      <c r="J552" s="91"/>
      <c r="K552" s="269">
        <f>TRUNC(G552*H552*F552*I552,2)</f>
        <v>0.02</v>
      </c>
      <c r="L552" s="90"/>
    </row>
    <row r="553" spans="2:12" hidden="1">
      <c r="B553" s="86"/>
      <c r="C553" s="987" t="s">
        <v>116</v>
      </c>
      <c r="D553" s="987"/>
      <c r="E553" s="987"/>
      <c r="F553" s="987"/>
      <c r="G553" s="987"/>
      <c r="H553" s="987"/>
      <c r="I553" s="987"/>
      <c r="J553" s="987"/>
      <c r="K553" s="89">
        <f>SUM(K552:K552)</f>
        <v>0.02</v>
      </c>
      <c r="L553" s="90"/>
    </row>
    <row r="554" spans="2:12" hidden="1">
      <c r="B554" s="219"/>
      <c r="C554" s="219"/>
      <c r="D554" s="219"/>
      <c r="E554" s="219"/>
      <c r="F554" s="219"/>
      <c r="G554" s="219"/>
      <c r="H554" s="219"/>
      <c r="I554" s="219"/>
      <c r="J554" s="219"/>
      <c r="K554" s="219"/>
      <c r="L554" s="219"/>
    </row>
    <row r="555" spans="2:12" ht="15" hidden="1" customHeight="1">
      <c r="B555" s="85" t="str">
        <f>'[6]PLANILHA ORÇAMENTÁRIA'!D139</f>
        <v>14.4.4</v>
      </c>
      <c r="C555" s="1032" t="str">
        <f>'[6]PLANILHA ORÇAMENTÁRIA'!E139</f>
        <v>TUBO DE AÇO GALVANIZADO COM COSTURA 2" - FORNECIMENTO E INSTALACAO. - M</v>
      </c>
      <c r="D555" s="1032"/>
      <c r="E555" s="1032"/>
      <c r="F555" s="1032"/>
      <c r="G555" s="1032"/>
      <c r="H555" s="1032"/>
      <c r="I555" s="1032"/>
      <c r="J555" s="1032"/>
      <c r="K555" s="294" t="str">
        <f>'[6]PLANILHA ORÇAMENTÁRIA'!F139</f>
        <v>M</v>
      </c>
      <c r="L555" s="295">
        <f>K559</f>
        <v>12.2</v>
      </c>
    </row>
    <row r="556" spans="2:12" hidden="1">
      <c r="B556" s="86"/>
      <c r="C556" s="983" t="s">
        <v>20</v>
      </c>
      <c r="D556" s="983"/>
      <c r="E556" s="983"/>
      <c r="F556" s="87" t="s">
        <v>22</v>
      </c>
      <c r="G556" s="268" t="s">
        <v>111</v>
      </c>
      <c r="H556" s="87" t="s">
        <v>112</v>
      </c>
      <c r="I556" s="268" t="s">
        <v>113</v>
      </c>
      <c r="J556" s="268" t="s">
        <v>114</v>
      </c>
      <c r="K556" s="89" t="s">
        <v>25</v>
      </c>
      <c r="L556" s="90"/>
    </row>
    <row r="557" spans="2:12" hidden="1">
      <c r="B557" s="86"/>
      <c r="C557" s="1028" t="s">
        <v>189</v>
      </c>
      <c r="D557" s="1028"/>
      <c r="E557" s="1028"/>
      <c r="F557" s="91">
        <v>2</v>
      </c>
      <c r="G557" s="91"/>
      <c r="H557" s="91"/>
      <c r="I557" s="91">
        <v>2.6</v>
      </c>
      <c r="J557" s="91"/>
      <c r="K557" s="269">
        <f>F557*I557</f>
        <v>5.2</v>
      </c>
      <c r="L557" s="90"/>
    </row>
    <row r="558" spans="2:12" hidden="1">
      <c r="B558" s="86"/>
      <c r="C558" s="984" t="s">
        <v>190</v>
      </c>
      <c r="D558" s="985"/>
      <c r="E558" s="986"/>
      <c r="F558" s="91">
        <v>7</v>
      </c>
      <c r="G558" s="91"/>
      <c r="H558" s="91"/>
      <c r="I558" s="91">
        <v>1</v>
      </c>
      <c r="J558" s="91"/>
      <c r="K558" s="269">
        <f>F558*I558</f>
        <v>7</v>
      </c>
      <c r="L558" s="90"/>
    </row>
    <row r="559" spans="2:12" hidden="1">
      <c r="B559" s="86"/>
      <c r="C559" s="987" t="s">
        <v>116</v>
      </c>
      <c r="D559" s="987"/>
      <c r="E559" s="987"/>
      <c r="F559" s="987"/>
      <c r="G559" s="987"/>
      <c r="H559" s="987"/>
      <c r="I559" s="987"/>
      <c r="J559" s="987"/>
      <c r="K559" s="89">
        <f>SUM(K557:K558)</f>
        <v>12.2</v>
      </c>
      <c r="L559" s="90"/>
    </row>
    <row r="560" spans="2:12" hidden="1">
      <c r="B560" s="86"/>
      <c r="C560" s="211"/>
      <c r="D560" s="211"/>
      <c r="E560" s="211"/>
      <c r="F560" s="211"/>
      <c r="G560" s="211"/>
      <c r="H560" s="211"/>
      <c r="I560" s="211"/>
      <c r="J560" s="211"/>
      <c r="K560" s="212"/>
      <c r="L560" s="90"/>
    </row>
    <row r="561" spans="2:12" ht="15" hidden="1" customHeight="1">
      <c r="B561" s="85" t="str">
        <f>'[6]PLANILHA ORÇAMENTÁRIA'!D140</f>
        <v>14.4.5</v>
      </c>
      <c r="C561" s="1032" t="str">
        <f>'[6]PLANILHA ORÇAMENTÁRIA'!E140</f>
        <v>PINTURA ESMALTE ALTO BRILHO, DUAS DEMAOS, SOBRE SUPERFICIE METALICA</v>
      </c>
      <c r="D561" s="1032"/>
      <c r="E561" s="1032"/>
      <c r="F561" s="1032"/>
      <c r="G561" s="1032"/>
      <c r="H561" s="1032"/>
      <c r="I561" s="1032"/>
      <c r="J561" s="1032"/>
      <c r="K561" s="294" t="str">
        <f>'[6]PLANILHA ORÇAMENTÁRIA'!F140</f>
        <v>M2</v>
      </c>
      <c r="L561" s="295">
        <f>K565</f>
        <v>1.7000000000000002</v>
      </c>
    </row>
    <row r="562" spans="2:12" hidden="1">
      <c r="B562" s="86"/>
      <c r="C562" s="983" t="s">
        <v>20</v>
      </c>
      <c r="D562" s="983"/>
      <c r="E562" s="983"/>
      <c r="F562" s="87" t="s">
        <v>22</v>
      </c>
      <c r="G562" s="268" t="s">
        <v>111</v>
      </c>
      <c r="H562" s="87" t="s">
        <v>178</v>
      </c>
      <c r="I562" s="268" t="s">
        <v>113</v>
      </c>
      <c r="J562" s="268" t="s">
        <v>114</v>
      </c>
      <c r="K562" s="89" t="s">
        <v>25</v>
      </c>
      <c r="L562" s="90"/>
    </row>
    <row r="563" spans="2:12" hidden="1">
      <c r="B563" s="86"/>
      <c r="C563" s="1028" t="s">
        <v>189</v>
      </c>
      <c r="D563" s="1028"/>
      <c r="E563" s="1028"/>
      <c r="F563" s="91">
        <v>2</v>
      </c>
      <c r="G563" s="91"/>
      <c r="H563" s="300">
        <v>2.5000000000000001E-2</v>
      </c>
      <c r="I563" s="91">
        <v>1.95</v>
      </c>
      <c r="J563" s="91"/>
      <c r="K563" s="269">
        <f>TRUNC((2*3.14*H563*I563)*F563,2)</f>
        <v>0.61</v>
      </c>
      <c r="L563" s="90"/>
    </row>
    <row r="564" spans="2:12" hidden="1">
      <c r="B564" s="86"/>
      <c r="C564" s="984" t="s">
        <v>190</v>
      </c>
      <c r="D564" s="985"/>
      <c r="E564" s="986"/>
      <c r="F564" s="91">
        <v>7</v>
      </c>
      <c r="G564" s="91"/>
      <c r="H564" s="300">
        <v>2.5000000000000001E-2</v>
      </c>
      <c r="I564" s="91">
        <v>1</v>
      </c>
      <c r="J564" s="91"/>
      <c r="K564" s="269">
        <f>TRUNC((2*3.14*H564*I564)*F564,2)</f>
        <v>1.0900000000000001</v>
      </c>
      <c r="L564" s="90"/>
    </row>
    <row r="565" spans="2:12" hidden="1">
      <c r="B565" s="86"/>
      <c r="C565" s="987" t="s">
        <v>116</v>
      </c>
      <c r="D565" s="987"/>
      <c r="E565" s="987"/>
      <c r="F565" s="987"/>
      <c r="G565" s="987"/>
      <c r="H565" s="987"/>
      <c r="I565" s="987"/>
      <c r="J565" s="987"/>
      <c r="K565" s="89">
        <f>SUM(K563:K564)</f>
        <v>1.7000000000000002</v>
      </c>
      <c r="L565" s="90"/>
    </row>
    <row r="566" spans="2:12" hidden="1">
      <c r="B566" s="219"/>
      <c r="C566" s="219"/>
      <c r="D566" s="219"/>
      <c r="E566" s="219"/>
      <c r="F566" s="219"/>
      <c r="G566" s="219"/>
      <c r="H566" s="219"/>
      <c r="I566" s="219"/>
      <c r="J566" s="219"/>
      <c r="K566" s="219"/>
      <c r="L566" s="219"/>
    </row>
    <row r="567" spans="2:12" hidden="1">
      <c r="B567" s="292" t="str">
        <f>'[6]PLANILHA ORÇAMENTÁRIA'!D141</f>
        <v>14.5</v>
      </c>
      <c r="C567" s="1093" t="str">
        <f>'[6]PLANILHA ORÇAMENTÁRIA'!E141</f>
        <v>BARRA DE APOIO</v>
      </c>
      <c r="D567" s="1093"/>
      <c r="E567" s="1093"/>
      <c r="F567" s="1093"/>
      <c r="G567" s="1093"/>
      <c r="H567" s="1093"/>
      <c r="I567" s="1093"/>
      <c r="J567" s="1093"/>
      <c r="K567" s="293"/>
      <c r="L567" s="293"/>
    </row>
    <row r="568" spans="2:12" ht="15" hidden="1" customHeight="1">
      <c r="B568" s="85" t="str">
        <f>'[6]PLANILHA ORÇAMENTÁRIA'!D142</f>
        <v>14.5.1</v>
      </c>
      <c r="C568" s="1032" t="str">
        <f>'[6]PLANILHA ORÇAMENTÁRIA'!E142</f>
        <v>ESCAVAÇÃO MANUAL DE VALA COM PROFUNDIDADE MENOR OU IGUAL A 1,30 M</v>
      </c>
      <c r="D568" s="1032"/>
      <c r="E568" s="1032"/>
      <c r="F568" s="1032"/>
      <c r="G568" s="1032"/>
      <c r="H568" s="1032"/>
      <c r="I568" s="1032"/>
      <c r="J568" s="1032"/>
      <c r="K568" s="294" t="str">
        <f>'[6]PLANILHA ORÇAMENTÁRIA'!F142</f>
        <v>M3</v>
      </c>
      <c r="L568" s="295">
        <f>K571</f>
        <v>4.9500000000000002E-2</v>
      </c>
    </row>
    <row r="569" spans="2:12" hidden="1">
      <c r="B569" s="86"/>
      <c r="C569" s="983" t="s">
        <v>20</v>
      </c>
      <c r="D569" s="983"/>
      <c r="E569" s="983"/>
      <c r="F569" s="87" t="s">
        <v>22</v>
      </c>
      <c r="G569" s="268" t="s">
        <v>111</v>
      </c>
      <c r="H569" s="87" t="s">
        <v>112</v>
      </c>
      <c r="I569" s="268" t="s">
        <v>113</v>
      </c>
      <c r="J569" s="268" t="s">
        <v>114</v>
      </c>
      <c r="K569" s="89" t="s">
        <v>25</v>
      </c>
      <c r="L569" s="90"/>
    </row>
    <row r="570" spans="2:12" hidden="1">
      <c r="B570" s="86"/>
      <c r="C570" s="1028" t="s">
        <v>174</v>
      </c>
      <c r="D570" s="1028"/>
      <c r="E570" s="1028"/>
      <c r="F570" s="91">
        <v>4</v>
      </c>
      <c r="G570" s="91">
        <v>0.55000000000000004</v>
      </c>
      <c r="H570" s="91">
        <v>0.15</v>
      </c>
      <c r="I570" s="91">
        <v>0.15</v>
      </c>
      <c r="J570" s="91"/>
      <c r="K570" s="296">
        <f>PRODUCT(F570:I570)</f>
        <v>4.9500000000000002E-2</v>
      </c>
      <c r="L570" s="90"/>
    </row>
    <row r="571" spans="2:12" hidden="1">
      <c r="B571" s="86"/>
      <c r="C571" s="987" t="s">
        <v>116</v>
      </c>
      <c r="D571" s="987"/>
      <c r="E571" s="987"/>
      <c r="F571" s="987"/>
      <c r="G571" s="987"/>
      <c r="H571" s="987"/>
      <c r="I571" s="987"/>
      <c r="J571" s="987"/>
      <c r="K571" s="298">
        <f>SUM(K570:K570)</f>
        <v>4.9500000000000002E-2</v>
      </c>
      <c r="L571" s="90"/>
    </row>
    <row r="572" spans="2:12" hidden="1">
      <c r="B572" s="86"/>
      <c r="C572" s="211"/>
      <c r="D572" s="211"/>
      <c r="E572" s="211"/>
      <c r="F572" s="211"/>
      <c r="G572" s="211"/>
      <c r="H572" s="211"/>
      <c r="I572" s="211"/>
      <c r="J572" s="211"/>
      <c r="K572" s="299"/>
      <c r="L572" s="90"/>
    </row>
    <row r="573" spans="2:12" ht="15" hidden="1" customHeight="1">
      <c r="B573" s="85" t="str">
        <f>'[6]PLANILHA ORÇAMENTÁRIA'!D143</f>
        <v>14.5.2</v>
      </c>
      <c r="C573" s="1032" t="str">
        <f>'[6]PLANILHA ORÇAMENTÁRIA'!E143</f>
        <v>LASTRO DE CONCRETO MAGRO, APLICADO EM PISOS OU RADIERS, ESPESSURA DE 5CM. AF_07_2016</v>
      </c>
      <c r="D573" s="1032"/>
      <c r="E573" s="1032"/>
      <c r="F573" s="1032"/>
      <c r="G573" s="1032"/>
      <c r="H573" s="1032"/>
      <c r="I573" s="1032"/>
      <c r="J573" s="1032"/>
      <c r="K573" s="294" t="str">
        <f>'[6]PLANILHA ORÇAMENTÁRIA'!F143</f>
        <v>M2</v>
      </c>
      <c r="L573" s="295">
        <f>K576</f>
        <v>0.09</v>
      </c>
    </row>
    <row r="574" spans="2:12" hidden="1">
      <c r="B574" s="86"/>
      <c r="C574" s="983" t="s">
        <v>20</v>
      </c>
      <c r="D574" s="983"/>
      <c r="E574" s="983"/>
      <c r="F574" s="87" t="s">
        <v>22</v>
      </c>
      <c r="G574" s="268" t="s">
        <v>111</v>
      </c>
      <c r="H574" s="87" t="s">
        <v>112</v>
      </c>
      <c r="I574" s="268" t="s">
        <v>113</v>
      </c>
      <c r="J574" s="268" t="s">
        <v>114</v>
      </c>
      <c r="K574" s="89" t="s">
        <v>25</v>
      </c>
      <c r="L574" s="90"/>
    </row>
    <row r="575" spans="2:12" hidden="1">
      <c r="B575" s="86"/>
      <c r="C575" s="1028"/>
      <c r="D575" s="1028"/>
      <c r="E575" s="1028"/>
      <c r="F575" s="91">
        <v>4</v>
      </c>
      <c r="G575" s="91"/>
      <c r="H575" s="91">
        <v>0.15</v>
      </c>
      <c r="I575" s="91">
        <v>0.15</v>
      </c>
      <c r="J575" s="91"/>
      <c r="K575" s="296">
        <f>PRODUCT(F575:I575)</f>
        <v>0.09</v>
      </c>
      <c r="L575" s="90"/>
    </row>
    <row r="576" spans="2:12" hidden="1">
      <c r="B576" s="86"/>
      <c r="C576" s="987" t="s">
        <v>116</v>
      </c>
      <c r="D576" s="987"/>
      <c r="E576" s="987"/>
      <c r="F576" s="987"/>
      <c r="G576" s="987"/>
      <c r="H576" s="987"/>
      <c r="I576" s="987"/>
      <c r="J576" s="987"/>
      <c r="K576" s="298">
        <f>SUM(K575:K575)</f>
        <v>0.09</v>
      </c>
      <c r="L576" s="90"/>
    </row>
    <row r="577" spans="2:12" ht="17.25" hidden="1" customHeight="1">
      <c r="B577" s="86"/>
      <c r="C577" s="211"/>
      <c r="D577" s="211"/>
      <c r="E577" s="211"/>
      <c r="F577" s="211"/>
      <c r="G577" s="211"/>
      <c r="H577" s="211"/>
      <c r="I577" s="211"/>
      <c r="J577" s="211"/>
      <c r="K577" s="299"/>
      <c r="L577" s="90"/>
    </row>
    <row r="578" spans="2:12" ht="22.5" hidden="1" customHeight="1">
      <c r="B578" s="85" t="str">
        <f>'[6]PLANILHA ORÇAMENTÁRIA'!D144</f>
        <v>14.5.3</v>
      </c>
      <c r="C578" s="1032" t="str">
        <f>'[6]PLANILHA ORÇAMENTÁRIA'!E144</f>
        <v>CONCRETAGEM DE BLOCOS DE COROAMENTO E VIGAS BALDRAMES, FCK 30 MPA, COM USO DE BOMBA LANÇAMENTO, ADENSAMENTO E ACABAMENTO. AF_06/2017</v>
      </c>
      <c r="D578" s="1032"/>
      <c r="E578" s="1032"/>
      <c r="F578" s="1032"/>
      <c r="G578" s="1032"/>
      <c r="H578" s="1032"/>
      <c r="I578" s="1032"/>
      <c r="J578" s="1032"/>
      <c r="K578" s="294" t="str">
        <f>'[6]PLANILHA ORÇAMENTÁRIA'!F144</f>
        <v>M3</v>
      </c>
      <c r="L578" s="295">
        <f>K581</f>
        <v>0.03</v>
      </c>
    </row>
    <row r="579" spans="2:12" hidden="1">
      <c r="B579" s="86"/>
      <c r="C579" s="983" t="s">
        <v>20</v>
      </c>
      <c r="D579" s="983"/>
      <c r="E579" s="983"/>
      <c r="F579" s="87" t="s">
        <v>22</v>
      </c>
      <c r="G579" s="268" t="s">
        <v>111</v>
      </c>
      <c r="H579" s="87" t="s">
        <v>112</v>
      </c>
      <c r="I579" s="268" t="s">
        <v>113</v>
      </c>
      <c r="J579" s="268" t="s">
        <v>114</v>
      </c>
      <c r="K579" s="89" t="s">
        <v>25</v>
      </c>
      <c r="L579" s="90"/>
    </row>
    <row r="580" spans="2:12" hidden="1">
      <c r="B580" s="86"/>
      <c r="C580" s="1028" t="s">
        <v>191</v>
      </c>
      <c r="D580" s="1028"/>
      <c r="E580" s="1028"/>
      <c r="F580" s="91">
        <v>4</v>
      </c>
      <c r="G580" s="91">
        <v>0.4</v>
      </c>
      <c r="H580" s="91">
        <v>0.15</v>
      </c>
      <c r="I580" s="91">
        <v>0.15</v>
      </c>
      <c r="J580" s="91"/>
      <c r="K580" s="269">
        <f>TRUNC(G580*H580*F580*I580,2)</f>
        <v>0.03</v>
      </c>
      <c r="L580" s="90"/>
    </row>
    <row r="581" spans="2:12" hidden="1">
      <c r="B581" s="86"/>
      <c r="C581" s="987" t="s">
        <v>116</v>
      </c>
      <c r="D581" s="987"/>
      <c r="E581" s="987"/>
      <c r="F581" s="987"/>
      <c r="G581" s="987"/>
      <c r="H581" s="987"/>
      <c r="I581" s="987"/>
      <c r="J581" s="987"/>
      <c r="K581" s="89">
        <f>SUM(K580:K580)</f>
        <v>0.03</v>
      </c>
      <c r="L581" s="90"/>
    </row>
    <row r="582" spans="2:12" ht="18" hidden="1" customHeight="1">
      <c r="B582" s="219"/>
      <c r="C582" s="219"/>
      <c r="D582" s="219"/>
      <c r="E582" s="219"/>
      <c r="F582" s="219"/>
      <c r="G582" s="219"/>
      <c r="H582" s="219"/>
      <c r="I582" s="219"/>
      <c r="J582" s="219"/>
      <c r="K582" s="219"/>
      <c r="L582" s="219"/>
    </row>
    <row r="583" spans="2:12" ht="15" hidden="1" customHeight="1">
      <c r="B583" s="85" t="str">
        <f>'[6]PLANILHA ORÇAMENTÁRIA'!D145</f>
        <v>14.5.4</v>
      </c>
      <c r="C583" s="1032" t="str">
        <f>'[6]PLANILHA ORÇAMENTÁRIA'!E145</f>
        <v>TUBO DE AÇO GALVANIZADO COM COSTURA 2" - FORNECIMENTO E INSTALACAO. - M</v>
      </c>
      <c r="D583" s="1032"/>
      <c r="E583" s="1032"/>
      <c r="F583" s="1032"/>
      <c r="G583" s="1032"/>
      <c r="H583" s="1032"/>
      <c r="I583" s="1032"/>
      <c r="J583" s="1032"/>
      <c r="K583" s="294" t="str">
        <f>'[6]PLANILHA ORÇAMENTÁRIA'!F145</f>
        <v>M</v>
      </c>
      <c r="L583" s="295">
        <f>K587</f>
        <v>14</v>
      </c>
    </row>
    <row r="584" spans="2:12" hidden="1">
      <c r="B584" s="86"/>
      <c r="C584" s="983" t="s">
        <v>20</v>
      </c>
      <c r="D584" s="983"/>
      <c r="E584" s="983"/>
      <c r="F584" s="87" t="s">
        <v>22</v>
      </c>
      <c r="G584" s="268" t="s">
        <v>111</v>
      </c>
      <c r="H584" s="87" t="s">
        <v>112</v>
      </c>
      <c r="I584" s="268" t="s">
        <v>113</v>
      </c>
      <c r="J584" s="268" t="s">
        <v>114</v>
      </c>
      <c r="K584" s="89" t="s">
        <v>25</v>
      </c>
      <c r="L584" s="90"/>
    </row>
    <row r="585" spans="2:12" hidden="1">
      <c r="B585" s="86"/>
      <c r="C585" s="1028" t="s">
        <v>189</v>
      </c>
      <c r="D585" s="1028"/>
      <c r="E585" s="1028"/>
      <c r="F585" s="91">
        <v>4</v>
      </c>
      <c r="G585" s="91"/>
      <c r="H585" s="91"/>
      <c r="I585" s="91">
        <v>1.6</v>
      </c>
      <c r="J585" s="91"/>
      <c r="K585" s="269">
        <f>F585*I585</f>
        <v>6.4</v>
      </c>
      <c r="L585" s="90"/>
    </row>
    <row r="586" spans="2:12" hidden="1">
      <c r="B586" s="86"/>
      <c r="C586" s="984" t="s">
        <v>190</v>
      </c>
      <c r="D586" s="985"/>
      <c r="E586" s="986"/>
      <c r="F586" s="91">
        <v>4</v>
      </c>
      <c r="G586" s="91"/>
      <c r="H586" s="91"/>
      <c r="I586" s="91">
        <v>1.9</v>
      </c>
      <c r="J586" s="91"/>
      <c r="K586" s="269">
        <f>F586*I586</f>
        <v>7.6</v>
      </c>
      <c r="L586" s="90"/>
    </row>
    <row r="587" spans="2:12" hidden="1">
      <c r="B587" s="86"/>
      <c r="C587" s="987" t="s">
        <v>116</v>
      </c>
      <c r="D587" s="987"/>
      <c r="E587" s="987"/>
      <c r="F587" s="987"/>
      <c r="G587" s="987"/>
      <c r="H587" s="987"/>
      <c r="I587" s="987"/>
      <c r="J587" s="987"/>
      <c r="K587" s="89">
        <f>SUM(K585:K586)</f>
        <v>14</v>
      </c>
      <c r="L587" s="90"/>
    </row>
    <row r="588" spans="2:12" hidden="1">
      <c r="B588" s="86"/>
      <c r="C588" s="211"/>
      <c r="D588" s="211"/>
      <c r="E588" s="211"/>
      <c r="F588" s="211"/>
      <c r="G588" s="211"/>
      <c r="H588" s="211"/>
      <c r="I588" s="211"/>
      <c r="J588" s="211"/>
      <c r="K588" s="212"/>
      <c r="L588" s="90"/>
    </row>
    <row r="589" spans="2:12" ht="15" hidden="1" customHeight="1">
      <c r="B589" s="85" t="str">
        <f>'[6]PLANILHA ORÇAMENTÁRIA'!D146</f>
        <v>14.5.5</v>
      </c>
      <c r="C589" s="1032" t="str">
        <f>'[6]PLANILHA ORÇAMENTÁRIA'!E146</f>
        <v>PINTURA ESMALTE ALTO BRILHO, DUAS DEMAOS, SOBRE SUPERFICIE METALICA</v>
      </c>
      <c r="D589" s="1032"/>
      <c r="E589" s="1032"/>
      <c r="F589" s="1032"/>
      <c r="G589" s="1032"/>
      <c r="H589" s="1032"/>
      <c r="I589" s="1032"/>
      <c r="J589" s="1032"/>
      <c r="K589" s="294" t="str">
        <f>'[6]PLANILHA ORÇAMENTÁRIA'!F146</f>
        <v>M2</v>
      </c>
      <c r="L589" s="295">
        <f>K593</f>
        <v>1.94</v>
      </c>
    </row>
    <row r="590" spans="2:12" hidden="1">
      <c r="B590" s="86"/>
      <c r="C590" s="983" t="s">
        <v>20</v>
      </c>
      <c r="D590" s="983"/>
      <c r="E590" s="983"/>
      <c r="F590" s="87" t="s">
        <v>22</v>
      </c>
      <c r="G590" s="268" t="s">
        <v>111</v>
      </c>
      <c r="H590" s="87" t="s">
        <v>178</v>
      </c>
      <c r="I590" s="268" t="s">
        <v>113</v>
      </c>
      <c r="J590" s="268" t="s">
        <v>114</v>
      </c>
      <c r="K590" s="89" t="s">
        <v>25</v>
      </c>
      <c r="L590" s="90"/>
    </row>
    <row r="591" spans="2:12" hidden="1">
      <c r="B591" s="86"/>
      <c r="C591" s="1028" t="s">
        <v>189</v>
      </c>
      <c r="D591" s="1028"/>
      <c r="E591" s="1028"/>
      <c r="F591" s="91">
        <v>4</v>
      </c>
      <c r="G591" s="91"/>
      <c r="H591" s="300">
        <v>2.5000000000000001E-2</v>
      </c>
      <c r="I591" s="91">
        <v>1.2</v>
      </c>
      <c r="J591" s="91"/>
      <c r="K591" s="269">
        <f>TRUNC((2*3.14*H591*I591)*F591,2)</f>
        <v>0.75</v>
      </c>
      <c r="L591" s="90"/>
    </row>
    <row r="592" spans="2:12" hidden="1">
      <c r="B592" s="86"/>
      <c r="C592" s="984" t="s">
        <v>190</v>
      </c>
      <c r="D592" s="985"/>
      <c r="E592" s="986"/>
      <c r="F592" s="91">
        <v>4</v>
      </c>
      <c r="G592" s="91"/>
      <c r="H592" s="300">
        <v>2.5000000000000001E-2</v>
      </c>
      <c r="I592" s="91">
        <v>1.9</v>
      </c>
      <c r="J592" s="91"/>
      <c r="K592" s="269">
        <f>TRUNC((2*3.14*H592*I592)*F592,2)</f>
        <v>1.19</v>
      </c>
      <c r="L592" s="90"/>
    </row>
    <row r="593" spans="2:12" hidden="1">
      <c r="B593" s="86"/>
      <c r="C593" s="987" t="s">
        <v>116</v>
      </c>
      <c r="D593" s="987"/>
      <c r="E593" s="987"/>
      <c r="F593" s="987"/>
      <c r="G593" s="987"/>
      <c r="H593" s="987"/>
      <c r="I593" s="987"/>
      <c r="J593" s="987"/>
      <c r="K593" s="89">
        <f>SUM(K591:K592)</f>
        <v>1.94</v>
      </c>
      <c r="L593" s="90"/>
    </row>
    <row r="594" spans="2:12" hidden="1">
      <c r="B594" s="219"/>
      <c r="C594" s="219"/>
      <c r="D594" s="219"/>
      <c r="E594" s="219"/>
      <c r="F594" s="219"/>
      <c r="G594" s="219"/>
      <c r="H594" s="219"/>
      <c r="I594" s="219"/>
      <c r="J594" s="219"/>
      <c r="K594" s="219"/>
      <c r="L594" s="219"/>
    </row>
    <row r="595" spans="2:12" hidden="1">
      <c r="B595" s="292" t="str">
        <f>'[6]PLANILHA ORÇAMENTÁRIA'!D147</f>
        <v>14.6</v>
      </c>
      <c r="C595" s="1093" t="str">
        <f>'[6]PLANILHA ORÇAMENTÁRIA'!E147</f>
        <v>BANCOS DE APOIO</v>
      </c>
      <c r="D595" s="1093"/>
      <c r="E595" s="1093"/>
      <c r="F595" s="1093"/>
      <c r="G595" s="1093"/>
      <c r="H595" s="1093"/>
      <c r="I595" s="1093"/>
      <c r="J595" s="1093"/>
      <c r="K595" s="293"/>
      <c r="L595" s="293"/>
    </row>
    <row r="596" spans="2:12" ht="15" hidden="1" customHeight="1">
      <c r="B596" s="85" t="str">
        <f>'[6]PLANILHA ORÇAMENTÁRIA'!D148</f>
        <v>14.6.1</v>
      </c>
      <c r="C596" s="1032" t="str">
        <f>'[6]PLANILHA ORÇAMENTÁRIA'!E148</f>
        <v>CONJUNTO DE BANCOS, TAMPO EM CONCRETO SIMPLES, DESEMPOLADA H=5OCM, 40CM E 30CM</v>
      </c>
      <c r="D596" s="1032"/>
      <c r="E596" s="1032"/>
      <c r="F596" s="1032"/>
      <c r="G596" s="1032"/>
      <c r="H596" s="1032"/>
      <c r="I596" s="1032"/>
      <c r="J596" s="1032"/>
      <c r="K596" s="294" t="str">
        <f>'[6]PLANILHA ORÇAMENTÁRIA'!F148</f>
        <v>CJ</v>
      </c>
      <c r="L596" s="295">
        <f>K599</f>
        <v>1</v>
      </c>
    </row>
    <row r="597" spans="2:12" hidden="1">
      <c r="B597" s="86"/>
      <c r="C597" s="983" t="s">
        <v>20</v>
      </c>
      <c r="D597" s="983"/>
      <c r="E597" s="983"/>
      <c r="F597" s="87" t="s">
        <v>22</v>
      </c>
      <c r="G597" s="268" t="s">
        <v>111</v>
      </c>
      <c r="H597" s="87" t="s">
        <v>112</v>
      </c>
      <c r="I597" s="268" t="s">
        <v>113</v>
      </c>
      <c r="J597" s="268" t="s">
        <v>114</v>
      </c>
      <c r="K597" s="89" t="s">
        <v>25</v>
      </c>
      <c r="L597" s="90"/>
    </row>
    <row r="598" spans="2:12" hidden="1">
      <c r="B598" s="86"/>
      <c r="C598" s="1028" t="s">
        <v>192</v>
      </c>
      <c r="D598" s="1028"/>
      <c r="E598" s="1028"/>
      <c r="F598" s="91">
        <v>1</v>
      </c>
      <c r="G598" s="91"/>
      <c r="H598" s="91"/>
      <c r="I598" s="91"/>
      <c r="J598" s="91"/>
      <c r="K598" s="296">
        <f>PRODUCT(F598:I598)</f>
        <v>1</v>
      </c>
      <c r="L598" s="90"/>
    </row>
    <row r="599" spans="2:12" hidden="1">
      <c r="B599" s="86"/>
      <c r="C599" s="987" t="s">
        <v>116</v>
      </c>
      <c r="D599" s="987"/>
      <c r="E599" s="987"/>
      <c r="F599" s="987"/>
      <c r="G599" s="987"/>
      <c r="H599" s="987"/>
      <c r="I599" s="987"/>
      <c r="J599" s="987"/>
      <c r="K599" s="298">
        <f>SUM(K598:K598)</f>
        <v>1</v>
      </c>
      <c r="L599" s="90"/>
    </row>
    <row r="600" spans="2:12" ht="15" hidden="1" customHeight="1">
      <c r="B600" s="219"/>
      <c r="C600" s="219"/>
      <c r="D600" s="219"/>
      <c r="E600" s="219"/>
      <c r="F600" s="219"/>
      <c r="G600" s="219"/>
      <c r="H600" s="219"/>
      <c r="I600" s="219"/>
      <c r="J600" s="219"/>
      <c r="K600" s="219"/>
      <c r="L600" s="219"/>
    </row>
    <row r="601" spans="2:12" hidden="1">
      <c r="B601" s="292" t="str">
        <f>'[6]PLANILHA ORÇAMENTÁRIA'!D149</f>
        <v>14.7</v>
      </c>
      <c r="C601" s="1093" t="str">
        <f>'[6]PLANILHA ORÇAMENTÁRIA'!E149</f>
        <v>PRANCHAS PARA EXERCICIOS ABDOMINAIS</v>
      </c>
      <c r="D601" s="1093"/>
      <c r="E601" s="1093"/>
      <c r="F601" s="1093"/>
      <c r="G601" s="1093"/>
      <c r="H601" s="1093"/>
      <c r="I601" s="1093"/>
      <c r="J601" s="1093"/>
      <c r="K601" s="293"/>
      <c r="L601" s="293"/>
    </row>
    <row r="602" spans="2:12" ht="26.25" hidden="1" customHeight="1">
      <c r="B602" s="85" t="str">
        <f>'[6]PLANILHA ORÇAMENTÁRIA'!D150</f>
        <v>14.7.1</v>
      </c>
      <c r="C602" s="1032" t="str">
        <f>'[6]PLANILHA ORÇAMENTÁRIA'!E150</f>
        <v>CONJUNTO DE PRANCHAS P/ EXERCICIOS ABDOMINAIS, TAMPO EM CONCRETO SIMPLES, DESEMPOLADA H=80CM, H=5OCM E 40CM</v>
      </c>
      <c r="D602" s="1032"/>
      <c r="E602" s="1032"/>
      <c r="F602" s="1032"/>
      <c r="G602" s="1032"/>
      <c r="H602" s="1032"/>
      <c r="I602" s="1032"/>
      <c r="J602" s="1032"/>
      <c r="K602" s="294" t="str">
        <f>'[6]PLANILHA ORÇAMENTÁRIA'!F150</f>
        <v>CJ</v>
      </c>
      <c r="L602" s="295">
        <f>K605</f>
        <v>1</v>
      </c>
    </row>
    <row r="603" spans="2:12" hidden="1">
      <c r="B603" s="86"/>
      <c r="C603" s="983" t="s">
        <v>20</v>
      </c>
      <c r="D603" s="983"/>
      <c r="E603" s="983"/>
      <c r="F603" s="87" t="s">
        <v>22</v>
      </c>
      <c r="G603" s="268" t="s">
        <v>111</v>
      </c>
      <c r="H603" s="87" t="s">
        <v>112</v>
      </c>
      <c r="I603" s="268" t="s">
        <v>113</v>
      </c>
      <c r="J603" s="268" t="s">
        <v>114</v>
      </c>
      <c r="K603" s="89" t="s">
        <v>25</v>
      </c>
      <c r="L603" s="90"/>
    </row>
    <row r="604" spans="2:12" hidden="1">
      <c r="B604" s="86"/>
      <c r="C604" s="1028" t="s">
        <v>193</v>
      </c>
      <c r="D604" s="1028"/>
      <c r="E604" s="1028"/>
      <c r="F604" s="91">
        <v>1</v>
      </c>
      <c r="G604" s="91"/>
      <c r="H604" s="91"/>
      <c r="I604" s="91"/>
      <c r="J604" s="91"/>
      <c r="K604" s="296">
        <f>PRODUCT(F604:I604)</f>
        <v>1</v>
      </c>
      <c r="L604" s="90"/>
    </row>
    <row r="605" spans="2:12" hidden="1">
      <c r="B605" s="86"/>
      <c r="C605" s="987" t="s">
        <v>116</v>
      </c>
      <c r="D605" s="987"/>
      <c r="E605" s="987"/>
      <c r="F605" s="987"/>
      <c r="G605" s="987"/>
      <c r="H605" s="987"/>
      <c r="I605" s="987"/>
      <c r="J605" s="987"/>
      <c r="K605" s="298">
        <f>SUM(K604:K604)</f>
        <v>1</v>
      </c>
      <c r="L605" s="90"/>
    </row>
    <row r="606" spans="2:12" hidden="1">
      <c r="B606" s="86"/>
      <c r="C606" s="211"/>
      <c r="D606" s="211"/>
      <c r="E606" s="211"/>
      <c r="F606" s="211"/>
      <c r="G606" s="211"/>
      <c r="H606" s="211"/>
      <c r="I606" s="211"/>
      <c r="J606" s="211"/>
      <c r="K606" s="299"/>
      <c r="L606" s="90"/>
    </row>
    <row r="607" spans="2:12" hidden="1">
      <c r="B607" s="86"/>
      <c r="C607" s="211"/>
      <c r="D607" s="211"/>
      <c r="E607" s="211"/>
      <c r="F607" s="211"/>
      <c r="G607" s="211"/>
      <c r="H607" s="211"/>
      <c r="I607" s="211"/>
      <c r="J607" s="211"/>
      <c r="K607" s="212"/>
      <c r="L607" s="90"/>
    </row>
    <row r="608" spans="2:12" ht="15" hidden="1" customHeight="1">
      <c r="B608" s="85" t="str">
        <f>'[6]PLANILHA ORÇAMENTÁRIA'!D153</f>
        <v>15.2</v>
      </c>
      <c r="C608" s="1032" t="str">
        <f>'[6]PLANILHA ORÇAMENTÁRIA'!E153</f>
        <v>BARRA DE APOIO RETA, EM ACO INOX POLIDO, COMPRIMENTO 60CM, DIAMETRO MINIMO 3CM</v>
      </c>
      <c r="D608" s="1032"/>
      <c r="E608" s="1032"/>
      <c r="F608" s="1032"/>
      <c r="G608" s="1032"/>
      <c r="H608" s="1032"/>
      <c r="I608" s="1032"/>
      <c r="J608" s="1032"/>
      <c r="K608" s="294" t="str">
        <f>'[6]PLANILHA ORÇAMENTÁRIA'!F153</f>
        <v>UND</v>
      </c>
      <c r="L608" s="295">
        <f>K612</f>
        <v>2</v>
      </c>
    </row>
    <row r="609" spans="2:12" hidden="1">
      <c r="B609" s="86"/>
      <c r="C609" s="1018" t="s">
        <v>20</v>
      </c>
      <c r="D609" s="1019"/>
      <c r="E609" s="1020"/>
      <c r="F609" s="87" t="s">
        <v>22</v>
      </c>
      <c r="G609" s="268" t="s">
        <v>111</v>
      </c>
      <c r="H609" s="268" t="s">
        <v>114</v>
      </c>
      <c r="I609" s="268" t="s">
        <v>113</v>
      </c>
      <c r="J609" s="268" t="s">
        <v>136</v>
      </c>
      <c r="K609" s="89" t="s">
        <v>25</v>
      </c>
      <c r="L609" s="90"/>
    </row>
    <row r="610" spans="2:12" ht="15" hidden="1" customHeight="1">
      <c r="B610" s="86"/>
      <c r="C610" s="984" t="s">
        <v>170</v>
      </c>
      <c r="D610" s="985"/>
      <c r="E610" s="986"/>
      <c r="F610" s="91">
        <v>1</v>
      </c>
      <c r="G610" s="91"/>
      <c r="H610" s="91"/>
      <c r="I610" s="91"/>
      <c r="J610" s="91"/>
      <c r="K610" s="269">
        <f>F610</f>
        <v>1</v>
      </c>
      <c r="L610" s="90"/>
    </row>
    <row r="611" spans="2:12" ht="15" hidden="1" customHeight="1">
      <c r="B611" s="86"/>
      <c r="C611" s="984" t="s">
        <v>194</v>
      </c>
      <c r="D611" s="985"/>
      <c r="E611" s="986"/>
      <c r="F611" s="91">
        <v>1</v>
      </c>
      <c r="G611" s="91"/>
      <c r="H611" s="91"/>
      <c r="I611" s="91"/>
      <c r="J611" s="91"/>
      <c r="K611" s="269">
        <f>F611</f>
        <v>1</v>
      </c>
      <c r="L611" s="90"/>
    </row>
    <row r="612" spans="2:12" hidden="1">
      <c r="B612" s="86"/>
      <c r="C612" s="1014" t="s">
        <v>116</v>
      </c>
      <c r="D612" s="1015"/>
      <c r="E612" s="1015"/>
      <c r="F612" s="1015"/>
      <c r="G612" s="1015"/>
      <c r="H612" s="1015"/>
      <c r="I612" s="1015"/>
      <c r="J612" s="1016"/>
      <c r="K612" s="89">
        <f>SUM(K610:K611)</f>
        <v>2</v>
      </c>
      <c r="L612" s="90"/>
    </row>
    <row r="613" spans="2:12" hidden="1">
      <c r="B613" s="86"/>
      <c r="C613" s="211"/>
      <c r="D613" s="211"/>
      <c r="E613" s="211"/>
      <c r="F613" s="211"/>
      <c r="G613" s="211"/>
      <c r="H613" s="211"/>
      <c r="I613" s="211"/>
      <c r="J613" s="211"/>
      <c r="K613" s="212"/>
      <c r="L613" s="90"/>
    </row>
    <row r="614" spans="2:12" ht="15" hidden="1" customHeight="1">
      <c r="B614" s="85" t="str">
        <f>'[6]PLANILHA ORÇAMENTÁRIA'!D154</f>
        <v>15.3</v>
      </c>
      <c r="C614" s="1032" t="str">
        <f>'[6]PLANILHA ORÇAMENTÁRIA'!E154</f>
        <v>PRATELEIRA EM CONCRETO ARMADO, LARGURA = 40CM, ESP= 5CM, REVESTIDA COM CERAMICA.</v>
      </c>
      <c r="D614" s="1032"/>
      <c r="E614" s="1032"/>
      <c r="F614" s="1032"/>
      <c r="G614" s="1032"/>
      <c r="H614" s="1032"/>
      <c r="I614" s="1032"/>
      <c r="J614" s="1032"/>
      <c r="K614" s="294" t="str">
        <f>'[6]PLANILHA ORÇAMENTÁRIA'!F154</f>
        <v>M</v>
      </c>
      <c r="L614" s="295">
        <f>K617</f>
        <v>12.6</v>
      </c>
    </row>
    <row r="615" spans="2:12" hidden="1">
      <c r="B615" s="86"/>
      <c r="C615" s="1018" t="s">
        <v>20</v>
      </c>
      <c r="D615" s="1019"/>
      <c r="E615" s="1020"/>
      <c r="F615" s="87" t="s">
        <v>22</v>
      </c>
      <c r="G615" s="268" t="s">
        <v>111</v>
      </c>
      <c r="H615" s="268" t="s">
        <v>114</v>
      </c>
      <c r="I615" s="268" t="s">
        <v>113</v>
      </c>
      <c r="J615" s="268" t="s">
        <v>136</v>
      </c>
      <c r="K615" s="89" t="s">
        <v>25</v>
      </c>
      <c r="L615" s="90"/>
    </row>
    <row r="616" spans="2:12" hidden="1">
      <c r="B616" s="86"/>
      <c r="C616" s="984" t="s">
        <v>167</v>
      </c>
      <c r="D616" s="985"/>
      <c r="E616" s="986"/>
      <c r="F616" s="91">
        <v>3</v>
      </c>
      <c r="G616" s="91"/>
      <c r="H616" s="91"/>
      <c r="I616" s="91">
        <v>4.2</v>
      </c>
      <c r="J616" s="91"/>
      <c r="K616" s="269">
        <f>TRUNC((I616*F616),2)</f>
        <v>12.6</v>
      </c>
      <c r="L616" s="90"/>
    </row>
    <row r="617" spans="2:12" hidden="1">
      <c r="B617" s="86"/>
      <c r="C617" s="1014" t="s">
        <v>116</v>
      </c>
      <c r="D617" s="1015"/>
      <c r="E617" s="1015"/>
      <c r="F617" s="1015"/>
      <c r="G617" s="1015"/>
      <c r="H617" s="1015"/>
      <c r="I617" s="1015"/>
      <c r="J617" s="1016"/>
      <c r="K617" s="89">
        <f>SUM(K616:K616)</f>
        <v>12.6</v>
      </c>
      <c r="L617" s="90"/>
    </row>
    <row r="618" spans="2:12" hidden="1">
      <c r="B618" s="86"/>
      <c r="C618" s="211"/>
      <c r="D618" s="211"/>
      <c r="E618" s="211"/>
      <c r="F618" s="211"/>
      <c r="G618" s="211"/>
      <c r="H618" s="211"/>
      <c r="I618" s="211"/>
      <c r="J618" s="211"/>
      <c r="K618" s="212"/>
      <c r="L618" s="90"/>
    </row>
    <row r="619" spans="2:12">
      <c r="B619" s="292" t="s">
        <v>13</v>
      </c>
      <c r="C619" s="1093" t="s">
        <v>34</v>
      </c>
      <c r="D619" s="1093"/>
      <c r="E619" s="1093"/>
      <c r="F619" s="1093"/>
      <c r="G619" s="1093"/>
      <c r="H619" s="1093"/>
      <c r="I619" s="1093"/>
      <c r="J619" s="1093"/>
      <c r="K619" s="293"/>
      <c r="L619" s="293"/>
    </row>
    <row r="620" spans="2:12">
      <c r="B620" s="219"/>
      <c r="C620" s="219"/>
      <c r="D620" s="219"/>
      <c r="E620" s="219"/>
      <c r="F620" s="219"/>
      <c r="G620" s="219"/>
      <c r="H620" s="219"/>
      <c r="I620" s="219"/>
      <c r="J620" s="219"/>
      <c r="K620" s="219"/>
      <c r="L620" s="219"/>
    </row>
    <row r="621" spans="2:12" ht="26.25" customHeight="1">
      <c r="B621" s="86" t="s">
        <v>14</v>
      </c>
      <c r="C621" s="980" t="str">
        <f>'CRECHE VOVO PESSOINHA'!C27</f>
        <v>APLICAÇÃO MANUAL DE PINTURA COM TINTA LÁTEX ACRÍLICA EM PAREDES, DUAS DEMÃOS. AF_06/2014</v>
      </c>
      <c r="D621" s="981"/>
      <c r="E621" s="981"/>
      <c r="F621" s="981"/>
      <c r="G621" s="981"/>
      <c r="H621" s="981"/>
      <c r="I621" s="981"/>
      <c r="J621" s="982"/>
      <c r="K621" s="97" t="s">
        <v>7</v>
      </c>
      <c r="L621" s="97">
        <f>K650</f>
        <v>404.47920000000005</v>
      </c>
    </row>
    <row r="622" spans="2:12">
      <c r="B622" s="86"/>
      <c r="C622" s="983" t="s">
        <v>20</v>
      </c>
      <c r="D622" s="983"/>
      <c r="E622" s="983"/>
      <c r="F622" s="87" t="s">
        <v>22</v>
      </c>
      <c r="G622" s="268" t="s">
        <v>111</v>
      </c>
      <c r="H622" s="87" t="s">
        <v>112</v>
      </c>
      <c r="I622" s="268" t="s">
        <v>113</v>
      </c>
      <c r="J622" s="268" t="s">
        <v>114</v>
      </c>
      <c r="K622" s="89" t="s">
        <v>25</v>
      </c>
      <c r="L622" s="90"/>
    </row>
    <row r="623" spans="2:12">
      <c r="B623" s="86"/>
      <c r="C623" s="984" t="s">
        <v>570</v>
      </c>
      <c r="D623" s="985"/>
      <c r="E623" s="986"/>
      <c r="F623" s="91">
        <v>1</v>
      </c>
      <c r="G623" s="91">
        <v>1.82</v>
      </c>
      <c r="H623" s="91">
        <v>1</v>
      </c>
      <c r="I623" s="91">
        <v>4.95</v>
      </c>
      <c r="J623" s="91">
        <v>0</v>
      </c>
      <c r="K623" s="269">
        <f>(F623*G623*H623*I623)-J623</f>
        <v>9.0090000000000003</v>
      </c>
      <c r="L623" s="90"/>
    </row>
    <row r="624" spans="2:12">
      <c r="B624" s="86"/>
      <c r="C624" s="984" t="s">
        <v>570</v>
      </c>
      <c r="D624" s="985"/>
      <c r="E624" s="986"/>
      <c r="F624" s="91">
        <v>1</v>
      </c>
      <c r="G624" s="91">
        <v>1.82</v>
      </c>
      <c r="H624" s="91">
        <v>1</v>
      </c>
      <c r="I624" s="91">
        <v>8.27</v>
      </c>
      <c r="J624" s="91">
        <f>(3.2*2)</f>
        <v>6.4</v>
      </c>
      <c r="K624" s="269">
        <f t="shared" ref="K624:K649" si="2">(F624*G624*H624*I624)-J624</f>
        <v>8.6513999999999989</v>
      </c>
      <c r="L624" s="90"/>
    </row>
    <row r="625" spans="2:12">
      <c r="B625" s="86"/>
      <c r="C625" s="984" t="s">
        <v>571</v>
      </c>
      <c r="D625" s="985"/>
      <c r="E625" s="986"/>
      <c r="F625" s="91">
        <v>1</v>
      </c>
      <c r="G625" s="91">
        <v>1.82</v>
      </c>
      <c r="H625" s="91">
        <v>1</v>
      </c>
      <c r="I625" s="91">
        <v>17.850000000000001</v>
      </c>
      <c r="J625" s="91">
        <f>3*1.68</f>
        <v>5.04</v>
      </c>
      <c r="K625" s="269">
        <f t="shared" si="2"/>
        <v>27.447000000000003</v>
      </c>
      <c r="L625" s="90"/>
    </row>
    <row r="626" spans="2:12">
      <c r="B626" s="86"/>
      <c r="C626" s="984" t="s">
        <v>573</v>
      </c>
      <c r="D626" s="985"/>
      <c r="E626" s="986"/>
      <c r="F626" s="91">
        <v>1</v>
      </c>
      <c r="G626" s="91">
        <v>1.82</v>
      </c>
      <c r="H626" s="91">
        <v>1</v>
      </c>
      <c r="I626" s="91">
        <v>12.46</v>
      </c>
      <c r="J626" s="91">
        <f>(1.68+1.5)</f>
        <v>3.1799999999999997</v>
      </c>
      <c r="K626" s="269">
        <f t="shared" si="2"/>
        <v>19.497200000000003</v>
      </c>
      <c r="L626" s="90"/>
    </row>
    <row r="627" spans="2:12">
      <c r="B627" s="86"/>
      <c r="C627" s="984" t="s">
        <v>573</v>
      </c>
      <c r="D627" s="985"/>
      <c r="E627" s="986"/>
      <c r="F627" s="91">
        <v>1</v>
      </c>
      <c r="G627" s="91">
        <v>1.82</v>
      </c>
      <c r="H627" s="91">
        <v>1</v>
      </c>
      <c r="I627" s="91">
        <v>17.309999999999999</v>
      </c>
      <c r="J627" s="91">
        <f>(1.5*3)</f>
        <v>4.5</v>
      </c>
      <c r="K627" s="269">
        <f t="shared" si="2"/>
        <v>27.004199999999997</v>
      </c>
      <c r="L627" s="90"/>
    </row>
    <row r="628" spans="2:12">
      <c r="B628" s="86"/>
      <c r="C628" s="984" t="s">
        <v>573</v>
      </c>
      <c r="D628" s="985"/>
      <c r="E628" s="986"/>
      <c r="F628" s="91">
        <v>1</v>
      </c>
      <c r="G628" s="91">
        <v>1.82</v>
      </c>
      <c r="H628" s="91">
        <v>1</v>
      </c>
      <c r="I628" s="91">
        <v>5.9</v>
      </c>
      <c r="J628" s="91">
        <v>0</v>
      </c>
      <c r="K628" s="269">
        <f t="shared" si="2"/>
        <v>10.738000000000001</v>
      </c>
      <c r="L628" s="90"/>
    </row>
    <row r="629" spans="2:12">
      <c r="B629" s="86"/>
      <c r="C629" s="984" t="s">
        <v>338</v>
      </c>
      <c r="D629" s="985"/>
      <c r="E629" s="986"/>
      <c r="F629" s="91">
        <v>2</v>
      </c>
      <c r="G629" s="91">
        <v>1.82</v>
      </c>
      <c r="H629" s="91">
        <v>1</v>
      </c>
      <c r="I629" s="91">
        <v>8.39</v>
      </c>
      <c r="J629" s="91">
        <v>1.5</v>
      </c>
      <c r="K629" s="269">
        <f t="shared" si="2"/>
        <v>29.039600000000004</v>
      </c>
      <c r="L629" s="90"/>
    </row>
    <row r="630" spans="2:12">
      <c r="B630" s="86"/>
      <c r="C630" s="984" t="s">
        <v>338</v>
      </c>
      <c r="D630" s="985"/>
      <c r="E630" s="986"/>
      <c r="F630" s="91">
        <v>2</v>
      </c>
      <c r="G630" s="91">
        <v>1.82</v>
      </c>
      <c r="H630" s="91">
        <v>1</v>
      </c>
      <c r="I630" s="91">
        <v>5.75</v>
      </c>
      <c r="J630" s="91">
        <f>1.55*2</f>
        <v>3.1</v>
      </c>
      <c r="K630" s="269">
        <f t="shared" si="2"/>
        <v>17.829999999999998</v>
      </c>
      <c r="L630" s="90"/>
    </row>
    <row r="631" spans="2:12">
      <c r="B631" s="86"/>
      <c r="C631" s="984" t="s">
        <v>461</v>
      </c>
      <c r="D631" s="985"/>
      <c r="E631" s="986"/>
      <c r="F631" s="91">
        <v>2</v>
      </c>
      <c r="G631" s="91">
        <v>1.82</v>
      </c>
      <c r="H631" s="91">
        <v>1</v>
      </c>
      <c r="I631" s="91">
        <v>5.75</v>
      </c>
      <c r="J631" s="91">
        <v>0</v>
      </c>
      <c r="K631" s="269">
        <f t="shared" si="2"/>
        <v>20.93</v>
      </c>
      <c r="L631" s="90"/>
    </row>
    <row r="632" spans="2:12">
      <c r="B632" s="86"/>
      <c r="C632" s="984" t="s">
        <v>461</v>
      </c>
      <c r="D632" s="985"/>
      <c r="E632" s="986"/>
      <c r="F632" s="91">
        <v>2</v>
      </c>
      <c r="G632" s="91">
        <v>1.82</v>
      </c>
      <c r="H632" s="91">
        <v>1</v>
      </c>
      <c r="I632" s="91">
        <v>3.62</v>
      </c>
      <c r="J632" s="91">
        <v>1.5</v>
      </c>
      <c r="K632" s="269">
        <f t="shared" si="2"/>
        <v>11.6768</v>
      </c>
      <c r="L632" s="90"/>
    </row>
    <row r="633" spans="2:12">
      <c r="B633" s="86"/>
      <c r="C633" s="984" t="s">
        <v>496</v>
      </c>
      <c r="D633" s="985"/>
      <c r="E633" s="986"/>
      <c r="F633" s="91">
        <v>2</v>
      </c>
      <c r="G633" s="91">
        <v>1.82</v>
      </c>
      <c r="H633" s="91">
        <v>1</v>
      </c>
      <c r="I633" s="91">
        <v>8.15</v>
      </c>
      <c r="J633" s="91">
        <f>(1.55*3)</f>
        <v>4.6500000000000004</v>
      </c>
      <c r="K633" s="269">
        <f t="shared" si="2"/>
        <v>25.016000000000005</v>
      </c>
      <c r="L633" s="90"/>
    </row>
    <row r="634" spans="2:12">
      <c r="B634" s="86"/>
      <c r="C634" s="984" t="s">
        <v>496</v>
      </c>
      <c r="D634" s="985"/>
      <c r="E634" s="986"/>
      <c r="F634" s="91">
        <v>2</v>
      </c>
      <c r="G634" s="91">
        <v>1.82</v>
      </c>
      <c r="H634" s="91">
        <v>1</v>
      </c>
      <c r="I634" s="91">
        <v>5.38</v>
      </c>
      <c r="J634" s="91">
        <v>1.68</v>
      </c>
      <c r="K634" s="269">
        <f t="shared" si="2"/>
        <v>17.903200000000002</v>
      </c>
      <c r="L634" s="90"/>
    </row>
    <row r="635" spans="2:12">
      <c r="B635" s="86"/>
      <c r="C635" s="984" t="s">
        <v>496</v>
      </c>
      <c r="D635" s="985"/>
      <c r="E635" s="986"/>
      <c r="F635" s="91">
        <v>2</v>
      </c>
      <c r="G635" s="91">
        <v>1.82</v>
      </c>
      <c r="H635" s="91">
        <v>1</v>
      </c>
      <c r="I635" s="91">
        <v>5.04</v>
      </c>
      <c r="J635" s="91">
        <v>0</v>
      </c>
      <c r="K635" s="269">
        <f t="shared" si="2"/>
        <v>18.345600000000001</v>
      </c>
      <c r="L635" s="90"/>
    </row>
    <row r="636" spans="2:12">
      <c r="B636" s="86"/>
      <c r="C636" s="984" t="s">
        <v>496</v>
      </c>
      <c r="D636" s="985"/>
      <c r="E636" s="986"/>
      <c r="F636" s="91">
        <v>2</v>
      </c>
      <c r="G636" s="91">
        <v>1.82</v>
      </c>
      <c r="H636" s="91">
        <v>1</v>
      </c>
      <c r="I636" s="91">
        <v>8.1199999999999992</v>
      </c>
      <c r="J636" s="91">
        <f>1.68+(1.55*3)</f>
        <v>6.33</v>
      </c>
      <c r="K636" s="269">
        <f t="shared" si="2"/>
        <v>23.226799999999997</v>
      </c>
      <c r="L636" s="90"/>
    </row>
    <row r="637" spans="2:12">
      <c r="B637" s="86"/>
      <c r="C637" s="984" t="s">
        <v>236</v>
      </c>
      <c r="D637" s="985"/>
      <c r="E637" s="986"/>
      <c r="F637" s="91">
        <v>2</v>
      </c>
      <c r="G637" s="91">
        <v>1.82</v>
      </c>
      <c r="H637" s="91">
        <v>1</v>
      </c>
      <c r="I637" s="91">
        <v>3</v>
      </c>
      <c r="J637" s="91">
        <v>1.68</v>
      </c>
      <c r="K637" s="269">
        <f t="shared" si="2"/>
        <v>9.24</v>
      </c>
      <c r="L637" s="90"/>
    </row>
    <row r="638" spans="2:12">
      <c r="B638" s="86"/>
      <c r="C638" s="984" t="s">
        <v>236</v>
      </c>
      <c r="D638" s="985"/>
      <c r="E638" s="986"/>
      <c r="F638" s="91">
        <v>2</v>
      </c>
      <c r="G638" s="91">
        <v>1.82</v>
      </c>
      <c r="H638" s="91">
        <v>1</v>
      </c>
      <c r="I638" s="91">
        <v>3</v>
      </c>
      <c r="J638" s="91">
        <v>0</v>
      </c>
      <c r="K638" s="269">
        <f t="shared" si="2"/>
        <v>10.92</v>
      </c>
      <c r="L638" s="90"/>
    </row>
    <row r="639" spans="2:12">
      <c r="B639" s="86"/>
      <c r="C639" s="984" t="s">
        <v>97</v>
      </c>
      <c r="D639" s="985"/>
      <c r="E639" s="986"/>
      <c r="F639" s="91">
        <v>2</v>
      </c>
      <c r="G639" s="91">
        <v>1.82</v>
      </c>
      <c r="H639" s="91">
        <v>1</v>
      </c>
      <c r="I639" s="91">
        <v>3</v>
      </c>
      <c r="J639" s="91">
        <f>(1.68*2)</f>
        <v>3.36</v>
      </c>
      <c r="K639" s="269">
        <f t="shared" si="2"/>
        <v>7.5600000000000005</v>
      </c>
      <c r="L639" s="90"/>
    </row>
    <row r="640" spans="2:12">
      <c r="B640" s="86"/>
      <c r="C640" s="984" t="s">
        <v>97</v>
      </c>
      <c r="D640" s="985"/>
      <c r="E640" s="986"/>
      <c r="F640" s="91">
        <v>2</v>
      </c>
      <c r="G640" s="91">
        <v>1.82</v>
      </c>
      <c r="H640" s="91">
        <v>1</v>
      </c>
      <c r="I640" s="91">
        <v>3.35</v>
      </c>
      <c r="J640" s="91">
        <v>1.68</v>
      </c>
      <c r="K640" s="269">
        <f t="shared" si="2"/>
        <v>10.514000000000001</v>
      </c>
      <c r="L640" s="90"/>
    </row>
    <row r="641" spans="2:12">
      <c r="B641" s="86"/>
      <c r="C641" s="984" t="s">
        <v>244</v>
      </c>
      <c r="D641" s="985"/>
      <c r="E641" s="986"/>
      <c r="F641" s="91">
        <v>2</v>
      </c>
      <c r="G641" s="91">
        <v>1.82</v>
      </c>
      <c r="H641" s="91">
        <v>1</v>
      </c>
      <c r="I641" s="91">
        <v>1.48</v>
      </c>
      <c r="J641" s="91">
        <v>0</v>
      </c>
      <c r="K641" s="269">
        <f t="shared" si="2"/>
        <v>5.3872</v>
      </c>
      <c r="L641" s="90"/>
    </row>
    <row r="642" spans="2:12">
      <c r="B642" s="86"/>
      <c r="C642" s="984" t="s">
        <v>244</v>
      </c>
      <c r="D642" s="985"/>
      <c r="E642" s="986"/>
      <c r="F642" s="91">
        <v>2</v>
      </c>
      <c r="G642" s="91">
        <v>1.82</v>
      </c>
      <c r="H642" s="91">
        <v>1</v>
      </c>
      <c r="I642" s="91">
        <v>1.41</v>
      </c>
      <c r="J642" s="91">
        <v>3.35</v>
      </c>
      <c r="K642" s="269">
        <f t="shared" si="2"/>
        <v>1.7823999999999995</v>
      </c>
      <c r="L642" s="90"/>
    </row>
    <row r="643" spans="2:12">
      <c r="B643" s="86"/>
      <c r="C643" s="984" t="s">
        <v>498</v>
      </c>
      <c r="D643" s="985"/>
      <c r="E643" s="986"/>
      <c r="F643" s="91">
        <v>2</v>
      </c>
      <c r="G643" s="91">
        <v>1.82</v>
      </c>
      <c r="H643" s="91">
        <v>1</v>
      </c>
      <c r="I643" s="91">
        <v>3.1</v>
      </c>
      <c r="J643" s="91">
        <v>0</v>
      </c>
      <c r="K643" s="269">
        <f t="shared" si="2"/>
        <v>11.284000000000001</v>
      </c>
      <c r="L643" s="90"/>
    </row>
    <row r="644" spans="2:12">
      <c r="B644" s="86"/>
      <c r="C644" s="984" t="s">
        <v>498</v>
      </c>
      <c r="D644" s="985"/>
      <c r="E644" s="986"/>
      <c r="F644" s="91">
        <v>2</v>
      </c>
      <c r="G644" s="91">
        <v>1.82</v>
      </c>
      <c r="H644" s="91">
        <v>1</v>
      </c>
      <c r="I644" s="91">
        <v>5.77</v>
      </c>
      <c r="J644" s="91">
        <v>1.5</v>
      </c>
      <c r="K644" s="269">
        <f t="shared" si="2"/>
        <v>19.502800000000001</v>
      </c>
      <c r="L644" s="90"/>
    </row>
    <row r="645" spans="2:12">
      <c r="B645" s="86"/>
      <c r="C645" s="984" t="s">
        <v>499</v>
      </c>
      <c r="D645" s="985"/>
      <c r="E645" s="986"/>
      <c r="F645" s="91">
        <v>2</v>
      </c>
      <c r="G645" s="91">
        <v>1.82</v>
      </c>
      <c r="H645" s="91">
        <v>1</v>
      </c>
      <c r="I645" s="91">
        <v>3.1</v>
      </c>
      <c r="J645" s="91">
        <v>0</v>
      </c>
      <c r="K645" s="269">
        <f t="shared" si="2"/>
        <v>11.284000000000001</v>
      </c>
      <c r="L645" s="90"/>
    </row>
    <row r="646" spans="2:12">
      <c r="B646" s="86"/>
      <c r="C646" s="984" t="s">
        <v>499</v>
      </c>
      <c r="D646" s="985"/>
      <c r="E646" s="986"/>
      <c r="F646" s="91">
        <v>2</v>
      </c>
      <c r="G646" s="91">
        <v>1.82</v>
      </c>
      <c r="H646" s="91">
        <v>1</v>
      </c>
      <c r="I646" s="91">
        <v>5.77</v>
      </c>
      <c r="J646" s="91">
        <v>1.5</v>
      </c>
      <c r="K646" s="269">
        <f t="shared" si="2"/>
        <v>19.502800000000001</v>
      </c>
      <c r="L646" s="90"/>
    </row>
    <row r="647" spans="2:12">
      <c r="B647" s="86"/>
      <c r="C647" s="984" t="s">
        <v>465</v>
      </c>
      <c r="D647" s="985"/>
      <c r="E647" s="986"/>
      <c r="F647" s="91">
        <v>2</v>
      </c>
      <c r="G647" s="91">
        <v>1.82</v>
      </c>
      <c r="H647" s="91">
        <v>1</v>
      </c>
      <c r="I647" s="91">
        <v>3.1</v>
      </c>
      <c r="J647" s="91">
        <v>0</v>
      </c>
      <c r="K647" s="269">
        <f t="shared" si="2"/>
        <v>11.284000000000001</v>
      </c>
      <c r="L647" s="90"/>
    </row>
    <row r="648" spans="2:12">
      <c r="B648" s="86"/>
      <c r="C648" s="984" t="s">
        <v>465</v>
      </c>
      <c r="D648" s="985"/>
      <c r="E648" s="986"/>
      <c r="F648" s="91">
        <v>2</v>
      </c>
      <c r="G648" s="91">
        <v>1.82</v>
      </c>
      <c r="H648" s="91">
        <v>1</v>
      </c>
      <c r="I648" s="91">
        <v>5.88</v>
      </c>
      <c r="J648" s="91">
        <v>1.5</v>
      </c>
      <c r="K648" s="269">
        <f t="shared" si="2"/>
        <v>19.903200000000002</v>
      </c>
      <c r="L648" s="90"/>
    </row>
    <row r="649" spans="2:12">
      <c r="B649" s="86"/>
      <c r="C649" s="984"/>
      <c r="D649" s="985"/>
      <c r="E649" s="986"/>
      <c r="F649" s="91"/>
      <c r="G649" s="91"/>
      <c r="H649" s="91"/>
      <c r="I649" s="91"/>
      <c r="J649" s="91"/>
      <c r="K649" s="269">
        <f t="shared" si="2"/>
        <v>0</v>
      </c>
      <c r="L649" s="90"/>
    </row>
    <row r="650" spans="2:12">
      <c r="B650" s="86"/>
      <c r="C650" s="987" t="s">
        <v>116</v>
      </c>
      <c r="D650" s="987"/>
      <c r="E650" s="987"/>
      <c r="F650" s="987"/>
      <c r="G650" s="987"/>
      <c r="H650" s="987"/>
      <c r="I650" s="987"/>
      <c r="J650" s="987"/>
      <c r="K650" s="89">
        <f>SUM(K623:K649)</f>
        <v>404.47920000000005</v>
      </c>
      <c r="L650" s="90"/>
    </row>
    <row r="651" spans="2:12">
      <c r="B651" s="219"/>
      <c r="C651" s="219"/>
      <c r="D651" s="219"/>
      <c r="E651" s="219"/>
      <c r="F651" s="219"/>
      <c r="G651" s="219"/>
      <c r="H651" s="219"/>
      <c r="I651" s="219"/>
      <c r="J651" s="219"/>
      <c r="K651" s="219"/>
      <c r="L651" s="219"/>
    </row>
    <row r="652" spans="2:12" ht="30.75" customHeight="1">
      <c r="B652" s="86" t="s">
        <v>35</v>
      </c>
      <c r="C652" s="980" t="str">
        <f>'CRECHE VOVO PESSOINHA'!C28</f>
        <v>APLICAÇÃO MANUAL DE TINTA LÁTEX ACRÍLICA EM PAREDE EXTERNAS DE CASAS, DUAS DEMÃOS. AF_11/2016</v>
      </c>
      <c r="D652" s="981"/>
      <c r="E652" s="981"/>
      <c r="F652" s="981"/>
      <c r="G652" s="981"/>
      <c r="H652" s="981"/>
      <c r="I652" s="981"/>
      <c r="J652" s="982"/>
      <c r="K652" s="97" t="s">
        <v>7</v>
      </c>
      <c r="L652" s="97">
        <f>K682</f>
        <v>592.03059999999994</v>
      </c>
    </row>
    <row r="653" spans="2:12">
      <c r="B653" s="86"/>
      <c r="C653" s="983" t="s">
        <v>20</v>
      </c>
      <c r="D653" s="983"/>
      <c r="E653" s="983"/>
      <c r="F653" s="87" t="s">
        <v>22</v>
      </c>
      <c r="G653" s="268" t="s">
        <v>111</v>
      </c>
      <c r="H653" s="87" t="s">
        <v>112</v>
      </c>
      <c r="I653" s="268" t="s">
        <v>113</v>
      </c>
      <c r="J653" s="268" t="s">
        <v>114</v>
      </c>
      <c r="K653" s="89" t="s">
        <v>25</v>
      </c>
      <c r="L653" s="90"/>
    </row>
    <row r="654" spans="2:12">
      <c r="B654" s="86"/>
      <c r="C654" s="984" t="s">
        <v>526</v>
      </c>
      <c r="D654" s="985"/>
      <c r="E654" s="986"/>
      <c r="F654" s="91">
        <v>1</v>
      </c>
      <c r="G654" s="91">
        <v>4.12</v>
      </c>
      <c r="H654" s="91">
        <v>1</v>
      </c>
      <c r="I654" s="91">
        <v>22.8</v>
      </c>
      <c r="J654" s="91">
        <f>(1.98*2.88)+(1.55*5)</f>
        <v>13.452400000000001</v>
      </c>
      <c r="K654" s="269">
        <f>(F654*G654*H654*I654)-J654</f>
        <v>80.48360000000001</v>
      </c>
      <c r="L654" s="90"/>
    </row>
    <row r="655" spans="2:12">
      <c r="B655" s="86"/>
      <c r="C655" s="984" t="s">
        <v>569</v>
      </c>
      <c r="D655" s="985"/>
      <c r="E655" s="986"/>
      <c r="F655" s="91">
        <v>1</v>
      </c>
      <c r="G655" s="91">
        <v>3.32</v>
      </c>
      <c r="H655" s="91">
        <v>1</v>
      </c>
      <c r="I655" s="91">
        <v>17.16</v>
      </c>
      <c r="J655" s="91">
        <v>0</v>
      </c>
      <c r="K655" s="269">
        <f t="shared" ref="K655:K681" si="3">(F655*G655*H655*I655)-J655</f>
        <v>56.971199999999996</v>
      </c>
      <c r="L655" s="90"/>
    </row>
    <row r="656" spans="2:12" ht="38.25" customHeight="1">
      <c r="B656" s="86"/>
      <c r="C656" s="984" t="s">
        <v>570</v>
      </c>
      <c r="D656" s="985"/>
      <c r="E656" s="986"/>
      <c r="F656" s="91">
        <v>1</v>
      </c>
      <c r="G656" s="91">
        <v>1.5</v>
      </c>
      <c r="H656" s="91">
        <v>1</v>
      </c>
      <c r="I656" s="91">
        <v>4.95</v>
      </c>
      <c r="J656" s="91">
        <v>0</v>
      </c>
      <c r="K656" s="269">
        <f t="shared" si="3"/>
        <v>7.4250000000000007</v>
      </c>
      <c r="L656" s="90"/>
    </row>
    <row r="657" spans="2:12">
      <c r="B657" s="86"/>
      <c r="C657" s="984" t="s">
        <v>570</v>
      </c>
      <c r="D657" s="985"/>
      <c r="E657" s="986"/>
      <c r="F657" s="91">
        <v>1</v>
      </c>
      <c r="G657" s="91">
        <v>1.5</v>
      </c>
      <c r="H657" s="91">
        <v>1</v>
      </c>
      <c r="I657" s="91">
        <v>8.27</v>
      </c>
      <c r="J657" s="91">
        <v>0</v>
      </c>
      <c r="K657" s="269">
        <f t="shared" si="3"/>
        <v>12.404999999999999</v>
      </c>
      <c r="L657" s="90"/>
    </row>
    <row r="658" spans="2:12">
      <c r="B658" s="86"/>
      <c r="C658" s="984" t="s">
        <v>571</v>
      </c>
      <c r="D658" s="985"/>
      <c r="E658" s="986"/>
      <c r="F658" s="91">
        <v>1</v>
      </c>
      <c r="G658" s="91">
        <v>1.5</v>
      </c>
      <c r="H658" s="91">
        <v>1</v>
      </c>
      <c r="I658" s="91">
        <v>17.850000000000001</v>
      </c>
      <c r="J658" s="91">
        <v>0</v>
      </c>
      <c r="K658" s="269">
        <f t="shared" si="3"/>
        <v>26.775000000000002</v>
      </c>
      <c r="L658" s="90"/>
    </row>
    <row r="659" spans="2:12">
      <c r="B659" s="86"/>
      <c r="C659" s="984" t="s">
        <v>572</v>
      </c>
      <c r="D659" s="985"/>
      <c r="E659" s="986"/>
      <c r="F659" s="91">
        <v>1</v>
      </c>
      <c r="G659" s="91">
        <v>1.5</v>
      </c>
      <c r="H659" s="91">
        <v>1</v>
      </c>
      <c r="I659" s="91">
        <v>3.17</v>
      </c>
      <c r="J659" s="91">
        <v>0</v>
      </c>
      <c r="K659" s="269">
        <f t="shared" si="3"/>
        <v>4.7549999999999999</v>
      </c>
      <c r="L659" s="90"/>
    </row>
    <row r="660" spans="2:12" ht="30" customHeight="1">
      <c r="B660" s="86"/>
      <c r="C660" s="984" t="s">
        <v>573</v>
      </c>
      <c r="D660" s="985"/>
      <c r="E660" s="986"/>
      <c r="F660" s="91">
        <v>1</v>
      </c>
      <c r="G660" s="91">
        <v>1.5</v>
      </c>
      <c r="H660" s="91">
        <v>1</v>
      </c>
      <c r="I660" s="91">
        <v>12.46</v>
      </c>
      <c r="J660" s="91">
        <v>0</v>
      </c>
      <c r="K660" s="269">
        <f t="shared" si="3"/>
        <v>18.690000000000001</v>
      </c>
      <c r="L660" s="90"/>
    </row>
    <row r="661" spans="2:12" ht="30.75" customHeight="1">
      <c r="B661" s="86"/>
      <c r="C661" s="984" t="s">
        <v>573</v>
      </c>
      <c r="D661" s="985"/>
      <c r="E661" s="986"/>
      <c r="F661" s="91">
        <v>1</v>
      </c>
      <c r="G661" s="91">
        <v>1.5</v>
      </c>
      <c r="H661" s="91">
        <v>1</v>
      </c>
      <c r="I661" s="91">
        <v>17.309999999999999</v>
      </c>
      <c r="J661" s="91">
        <v>0</v>
      </c>
      <c r="K661" s="269">
        <f t="shared" si="3"/>
        <v>25.964999999999996</v>
      </c>
      <c r="L661" s="90"/>
    </row>
    <row r="662" spans="2:12">
      <c r="B662" s="86"/>
      <c r="C662" s="984" t="s">
        <v>573</v>
      </c>
      <c r="D662" s="985"/>
      <c r="E662" s="986"/>
      <c r="F662" s="91">
        <v>1</v>
      </c>
      <c r="G662" s="91">
        <v>1.5</v>
      </c>
      <c r="H662" s="91">
        <v>1</v>
      </c>
      <c r="I662" s="91">
        <v>5.9</v>
      </c>
      <c r="J662" s="91">
        <f>(1.5*3)</f>
        <v>4.5</v>
      </c>
      <c r="K662" s="269">
        <f t="shared" si="3"/>
        <v>4.3500000000000014</v>
      </c>
      <c r="L662" s="90"/>
    </row>
    <row r="663" spans="2:12">
      <c r="B663" s="86"/>
      <c r="C663" s="984" t="s">
        <v>338</v>
      </c>
      <c r="D663" s="985"/>
      <c r="E663" s="986"/>
      <c r="F663" s="91">
        <v>2</v>
      </c>
      <c r="G663" s="91">
        <v>1.5</v>
      </c>
      <c r="H663" s="91">
        <v>1</v>
      </c>
      <c r="I663" s="91">
        <v>8.39</v>
      </c>
      <c r="J663" s="91">
        <v>0</v>
      </c>
      <c r="K663" s="269">
        <f t="shared" si="3"/>
        <v>25.17</v>
      </c>
      <c r="L663" s="90"/>
    </row>
    <row r="664" spans="2:12">
      <c r="B664" s="86"/>
      <c r="C664" s="984" t="s">
        <v>338</v>
      </c>
      <c r="D664" s="985"/>
      <c r="E664" s="986"/>
      <c r="F664" s="91">
        <v>2</v>
      </c>
      <c r="G664" s="91">
        <v>1.5</v>
      </c>
      <c r="H664" s="91">
        <v>1</v>
      </c>
      <c r="I664" s="91">
        <v>5.75</v>
      </c>
      <c r="J664" s="91">
        <v>0</v>
      </c>
      <c r="K664" s="269">
        <f t="shared" si="3"/>
        <v>17.25</v>
      </c>
      <c r="L664" s="90"/>
    </row>
    <row r="665" spans="2:12">
      <c r="B665" s="86"/>
      <c r="C665" s="984" t="s">
        <v>461</v>
      </c>
      <c r="D665" s="985"/>
      <c r="E665" s="986"/>
      <c r="F665" s="91">
        <v>2</v>
      </c>
      <c r="G665" s="91">
        <v>1.5</v>
      </c>
      <c r="H665" s="91">
        <v>1</v>
      </c>
      <c r="I665" s="91">
        <v>5.75</v>
      </c>
      <c r="J665" s="91">
        <v>0</v>
      </c>
      <c r="K665" s="269">
        <f t="shared" si="3"/>
        <v>17.25</v>
      </c>
      <c r="L665" s="90"/>
    </row>
    <row r="666" spans="2:12">
      <c r="B666" s="86"/>
      <c r="C666" s="984" t="s">
        <v>461</v>
      </c>
      <c r="D666" s="985"/>
      <c r="E666" s="986"/>
      <c r="F666" s="91">
        <v>2</v>
      </c>
      <c r="G666" s="91">
        <v>1.5</v>
      </c>
      <c r="H666" s="91">
        <v>1</v>
      </c>
      <c r="I666" s="91">
        <v>3.62</v>
      </c>
      <c r="J666" s="91">
        <v>0</v>
      </c>
      <c r="K666" s="269">
        <f t="shared" si="3"/>
        <v>10.86</v>
      </c>
      <c r="L666" s="90"/>
    </row>
    <row r="667" spans="2:12">
      <c r="B667" s="86"/>
      <c r="C667" s="984" t="s">
        <v>496</v>
      </c>
      <c r="D667" s="985"/>
      <c r="E667" s="986"/>
      <c r="F667" s="91">
        <v>2</v>
      </c>
      <c r="G667" s="91">
        <v>1.5</v>
      </c>
      <c r="H667" s="91">
        <v>1</v>
      </c>
      <c r="I667" s="91">
        <v>8.15</v>
      </c>
      <c r="J667" s="91">
        <v>0</v>
      </c>
      <c r="K667" s="269">
        <f t="shared" si="3"/>
        <v>24.450000000000003</v>
      </c>
      <c r="L667" s="90"/>
    </row>
    <row r="668" spans="2:12">
      <c r="B668" s="86"/>
      <c r="C668" s="984" t="s">
        <v>496</v>
      </c>
      <c r="D668" s="985"/>
      <c r="E668" s="986"/>
      <c r="F668" s="91">
        <v>2</v>
      </c>
      <c r="G668" s="91">
        <v>1.5</v>
      </c>
      <c r="H668" s="91">
        <v>1</v>
      </c>
      <c r="I668" s="91">
        <v>5.38</v>
      </c>
      <c r="J668" s="91">
        <v>0</v>
      </c>
      <c r="K668" s="269">
        <f t="shared" si="3"/>
        <v>16.14</v>
      </c>
      <c r="L668" s="90"/>
    </row>
    <row r="669" spans="2:12">
      <c r="B669" s="86"/>
      <c r="C669" s="984" t="s">
        <v>236</v>
      </c>
      <c r="D669" s="985"/>
      <c r="E669" s="986"/>
      <c r="F669" s="91">
        <v>2</v>
      </c>
      <c r="G669" s="91">
        <v>1.5</v>
      </c>
      <c r="H669" s="91">
        <v>1</v>
      </c>
      <c r="I669" s="91">
        <v>3</v>
      </c>
      <c r="J669" s="91">
        <v>1.68</v>
      </c>
      <c r="K669" s="269">
        <f t="shared" si="3"/>
        <v>7.32</v>
      </c>
      <c r="L669" s="90"/>
    </row>
    <row r="670" spans="2:12">
      <c r="B670" s="86"/>
      <c r="C670" s="984" t="s">
        <v>236</v>
      </c>
      <c r="D670" s="985"/>
      <c r="E670" s="986"/>
      <c r="F670" s="91">
        <v>2</v>
      </c>
      <c r="G670" s="91">
        <v>1.5</v>
      </c>
      <c r="H670" s="91">
        <v>1</v>
      </c>
      <c r="I670" s="91">
        <v>3</v>
      </c>
      <c r="J670" s="91">
        <v>0</v>
      </c>
      <c r="K670" s="269">
        <f t="shared" si="3"/>
        <v>9</v>
      </c>
      <c r="L670" s="90"/>
    </row>
    <row r="671" spans="2:12">
      <c r="B671" s="86"/>
      <c r="C671" s="984" t="s">
        <v>97</v>
      </c>
      <c r="D671" s="985"/>
      <c r="E671" s="986"/>
      <c r="F671" s="91">
        <v>2</v>
      </c>
      <c r="G671" s="91">
        <v>1.5</v>
      </c>
      <c r="H671" s="91">
        <v>1</v>
      </c>
      <c r="I671" s="91">
        <v>3</v>
      </c>
      <c r="J671" s="91">
        <v>0</v>
      </c>
      <c r="K671" s="269">
        <f t="shared" si="3"/>
        <v>9</v>
      </c>
      <c r="L671" s="90"/>
    </row>
    <row r="672" spans="2:12">
      <c r="B672" s="86"/>
      <c r="C672" s="984" t="s">
        <v>97</v>
      </c>
      <c r="D672" s="985"/>
      <c r="E672" s="986"/>
      <c r="F672" s="91">
        <v>2</v>
      </c>
      <c r="G672" s="91">
        <v>1.5</v>
      </c>
      <c r="H672" s="91">
        <v>1</v>
      </c>
      <c r="I672" s="91">
        <v>3.35</v>
      </c>
      <c r="J672" s="91">
        <v>0</v>
      </c>
      <c r="K672" s="269">
        <f t="shared" si="3"/>
        <v>10.050000000000001</v>
      </c>
      <c r="L672" s="90"/>
    </row>
    <row r="673" spans="2:12">
      <c r="B673" s="86"/>
      <c r="C673" s="984" t="s">
        <v>244</v>
      </c>
      <c r="D673" s="985"/>
      <c r="E673" s="986"/>
      <c r="F673" s="91">
        <v>2</v>
      </c>
      <c r="G673" s="91">
        <v>1.5</v>
      </c>
      <c r="H673" s="91">
        <v>1</v>
      </c>
      <c r="I673" s="91">
        <v>1.48</v>
      </c>
      <c r="J673" s="91">
        <v>0</v>
      </c>
      <c r="K673" s="269">
        <f t="shared" si="3"/>
        <v>4.4399999999999995</v>
      </c>
      <c r="L673" s="90"/>
    </row>
    <row r="674" spans="2:12">
      <c r="B674" s="86"/>
      <c r="C674" s="984" t="s">
        <v>244</v>
      </c>
      <c r="D674" s="985"/>
      <c r="E674" s="986"/>
      <c r="F674" s="91">
        <v>2</v>
      </c>
      <c r="G674" s="91">
        <v>1.5</v>
      </c>
      <c r="H674" s="91">
        <v>1</v>
      </c>
      <c r="I674" s="91">
        <v>1.41</v>
      </c>
      <c r="J674" s="91">
        <v>0</v>
      </c>
      <c r="K674" s="269">
        <f t="shared" si="3"/>
        <v>4.2299999999999995</v>
      </c>
      <c r="L674" s="90"/>
    </row>
    <row r="675" spans="2:12">
      <c r="B675" s="86"/>
      <c r="C675" s="984" t="s">
        <v>498</v>
      </c>
      <c r="D675" s="985"/>
      <c r="E675" s="986"/>
      <c r="F675" s="91">
        <v>2</v>
      </c>
      <c r="G675" s="91">
        <v>1.82</v>
      </c>
      <c r="H675" s="91">
        <v>1</v>
      </c>
      <c r="I675" s="91">
        <v>3.1</v>
      </c>
      <c r="J675" s="91">
        <v>0</v>
      </c>
      <c r="K675" s="269">
        <f t="shared" si="3"/>
        <v>11.284000000000001</v>
      </c>
      <c r="L675" s="90"/>
    </row>
    <row r="676" spans="2:12">
      <c r="B676" s="86"/>
      <c r="C676" s="984" t="s">
        <v>498</v>
      </c>
      <c r="D676" s="985"/>
      <c r="E676" s="986"/>
      <c r="F676" s="91">
        <v>2</v>
      </c>
      <c r="G676" s="91">
        <v>1.82</v>
      </c>
      <c r="H676" s="91">
        <v>1</v>
      </c>
      <c r="I676" s="91">
        <v>5.77</v>
      </c>
      <c r="J676" s="91">
        <v>0</v>
      </c>
      <c r="K676" s="269">
        <f t="shared" si="3"/>
        <v>21.002800000000001</v>
      </c>
      <c r="L676" s="90"/>
    </row>
    <row r="677" spans="2:12">
      <c r="B677" s="86"/>
      <c r="C677" s="984" t="s">
        <v>499</v>
      </c>
      <c r="D677" s="985"/>
      <c r="E677" s="986"/>
      <c r="F677" s="91">
        <v>2</v>
      </c>
      <c r="G677" s="91">
        <v>1.82</v>
      </c>
      <c r="H677" s="91">
        <v>1</v>
      </c>
      <c r="I677" s="91">
        <v>3.1</v>
      </c>
      <c r="J677" s="91">
        <v>0</v>
      </c>
      <c r="K677" s="269">
        <f t="shared" si="3"/>
        <v>11.284000000000001</v>
      </c>
      <c r="L677" s="90"/>
    </row>
    <row r="678" spans="2:12">
      <c r="B678" s="86"/>
      <c r="C678" s="984" t="s">
        <v>499</v>
      </c>
      <c r="D678" s="985"/>
      <c r="E678" s="986"/>
      <c r="F678" s="91">
        <v>2</v>
      </c>
      <c r="G678" s="91">
        <v>1.82</v>
      </c>
      <c r="H678" s="91">
        <v>1</v>
      </c>
      <c r="I678" s="91">
        <v>5.77</v>
      </c>
      <c r="J678" s="91">
        <v>0</v>
      </c>
      <c r="K678" s="269">
        <f t="shared" si="3"/>
        <v>21.002800000000001</v>
      </c>
      <c r="L678" s="90"/>
    </row>
    <row r="679" spans="2:12">
      <c r="B679" s="86"/>
      <c r="C679" s="984" t="s">
        <v>465</v>
      </c>
      <c r="D679" s="985"/>
      <c r="E679" s="986"/>
      <c r="F679" s="91">
        <v>2</v>
      </c>
      <c r="G679" s="91">
        <v>1.82</v>
      </c>
      <c r="H679" s="91">
        <v>1</v>
      </c>
      <c r="I679" s="91">
        <v>3.1</v>
      </c>
      <c r="J679" s="91">
        <v>0</v>
      </c>
      <c r="K679" s="269">
        <f t="shared" si="3"/>
        <v>11.284000000000001</v>
      </c>
      <c r="L679" s="90"/>
    </row>
    <row r="680" spans="2:12">
      <c r="B680" s="86"/>
      <c r="C680" s="984" t="s">
        <v>465</v>
      </c>
      <c r="D680" s="985"/>
      <c r="E680" s="986"/>
      <c r="F680" s="91">
        <v>2</v>
      </c>
      <c r="G680" s="91">
        <v>1.82</v>
      </c>
      <c r="H680" s="91">
        <v>1</v>
      </c>
      <c r="I680" s="91">
        <v>5.88</v>
      </c>
      <c r="J680" s="91">
        <v>0</v>
      </c>
      <c r="K680" s="269">
        <f t="shared" si="3"/>
        <v>21.403200000000002</v>
      </c>
      <c r="L680" s="90"/>
    </row>
    <row r="681" spans="2:12">
      <c r="B681" s="86"/>
      <c r="C681" s="984" t="s">
        <v>574</v>
      </c>
      <c r="D681" s="985"/>
      <c r="E681" s="986"/>
      <c r="F681" s="91">
        <v>2</v>
      </c>
      <c r="G681" s="91">
        <v>2.2000000000000002</v>
      </c>
      <c r="H681" s="91">
        <v>1</v>
      </c>
      <c r="I681" s="91">
        <v>24.6</v>
      </c>
      <c r="J681" s="91">
        <f>(4*1.55)+0.25</f>
        <v>6.45</v>
      </c>
      <c r="K681" s="269">
        <f t="shared" si="3"/>
        <v>101.79</v>
      </c>
      <c r="L681" s="90"/>
    </row>
    <row r="682" spans="2:12">
      <c r="B682" s="86"/>
      <c r="C682" s="987" t="s">
        <v>116</v>
      </c>
      <c r="D682" s="987"/>
      <c r="E682" s="987"/>
      <c r="F682" s="987"/>
      <c r="G682" s="987"/>
      <c r="H682" s="987"/>
      <c r="I682" s="987"/>
      <c r="J682" s="987"/>
      <c r="K682" s="89">
        <f>SUM(K654:K681)</f>
        <v>592.03059999999994</v>
      </c>
      <c r="L682" s="90"/>
    </row>
    <row r="683" spans="2:12">
      <c r="B683" s="368"/>
      <c r="C683" s="211"/>
      <c r="D683" s="211"/>
      <c r="E683" s="211"/>
      <c r="F683" s="211"/>
      <c r="G683" s="211"/>
      <c r="H683" s="211"/>
      <c r="I683" s="211"/>
      <c r="J683" s="211"/>
      <c r="K683" s="212"/>
      <c r="L683" s="90"/>
    </row>
    <row r="684" spans="2:12" ht="30" customHeight="1">
      <c r="B684" s="368" t="s">
        <v>37</v>
      </c>
      <c r="C684" s="980" t="s">
        <v>666</v>
      </c>
      <c r="D684" s="981"/>
      <c r="E684" s="981"/>
      <c r="F684" s="981"/>
      <c r="G684" s="981"/>
      <c r="H684" s="981"/>
      <c r="I684" s="981"/>
      <c r="J684" s="982"/>
      <c r="K684" s="97" t="s">
        <v>7</v>
      </c>
      <c r="L684" s="97">
        <f>K714</f>
        <v>296.01529999999997</v>
      </c>
    </row>
    <row r="685" spans="2:12">
      <c r="B685" s="368"/>
      <c r="C685" s="983" t="s">
        <v>20</v>
      </c>
      <c r="D685" s="983"/>
      <c r="E685" s="983"/>
      <c r="F685" s="87" t="s">
        <v>22</v>
      </c>
      <c r="G685" s="366" t="s">
        <v>111</v>
      </c>
      <c r="H685" s="87" t="s">
        <v>112</v>
      </c>
      <c r="I685" s="366" t="s">
        <v>113</v>
      </c>
      <c r="J685" s="366" t="s">
        <v>114</v>
      </c>
      <c r="K685" s="89" t="s">
        <v>25</v>
      </c>
      <c r="L685" s="90"/>
    </row>
    <row r="686" spans="2:12">
      <c r="B686" s="368"/>
      <c r="C686" s="984" t="s">
        <v>526</v>
      </c>
      <c r="D686" s="985"/>
      <c r="E686" s="986"/>
      <c r="F686" s="91">
        <v>1</v>
      </c>
      <c r="G686" s="91">
        <v>4.12</v>
      </c>
      <c r="H686" s="91">
        <v>1</v>
      </c>
      <c r="I686" s="91">
        <v>22.8</v>
      </c>
      <c r="J686" s="91">
        <f>(1.98*2.88)+(1.55*5)</f>
        <v>13.452400000000001</v>
      </c>
      <c r="K686" s="369">
        <f>(F686*G686*H686*I686)-J686</f>
        <v>80.48360000000001</v>
      </c>
      <c r="L686" s="90"/>
    </row>
    <row r="687" spans="2:12">
      <c r="B687" s="368"/>
      <c r="C687" s="984" t="s">
        <v>569</v>
      </c>
      <c r="D687" s="985"/>
      <c r="E687" s="986"/>
      <c r="F687" s="91">
        <v>1</v>
      </c>
      <c r="G687" s="91">
        <v>3.32</v>
      </c>
      <c r="H687" s="91">
        <v>1</v>
      </c>
      <c r="I687" s="91">
        <v>17.16</v>
      </c>
      <c r="J687" s="91">
        <v>0</v>
      </c>
      <c r="K687" s="369">
        <f t="shared" ref="K687:K713" si="4">(F687*G687*H687*I687)-J687</f>
        <v>56.971199999999996</v>
      </c>
      <c r="L687" s="90"/>
    </row>
    <row r="688" spans="2:12">
      <c r="B688" s="368"/>
      <c r="C688" s="984" t="s">
        <v>570</v>
      </c>
      <c r="D688" s="985"/>
      <c r="E688" s="986"/>
      <c r="F688" s="91">
        <v>1</v>
      </c>
      <c r="G688" s="91">
        <v>1.5</v>
      </c>
      <c r="H688" s="91">
        <v>1</v>
      </c>
      <c r="I688" s="91">
        <v>4.95</v>
      </c>
      <c r="J688" s="91">
        <v>0</v>
      </c>
      <c r="K688" s="369">
        <f t="shared" si="4"/>
        <v>7.4250000000000007</v>
      </c>
      <c r="L688" s="90"/>
    </row>
    <row r="689" spans="2:12">
      <c r="B689" s="368"/>
      <c r="C689" s="984" t="s">
        <v>570</v>
      </c>
      <c r="D689" s="985"/>
      <c r="E689" s="986"/>
      <c r="F689" s="91">
        <v>1</v>
      </c>
      <c r="G689" s="91">
        <v>1.5</v>
      </c>
      <c r="H689" s="91">
        <v>1</v>
      </c>
      <c r="I689" s="91">
        <v>8.27</v>
      </c>
      <c r="J689" s="91">
        <v>0</v>
      </c>
      <c r="K689" s="369">
        <f t="shared" si="4"/>
        <v>12.404999999999999</v>
      </c>
      <c r="L689" s="90"/>
    </row>
    <row r="690" spans="2:12">
      <c r="B690" s="368"/>
      <c r="C690" s="984" t="s">
        <v>571</v>
      </c>
      <c r="D690" s="985"/>
      <c r="E690" s="986"/>
      <c r="F690" s="91">
        <v>1</v>
      </c>
      <c r="G690" s="91">
        <v>1.5</v>
      </c>
      <c r="H690" s="91">
        <v>1</v>
      </c>
      <c r="I690" s="91">
        <v>17.850000000000001</v>
      </c>
      <c r="J690" s="91">
        <v>0</v>
      </c>
      <c r="K690" s="369">
        <f t="shared" si="4"/>
        <v>26.775000000000002</v>
      </c>
      <c r="L690" s="90"/>
    </row>
    <row r="691" spans="2:12">
      <c r="B691" s="368"/>
      <c r="C691" s="984" t="s">
        <v>572</v>
      </c>
      <c r="D691" s="985"/>
      <c r="E691" s="986"/>
      <c r="F691" s="91">
        <v>1</v>
      </c>
      <c r="G691" s="91">
        <v>1.5</v>
      </c>
      <c r="H691" s="91">
        <v>1</v>
      </c>
      <c r="I691" s="91">
        <v>3.17</v>
      </c>
      <c r="J691" s="91">
        <v>0</v>
      </c>
      <c r="K691" s="369">
        <f t="shared" si="4"/>
        <v>4.7549999999999999</v>
      </c>
      <c r="L691" s="90"/>
    </row>
    <row r="692" spans="2:12">
      <c r="B692" s="368"/>
      <c r="C692" s="984" t="s">
        <v>573</v>
      </c>
      <c r="D692" s="985"/>
      <c r="E692" s="986"/>
      <c r="F692" s="91">
        <v>1</v>
      </c>
      <c r="G692" s="91">
        <v>1.5</v>
      </c>
      <c r="H692" s="91">
        <v>1</v>
      </c>
      <c r="I692" s="91">
        <v>12.46</v>
      </c>
      <c r="J692" s="91">
        <v>0</v>
      </c>
      <c r="K692" s="369">
        <f t="shared" si="4"/>
        <v>18.690000000000001</v>
      </c>
      <c r="L692" s="90"/>
    </row>
    <row r="693" spans="2:12">
      <c r="B693" s="368"/>
      <c r="C693" s="984" t="s">
        <v>573</v>
      </c>
      <c r="D693" s="985"/>
      <c r="E693" s="986"/>
      <c r="F693" s="91">
        <v>1</v>
      </c>
      <c r="G693" s="91">
        <v>1.5</v>
      </c>
      <c r="H693" s="91">
        <v>1</v>
      </c>
      <c r="I693" s="91">
        <v>17.309999999999999</v>
      </c>
      <c r="J693" s="91">
        <v>0</v>
      </c>
      <c r="K693" s="369">
        <f t="shared" si="4"/>
        <v>25.964999999999996</v>
      </c>
      <c r="L693" s="90"/>
    </row>
    <row r="694" spans="2:12">
      <c r="B694" s="368"/>
      <c r="C694" s="984" t="s">
        <v>573</v>
      </c>
      <c r="D694" s="985"/>
      <c r="E694" s="986"/>
      <c r="F694" s="91">
        <v>1</v>
      </c>
      <c r="G694" s="91">
        <v>1.5</v>
      </c>
      <c r="H694" s="91">
        <v>1</v>
      </c>
      <c r="I694" s="91">
        <v>5.9</v>
      </c>
      <c r="J694" s="91">
        <f>(1.5*3)</f>
        <v>4.5</v>
      </c>
      <c r="K694" s="369">
        <f t="shared" si="4"/>
        <v>4.3500000000000014</v>
      </c>
      <c r="L694" s="90"/>
    </row>
    <row r="695" spans="2:12">
      <c r="B695" s="368"/>
      <c r="C695" s="984" t="s">
        <v>338</v>
      </c>
      <c r="D695" s="985"/>
      <c r="E695" s="986"/>
      <c r="F695" s="91">
        <v>2</v>
      </c>
      <c r="G695" s="91">
        <v>1.5</v>
      </c>
      <c r="H695" s="91">
        <v>1</v>
      </c>
      <c r="I695" s="91">
        <v>8.39</v>
      </c>
      <c r="J695" s="91">
        <v>0</v>
      </c>
      <c r="K695" s="369">
        <f t="shared" si="4"/>
        <v>25.17</v>
      </c>
      <c r="L695" s="90"/>
    </row>
    <row r="696" spans="2:12">
      <c r="B696" s="368"/>
      <c r="C696" s="984" t="s">
        <v>338</v>
      </c>
      <c r="D696" s="985"/>
      <c r="E696" s="986"/>
      <c r="F696" s="91">
        <v>2</v>
      </c>
      <c r="G696" s="91">
        <v>1.5</v>
      </c>
      <c r="H696" s="91">
        <v>1</v>
      </c>
      <c r="I696" s="91">
        <v>5.75</v>
      </c>
      <c r="J696" s="91">
        <v>0</v>
      </c>
      <c r="K696" s="369">
        <f t="shared" si="4"/>
        <v>17.25</v>
      </c>
      <c r="L696" s="90"/>
    </row>
    <row r="697" spans="2:12">
      <c r="B697" s="368"/>
      <c r="C697" s="984" t="s">
        <v>461</v>
      </c>
      <c r="D697" s="985"/>
      <c r="E697" s="986"/>
      <c r="F697" s="91">
        <v>2</v>
      </c>
      <c r="G697" s="91">
        <v>1.5</v>
      </c>
      <c r="H697" s="91">
        <v>1</v>
      </c>
      <c r="I697" s="91">
        <v>5.75</v>
      </c>
      <c r="J697" s="91">
        <v>0</v>
      </c>
      <c r="K697" s="369">
        <f t="shared" si="4"/>
        <v>17.25</v>
      </c>
      <c r="L697" s="90"/>
    </row>
    <row r="698" spans="2:12">
      <c r="B698" s="368"/>
      <c r="C698" s="984" t="s">
        <v>461</v>
      </c>
      <c r="D698" s="985"/>
      <c r="E698" s="986"/>
      <c r="F698" s="91">
        <v>2</v>
      </c>
      <c r="G698" s="91">
        <v>1.5</v>
      </c>
      <c r="H698" s="91">
        <v>1</v>
      </c>
      <c r="I698" s="91">
        <v>3.62</v>
      </c>
      <c r="J698" s="91">
        <v>0</v>
      </c>
      <c r="K698" s="369">
        <f t="shared" si="4"/>
        <v>10.86</v>
      </c>
      <c r="L698" s="90"/>
    </row>
    <row r="699" spans="2:12">
      <c r="B699" s="368"/>
      <c r="C699" s="984" t="s">
        <v>496</v>
      </c>
      <c r="D699" s="985"/>
      <c r="E699" s="986"/>
      <c r="F699" s="91">
        <v>2</v>
      </c>
      <c r="G699" s="91">
        <v>1.5</v>
      </c>
      <c r="H699" s="91">
        <v>1</v>
      </c>
      <c r="I699" s="91">
        <v>8.15</v>
      </c>
      <c r="J699" s="91">
        <v>0</v>
      </c>
      <c r="K699" s="369">
        <f t="shared" si="4"/>
        <v>24.450000000000003</v>
      </c>
      <c r="L699" s="90"/>
    </row>
    <row r="700" spans="2:12">
      <c r="B700" s="368"/>
      <c r="C700" s="984" t="s">
        <v>496</v>
      </c>
      <c r="D700" s="985"/>
      <c r="E700" s="986"/>
      <c r="F700" s="91">
        <v>2</v>
      </c>
      <c r="G700" s="91">
        <v>1.5</v>
      </c>
      <c r="H700" s="91">
        <v>1</v>
      </c>
      <c r="I700" s="91">
        <v>5.38</v>
      </c>
      <c r="J700" s="91">
        <v>0</v>
      </c>
      <c r="K700" s="369">
        <f t="shared" si="4"/>
        <v>16.14</v>
      </c>
      <c r="L700" s="90"/>
    </row>
    <row r="701" spans="2:12">
      <c r="B701" s="368"/>
      <c r="C701" s="984" t="s">
        <v>236</v>
      </c>
      <c r="D701" s="985"/>
      <c r="E701" s="986"/>
      <c r="F701" s="91">
        <v>2</v>
      </c>
      <c r="G701" s="91">
        <v>1.5</v>
      </c>
      <c r="H701" s="91">
        <v>1</v>
      </c>
      <c r="I701" s="91">
        <v>3</v>
      </c>
      <c r="J701" s="91">
        <v>1.68</v>
      </c>
      <c r="K701" s="369">
        <f t="shared" si="4"/>
        <v>7.32</v>
      </c>
      <c r="L701" s="90"/>
    </row>
    <row r="702" spans="2:12">
      <c r="B702" s="368"/>
      <c r="C702" s="984" t="s">
        <v>236</v>
      </c>
      <c r="D702" s="985"/>
      <c r="E702" s="986"/>
      <c r="F702" s="91">
        <v>2</v>
      </c>
      <c r="G702" s="91">
        <v>1.5</v>
      </c>
      <c r="H702" s="91">
        <v>1</v>
      </c>
      <c r="I702" s="91">
        <v>3</v>
      </c>
      <c r="J702" s="91">
        <v>0</v>
      </c>
      <c r="K702" s="369">
        <f t="shared" si="4"/>
        <v>9</v>
      </c>
      <c r="L702" s="90"/>
    </row>
    <row r="703" spans="2:12">
      <c r="B703" s="368"/>
      <c r="C703" s="984" t="s">
        <v>97</v>
      </c>
      <c r="D703" s="985"/>
      <c r="E703" s="986"/>
      <c r="F703" s="91">
        <v>2</v>
      </c>
      <c r="G703" s="91">
        <v>1.5</v>
      </c>
      <c r="H703" s="91">
        <v>1</v>
      </c>
      <c r="I703" s="91">
        <v>3</v>
      </c>
      <c r="J703" s="91">
        <v>0</v>
      </c>
      <c r="K703" s="369">
        <f t="shared" si="4"/>
        <v>9</v>
      </c>
      <c r="L703" s="90"/>
    </row>
    <row r="704" spans="2:12">
      <c r="B704" s="368"/>
      <c r="C704" s="984" t="s">
        <v>97</v>
      </c>
      <c r="D704" s="985"/>
      <c r="E704" s="986"/>
      <c r="F704" s="91">
        <v>2</v>
      </c>
      <c r="G704" s="91">
        <v>1.5</v>
      </c>
      <c r="H704" s="91">
        <v>1</v>
      </c>
      <c r="I704" s="91">
        <v>3.35</v>
      </c>
      <c r="J704" s="91">
        <v>0</v>
      </c>
      <c r="K704" s="369">
        <f t="shared" si="4"/>
        <v>10.050000000000001</v>
      </c>
      <c r="L704" s="90"/>
    </row>
    <row r="705" spans="2:12">
      <c r="B705" s="368"/>
      <c r="C705" s="984" t="s">
        <v>244</v>
      </c>
      <c r="D705" s="985"/>
      <c r="E705" s="986"/>
      <c r="F705" s="91">
        <v>2</v>
      </c>
      <c r="G705" s="91">
        <v>1.5</v>
      </c>
      <c r="H705" s="91">
        <v>1</v>
      </c>
      <c r="I705" s="91">
        <v>1.48</v>
      </c>
      <c r="J705" s="91">
        <v>0</v>
      </c>
      <c r="K705" s="369">
        <f t="shared" si="4"/>
        <v>4.4399999999999995</v>
      </c>
      <c r="L705" s="90"/>
    </row>
    <row r="706" spans="2:12">
      <c r="B706" s="368"/>
      <c r="C706" s="984" t="s">
        <v>244</v>
      </c>
      <c r="D706" s="985"/>
      <c r="E706" s="986"/>
      <c r="F706" s="91">
        <v>2</v>
      </c>
      <c r="G706" s="91">
        <v>1.5</v>
      </c>
      <c r="H706" s="91">
        <v>1</v>
      </c>
      <c r="I706" s="91">
        <v>1.41</v>
      </c>
      <c r="J706" s="91">
        <v>0</v>
      </c>
      <c r="K706" s="369">
        <f t="shared" si="4"/>
        <v>4.2299999999999995</v>
      </c>
      <c r="L706" s="90"/>
    </row>
    <row r="707" spans="2:12">
      <c r="B707" s="368"/>
      <c r="C707" s="984" t="s">
        <v>498</v>
      </c>
      <c r="D707" s="985"/>
      <c r="E707" s="986"/>
      <c r="F707" s="91">
        <v>2</v>
      </c>
      <c r="G707" s="91">
        <v>1.82</v>
      </c>
      <c r="H707" s="91">
        <v>1</v>
      </c>
      <c r="I707" s="91">
        <v>3.1</v>
      </c>
      <c r="J707" s="91">
        <v>0</v>
      </c>
      <c r="K707" s="369">
        <f t="shared" si="4"/>
        <v>11.284000000000001</v>
      </c>
      <c r="L707" s="90"/>
    </row>
    <row r="708" spans="2:12">
      <c r="B708" s="368"/>
      <c r="C708" s="984" t="s">
        <v>498</v>
      </c>
      <c r="D708" s="985"/>
      <c r="E708" s="986"/>
      <c r="F708" s="91">
        <v>2</v>
      </c>
      <c r="G708" s="91">
        <v>1.82</v>
      </c>
      <c r="H708" s="91">
        <v>1</v>
      </c>
      <c r="I708" s="91">
        <v>5.77</v>
      </c>
      <c r="J708" s="91">
        <v>0</v>
      </c>
      <c r="K708" s="369">
        <f t="shared" si="4"/>
        <v>21.002800000000001</v>
      </c>
      <c r="L708" s="90"/>
    </row>
    <row r="709" spans="2:12">
      <c r="B709" s="368"/>
      <c r="C709" s="984" t="s">
        <v>499</v>
      </c>
      <c r="D709" s="985"/>
      <c r="E709" s="986"/>
      <c r="F709" s="91">
        <v>2</v>
      </c>
      <c r="G709" s="91">
        <v>1.82</v>
      </c>
      <c r="H709" s="91">
        <v>1</v>
      </c>
      <c r="I709" s="91">
        <v>3.1</v>
      </c>
      <c r="J709" s="91">
        <v>0</v>
      </c>
      <c r="K709" s="369">
        <f t="shared" si="4"/>
        <v>11.284000000000001</v>
      </c>
      <c r="L709" s="90"/>
    </row>
    <row r="710" spans="2:12">
      <c r="B710" s="368"/>
      <c r="C710" s="984" t="s">
        <v>499</v>
      </c>
      <c r="D710" s="985"/>
      <c r="E710" s="986"/>
      <c r="F710" s="91">
        <v>2</v>
      </c>
      <c r="G710" s="91">
        <v>1.82</v>
      </c>
      <c r="H710" s="91">
        <v>1</v>
      </c>
      <c r="I710" s="91">
        <v>5.77</v>
      </c>
      <c r="J710" s="91">
        <v>0</v>
      </c>
      <c r="K710" s="369">
        <f t="shared" si="4"/>
        <v>21.002800000000001</v>
      </c>
      <c r="L710" s="90"/>
    </row>
    <row r="711" spans="2:12">
      <c r="B711" s="368"/>
      <c r="C711" s="984" t="s">
        <v>465</v>
      </c>
      <c r="D711" s="985"/>
      <c r="E711" s="986"/>
      <c r="F711" s="91">
        <v>2</v>
      </c>
      <c r="G711" s="91">
        <v>1.82</v>
      </c>
      <c r="H711" s="91">
        <v>1</v>
      </c>
      <c r="I711" s="91">
        <v>3.1</v>
      </c>
      <c r="J711" s="91">
        <v>0</v>
      </c>
      <c r="K711" s="369">
        <f t="shared" si="4"/>
        <v>11.284000000000001</v>
      </c>
      <c r="L711" s="90"/>
    </row>
    <row r="712" spans="2:12">
      <c r="B712" s="368"/>
      <c r="C712" s="984" t="s">
        <v>465</v>
      </c>
      <c r="D712" s="985"/>
      <c r="E712" s="986"/>
      <c r="F712" s="91">
        <v>2</v>
      </c>
      <c r="G712" s="91">
        <v>1.82</v>
      </c>
      <c r="H712" s="91">
        <v>1</v>
      </c>
      <c r="I712" s="91">
        <v>5.88</v>
      </c>
      <c r="J712" s="91">
        <v>0</v>
      </c>
      <c r="K712" s="369">
        <f t="shared" si="4"/>
        <v>21.403200000000002</v>
      </c>
      <c r="L712" s="90"/>
    </row>
    <row r="713" spans="2:12">
      <c r="B713" s="368"/>
      <c r="C713" s="984" t="s">
        <v>574</v>
      </c>
      <c r="D713" s="985"/>
      <c r="E713" s="986"/>
      <c r="F713" s="91">
        <v>2</v>
      </c>
      <c r="G713" s="91">
        <v>2.2000000000000002</v>
      </c>
      <c r="H713" s="91">
        <v>1</v>
      </c>
      <c r="I713" s="91">
        <v>24.6</v>
      </c>
      <c r="J713" s="91">
        <f>(4*1.55)+0.25</f>
        <v>6.45</v>
      </c>
      <c r="K713" s="369">
        <f t="shared" si="4"/>
        <v>101.79</v>
      </c>
      <c r="L713" s="90"/>
    </row>
    <row r="714" spans="2:12">
      <c r="B714" s="368"/>
      <c r="C714" s="987" t="s">
        <v>116</v>
      </c>
      <c r="D714" s="987"/>
      <c r="E714" s="987"/>
      <c r="F714" s="987"/>
      <c r="G714" s="987"/>
      <c r="H714" s="987"/>
      <c r="I714" s="987"/>
      <c r="J714" s="987"/>
      <c r="K714" s="89">
        <f>SUM(K686:K713)/2</f>
        <v>296.01529999999997</v>
      </c>
      <c r="L714" s="90"/>
    </row>
    <row r="715" spans="2:12">
      <c r="B715" s="368"/>
      <c r="C715" s="211"/>
      <c r="D715" s="211"/>
      <c r="E715" s="211"/>
      <c r="F715" s="211"/>
      <c r="G715" s="211"/>
      <c r="H715" s="211"/>
      <c r="I715" s="211"/>
      <c r="J715" s="211"/>
      <c r="K715" s="212"/>
      <c r="L715" s="90"/>
    </row>
    <row r="716" spans="2:12">
      <c r="B716" s="368"/>
      <c r="C716" s="211"/>
      <c r="D716" s="211"/>
      <c r="E716" s="211"/>
      <c r="F716" s="211"/>
      <c r="G716" s="211"/>
      <c r="H716" s="211"/>
      <c r="I716" s="211"/>
      <c r="J716" s="211"/>
      <c r="K716" s="212"/>
      <c r="L716" s="90"/>
    </row>
    <row r="717" spans="2:12">
      <c r="B717" s="90"/>
      <c r="C717" s="90"/>
      <c r="D717" s="90"/>
      <c r="E717" s="90"/>
      <c r="F717" s="90"/>
      <c r="G717" s="90"/>
      <c r="H717" s="90"/>
      <c r="I717" s="90"/>
      <c r="J717" s="90"/>
      <c r="K717" s="90"/>
      <c r="L717" s="90"/>
    </row>
    <row r="718" spans="2:12" ht="15" customHeight="1">
      <c r="B718" s="86" t="s">
        <v>39</v>
      </c>
      <c r="C718" s="980" t="s">
        <v>40</v>
      </c>
      <c r="D718" s="981"/>
      <c r="E718" s="981"/>
      <c r="F718" s="981"/>
      <c r="G718" s="981"/>
      <c r="H718" s="981"/>
      <c r="I718" s="981"/>
      <c r="J718" s="982"/>
      <c r="K718" s="97" t="s">
        <v>7</v>
      </c>
      <c r="L718" s="97">
        <f>K725</f>
        <v>156.745</v>
      </c>
    </row>
    <row r="719" spans="2:12">
      <c r="B719" s="86"/>
      <c r="C719" s="983" t="s">
        <v>20</v>
      </c>
      <c r="D719" s="983"/>
      <c r="E719" s="983"/>
      <c r="F719" s="87" t="s">
        <v>22</v>
      </c>
      <c r="G719" s="268" t="s">
        <v>111</v>
      </c>
      <c r="H719" s="87" t="s">
        <v>112</v>
      </c>
      <c r="I719" s="268" t="s">
        <v>113</v>
      </c>
      <c r="J719" s="268" t="s">
        <v>114</v>
      </c>
      <c r="K719" s="89" t="s">
        <v>25</v>
      </c>
      <c r="L719" s="90"/>
    </row>
    <row r="720" spans="2:12">
      <c r="B720" s="86"/>
      <c r="C720" s="984" t="s">
        <v>338</v>
      </c>
      <c r="D720" s="985"/>
      <c r="E720" s="986"/>
      <c r="F720" s="91">
        <v>1</v>
      </c>
      <c r="G720" s="91">
        <v>1</v>
      </c>
      <c r="H720" s="91">
        <v>3.9</v>
      </c>
      <c r="I720" s="91">
        <v>5.95</v>
      </c>
      <c r="J720" s="91">
        <v>0</v>
      </c>
      <c r="K720" s="269">
        <f>I720*H720</f>
        <v>23.205000000000002</v>
      </c>
      <c r="L720" s="90"/>
    </row>
    <row r="721" spans="2:12">
      <c r="B721" s="86"/>
      <c r="C721" s="984" t="s">
        <v>461</v>
      </c>
      <c r="D721" s="985"/>
      <c r="E721" s="986"/>
      <c r="F721" s="91">
        <v>1</v>
      </c>
      <c r="G721" s="91">
        <v>1</v>
      </c>
      <c r="H721" s="91">
        <v>5.5</v>
      </c>
      <c r="I721" s="91">
        <v>7.9</v>
      </c>
      <c r="J721" s="91">
        <v>0</v>
      </c>
      <c r="K721" s="269">
        <f>I721*H721</f>
        <v>43.45</v>
      </c>
      <c r="L721" s="90"/>
    </row>
    <row r="722" spans="2:12">
      <c r="B722" s="86"/>
      <c r="C722" s="984" t="s">
        <v>496</v>
      </c>
      <c r="D722" s="985"/>
      <c r="E722" s="986"/>
      <c r="F722" s="91">
        <v>1</v>
      </c>
      <c r="G722" s="91">
        <v>1</v>
      </c>
      <c r="H722" s="91">
        <v>3.9</v>
      </c>
      <c r="I722" s="91">
        <v>5.9</v>
      </c>
      <c r="J722" s="91">
        <v>0</v>
      </c>
      <c r="K722" s="269">
        <f>I722*H722</f>
        <v>23.01</v>
      </c>
      <c r="L722" s="90"/>
    </row>
    <row r="723" spans="2:12">
      <c r="B723" s="86"/>
      <c r="C723" s="984" t="s">
        <v>498</v>
      </c>
      <c r="D723" s="985"/>
      <c r="E723" s="986"/>
      <c r="F723" s="91">
        <v>1</v>
      </c>
      <c r="G723" s="91">
        <v>1</v>
      </c>
      <c r="H723" s="91">
        <v>3.6</v>
      </c>
      <c r="I723" s="91">
        <v>5.3</v>
      </c>
      <c r="J723" s="91">
        <v>0</v>
      </c>
      <c r="K723" s="269">
        <f>I723*H723</f>
        <v>19.079999999999998</v>
      </c>
      <c r="L723" s="90"/>
    </row>
    <row r="724" spans="2:12">
      <c r="B724" s="86"/>
      <c r="C724" s="984" t="s">
        <v>499</v>
      </c>
      <c r="D724" s="985"/>
      <c r="E724" s="986"/>
      <c r="F724" s="91">
        <v>1</v>
      </c>
      <c r="G724" s="91">
        <v>1</v>
      </c>
      <c r="H724" s="91">
        <v>6</v>
      </c>
      <c r="I724" s="91">
        <v>8</v>
      </c>
      <c r="J724" s="91">
        <v>0</v>
      </c>
      <c r="K724" s="269">
        <f>I724*H724</f>
        <v>48</v>
      </c>
      <c r="L724" s="90"/>
    </row>
    <row r="725" spans="2:12">
      <c r="B725" s="86"/>
      <c r="C725" s="987" t="s">
        <v>116</v>
      </c>
      <c r="D725" s="987"/>
      <c r="E725" s="987"/>
      <c r="F725" s="987"/>
      <c r="G725" s="987"/>
      <c r="H725" s="987"/>
      <c r="I725" s="987"/>
      <c r="J725" s="987"/>
      <c r="K725" s="89">
        <f>SUM(K720:K724)</f>
        <v>156.745</v>
      </c>
      <c r="L725" s="90"/>
    </row>
    <row r="726" spans="2:12">
      <c r="B726" s="86"/>
      <c r="C726" s="211"/>
      <c r="D726" s="211"/>
      <c r="E726" s="211"/>
      <c r="F726" s="211"/>
      <c r="G726" s="211"/>
      <c r="H726" s="211"/>
      <c r="I726" s="211"/>
      <c r="J726" s="211"/>
      <c r="K726" s="212"/>
      <c r="L726" s="90"/>
    </row>
    <row r="727" spans="2:12" ht="36.75" customHeight="1">
      <c r="B727" s="86" t="s">
        <v>627</v>
      </c>
      <c r="C727" s="980" t="s">
        <v>41</v>
      </c>
      <c r="D727" s="981"/>
      <c r="E727" s="981"/>
      <c r="F727" s="981"/>
      <c r="G727" s="981"/>
      <c r="H727" s="981"/>
      <c r="I727" s="981"/>
      <c r="J727" s="982"/>
      <c r="K727" s="97" t="s">
        <v>7</v>
      </c>
      <c r="L727" s="97">
        <f>K730</f>
        <v>45</v>
      </c>
    </row>
    <row r="728" spans="2:12">
      <c r="B728" s="86"/>
      <c r="C728" s="983" t="s">
        <v>20</v>
      </c>
      <c r="D728" s="983"/>
      <c r="E728" s="983"/>
      <c r="F728" s="87" t="s">
        <v>22</v>
      </c>
      <c r="G728" s="268" t="s">
        <v>111</v>
      </c>
      <c r="H728" s="87" t="s">
        <v>112</v>
      </c>
      <c r="I728" s="268" t="s">
        <v>113</v>
      </c>
      <c r="J728" s="268" t="s">
        <v>114</v>
      </c>
      <c r="K728" s="89" t="s">
        <v>25</v>
      </c>
      <c r="L728" s="90"/>
    </row>
    <row r="729" spans="2:12">
      <c r="B729" s="86"/>
      <c r="C729" s="984" t="s">
        <v>211</v>
      </c>
      <c r="D729" s="985"/>
      <c r="E729" s="986"/>
      <c r="F729" s="91">
        <v>1</v>
      </c>
      <c r="G729" s="91">
        <v>1.5</v>
      </c>
      <c r="H729" s="91">
        <v>1</v>
      </c>
      <c r="I729" s="91">
        <v>30</v>
      </c>
      <c r="J729" s="91">
        <v>0</v>
      </c>
      <c r="K729" s="269">
        <f>(F729*G729*H729*I729)-J729</f>
        <v>45</v>
      </c>
      <c r="L729" s="90"/>
    </row>
    <row r="730" spans="2:12">
      <c r="B730" s="86"/>
      <c r="C730" s="987" t="s">
        <v>116</v>
      </c>
      <c r="D730" s="987"/>
      <c r="E730" s="987"/>
      <c r="F730" s="987"/>
      <c r="G730" s="987"/>
      <c r="H730" s="987"/>
      <c r="I730" s="987"/>
      <c r="J730" s="987"/>
      <c r="K730" s="89">
        <f>SUM(K729:K729)</f>
        <v>45</v>
      </c>
      <c r="L730" s="90"/>
    </row>
    <row r="731" spans="2:12">
      <c r="B731" s="219"/>
      <c r="C731" s="219"/>
      <c r="D731" s="219"/>
      <c r="E731" s="219"/>
      <c r="F731" s="219"/>
      <c r="G731" s="219"/>
      <c r="H731" s="219"/>
      <c r="I731" s="219"/>
      <c r="J731" s="219"/>
      <c r="K731" s="219"/>
      <c r="L731" s="219"/>
    </row>
    <row r="732" spans="2:12">
      <c r="B732" s="86" t="s">
        <v>639</v>
      </c>
      <c r="C732" s="980" t="s">
        <v>343</v>
      </c>
      <c r="D732" s="981"/>
      <c r="E732" s="981"/>
      <c r="F732" s="981"/>
      <c r="G732" s="981"/>
      <c r="H732" s="981"/>
      <c r="I732" s="981"/>
      <c r="J732" s="982"/>
      <c r="K732" s="97" t="s">
        <v>7</v>
      </c>
      <c r="L732" s="97">
        <f>K735</f>
        <v>996.50980000000004</v>
      </c>
    </row>
    <row r="733" spans="2:12">
      <c r="B733" s="86"/>
      <c r="C733" s="983" t="s">
        <v>20</v>
      </c>
      <c r="D733" s="983"/>
      <c r="E733" s="983"/>
      <c r="F733" s="87" t="s">
        <v>22</v>
      </c>
      <c r="G733" s="268" t="s">
        <v>111</v>
      </c>
      <c r="H733" s="87" t="s">
        <v>112</v>
      </c>
      <c r="I733" s="268" t="s">
        <v>113</v>
      </c>
      <c r="J733" s="268" t="s">
        <v>114</v>
      </c>
      <c r="K733" s="89" t="s">
        <v>25</v>
      </c>
      <c r="L733" s="90"/>
    </row>
    <row r="734" spans="2:12">
      <c r="B734" s="86"/>
      <c r="C734" s="984" t="s">
        <v>601</v>
      </c>
      <c r="D734" s="985"/>
      <c r="E734" s="986"/>
      <c r="F734" s="91">
        <f>K735</f>
        <v>996.50980000000004</v>
      </c>
      <c r="G734" s="91">
        <v>1</v>
      </c>
      <c r="H734" s="91">
        <v>1</v>
      </c>
      <c r="I734" s="91">
        <v>1</v>
      </c>
      <c r="J734" s="91">
        <v>0</v>
      </c>
      <c r="K734" s="269">
        <f>(F734*G734*H734*I734)-J734</f>
        <v>996.50980000000004</v>
      </c>
      <c r="L734" s="90"/>
    </row>
    <row r="735" spans="2:12">
      <c r="B735" s="86"/>
      <c r="C735" s="987" t="s">
        <v>116</v>
      </c>
      <c r="D735" s="987"/>
      <c r="E735" s="987"/>
      <c r="F735" s="987"/>
      <c r="G735" s="987"/>
      <c r="H735" s="987"/>
      <c r="I735" s="987"/>
      <c r="J735" s="987"/>
      <c r="K735" s="89">
        <f>SUM(K682,K650)</f>
        <v>996.50980000000004</v>
      </c>
      <c r="L735" s="90"/>
    </row>
    <row r="736" spans="2:12">
      <c r="B736" s="86"/>
      <c r="C736" s="211"/>
      <c r="D736" s="211"/>
      <c r="E736" s="211"/>
      <c r="F736" s="211"/>
      <c r="G736" s="211"/>
      <c r="H736" s="211"/>
      <c r="I736" s="211"/>
      <c r="J736" s="211"/>
      <c r="K736" s="212"/>
      <c r="L736" s="90"/>
    </row>
    <row r="737" spans="2:12" ht="26.25" customHeight="1">
      <c r="B737" s="86" t="s">
        <v>665</v>
      </c>
      <c r="C737" s="980" t="s">
        <v>619</v>
      </c>
      <c r="D737" s="981"/>
      <c r="E737" s="981"/>
      <c r="F737" s="981"/>
      <c r="G737" s="981"/>
      <c r="H737" s="981"/>
      <c r="I737" s="981"/>
      <c r="J737" s="982"/>
      <c r="K737" s="97" t="s">
        <v>7</v>
      </c>
      <c r="L737" s="97">
        <f>K740</f>
        <v>92.4</v>
      </c>
    </row>
    <row r="738" spans="2:12">
      <c r="B738" s="86"/>
      <c r="C738" s="983" t="s">
        <v>20</v>
      </c>
      <c r="D738" s="983"/>
      <c r="E738" s="983"/>
      <c r="F738" s="87" t="s">
        <v>22</v>
      </c>
      <c r="G738" s="268" t="s">
        <v>111</v>
      </c>
      <c r="H738" s="87" t="s">
        <v>112</v>
      </c>
      <c r="I738" s="268" t="s">
        <v>113</v>
      </c>
      <c r="J738" s="268" t="s">
        <v>114</v>
      </c>
      <c r="K738" s="89" t="s">
        <v>25</v>
      </c>
      <c r="L738" s="90"/>
    </row>
    <row r="739" spans="2:12">
      <c r="B739" s="86"/>
      <c r="C739" s="984" t="s">
        <v>210</v>
      </c>
      <c r="D739" s="985"/>
      <c r="E739" s="986"/>
      <c r="F739" s="91">
        <v>55</v>
      </c>
      <c r="G739" s="91">
        <v>1</v>
      </c>
      <c r="H739" s="91">
        <v>0.8</v>
      </c>
      <c r="I739" s="91">
        <v>2.1</v>
      </c>
      <c r="J739" s="91">
        <v>0</v>
      </c>
      <c r="K739" s="269">
        <f>(F739*G739*H739*I739)-J739</f>
        <v>92.4</v>
      </c>
      <c r="L739" s="90"/>
    </row>
    <row r="740" spans="2:12">
      <c r="B740" s="86"/>
      <c r="C740" s="987" t="s">
        <v>116</v>
      </c>
      <c r="D740" s="987"/>
      <c r="E740" s="987"/>
      <c r="F740" s="987"/>
      <c r="G740" s="987"/>
      <c r="H740" s="987"/>
      <c r="I740" s="987"/>
      <c r="J740" s="987"/>
      <c r="K740" s="89">
        <f>K739</f>
        <v>92.4</v>
      </c>
      <c r="L740" s="90"/>
    </row>
    <row r="741" spans="2:12">
      <c r="B741" s="86"/>
      <c r="C741" s="211"/>
      <c r="D741" s="211"/>
      <c r="E741" s="211"/>
      <c r="F741" s="211"/>
      <c r="G741" s="211"/>
      <c r="H741" s="211"/>
      <c r="I741" s="211"/>
      <c r="J741" s="211"/>
      <c r="K741" s="212"/>
      <c r="L741" s="90"/>
    </row>
    <row r="742" spans="2:12">
      <c r="B742" s="292" t="s">
        <v>197</v>
      </c>
      <c r="C742" s="1093" t="s">
        <v>43</v>
      </c>
      <c r="D742" s="1093"/>
      <c r="E742" s="1093"/>
      <c r="F742" s="1093"/>
      <c r="G742" s="1093"/>
      <c r="H742" s="1093"/>
      <c r="I742" s="1093"/>
      <c r="J742" s="1093"/>
      <c r="K742" s="293"/>
      <c r="L742" s="293"/>
    </row>
    <row r="743" spans="2:12">
      <c r="B743" s="336"/>
      <c r="C743" s="211"/>
      <c r="D743" s="211"/>
      <c r="E743" s="211"/>
      <c r="F743" s="211"/>
      <c r="G743" s="211"/>
      <c r="H743" s="211"/>
      <c r="I743" s="211"/>
      <c r="J743" s="211"/>
      <c r="K743" s="212"/>
      <c r="L743" s="90"/>
    </row>
    <row r="744" spans="2:12" ht="26.25" customHeight="1">
      <c r="B744" s="86" t="s">
        <v>45</v>
      </c>
      <c r="C744" s="980" t="s">
        <v>46</v>
      </c>
      <c r="D744" s="981"/>
      <c r="E744" s="981"/>
      <c r="F744" s="981"/>
      <c r="G744" s="981"/>
      <c r="H744" s="981"/>
      <c r="I744" s="981"/>
      <c r="J744" s="982"/>
      <c r="K744" s="97" t="s">
        <v>7</v>
      </c>
      <c r="L744" s="97">
        <f>K747</f>
        <v>63</v>
      </c>
    </row>
    <row r="745" spans="2:12">
      <c r="B745" s="86"/>
      <c r="C745" s="983" t="s">
        <v>20</v>
      </c>
      <c r="D745" s="983"/>
      <c r="E745" s="983"/>
      <c r="F745" s="87" t="s">
        <v>22</v>
      </c>
      <c r="G745" s="268" t="s">
        <v>111</v>
      </c>
      <c r="H745" s="87" t="s">
        <v>112</v>
      </c>
      <c r="I745" s="268" t="s">
        <v>113</v>
      </c>
      <c r="J745" s="268" t="s">
        <v>114</v>
      </c>
      <c r="K745" s="89" t="s">
        <v>25</v>
      </c>
      <c r="L745" s="90"/>
    </row>
    <row r="746" spans="2:12" ht="15" customHeight="1">
      <c r="B746" s="86"/>
      <c r="C746" s="984" t="s">
        <v>597</v>
      </c>
      <c r="D746" s="985"/>
      <c r="E746" s="986"/>
      <c r="F746" s="91">
        <v>1</v>
      </c>
      <c r="G746" s="91">
        <v>2.1</v>
      </c>
      <c r="H746" s="91">
        <v>1</v>
      </c>
      <c r="I746" s="91">
        <v>30</v>
      </c>
      <c r="J746" s="91">
        <v>0</v>
      </c>
      <c r="K746" s="89">
        <f>(G746*H746*I746*F746)-J746</f>
        <v>63</v>
      </c>
      <c r="L746" s="90"/>
    </row>
    <row r="747" spans="2:12">
      <c r="B747" s="86"/>
      <c r="C747" s="987" t="s">
        <v>116</v>
      </c>
      <c r="D747" s="987"/>
      <c r="E747" s="987"/>
      <c r="F747" s="987"/>
      <c r="G747" s="987"/>
      <c r="H747" s="987"/>
      <c r="I747" s="987"/>
      <c r="J747" s="987"/>
      <c r="K747" s="89">
        <f>SUM(K746:K746)</f>
        <v>63</v>
      </c>
      <c r="L747" s="90"/>
    </row>
    <row r="748" spans="2:12">
      <c r="B748" s="90"/>
      <c r="C748" s="90"/>
      <c r="D748" s="90"/>
      <c r="E748" s="90"/>
      <c r="F748" s="90"/>
      <c r="G748" s="90"/>
      <c r="H748" s="90"/>
      <c r="I748" s="90"/>
      <c r="J748" s="90"/>
      <c r="K748" s="90"/>
      <c r="L748" s="90"/>
    </row>
    <row r="749" spans="2:12" ht="37.5" customHeight="1">
      <c r="B749" s="86" t="s">
        <v>198</v>
      </c>
      <c r="C749" s="980" t="s">
        <v>48</v>
      </c>
      <c r="D749" s="981"/>
      <c r="E749" s="981"/>
      <c r="F749" s="981"/>
      <c r="G749" s="981"/>
      <c r="H749" s="981"/>
      <c r="I749" s="981"/>
      <c r="J749" s="982"/>
      <c r="K749" s="97" t="s">
        <v>7</v>
      </c>
      <c r="L749" s="97">
        <f>K752</f>
        <v>63</v>
      </c>
    </row>
    <row r="750" spans="2:12">
      <c r="B750" s="86"/>
      <c r="C750" s="983" t="s">
        <v>20</v>
      </c>
      <c r="D750" s="983"/>
      <c r="E750" s="983"/>
      <c r="F750" s="87" t="s">
        <v>22</v>
      </c>
      <c r="G750" s="268" t="s">
        <v>111</v>
      </c>
      <c r="H750" s="87" t="s">
        <v>112</v>
      </c>
      <c r="I750" s="268" t="s">
        <v>113</v>
      </c>
      <c r="J750" s="268" t="s">
        <v>114</v>
      </c>
      <c r="K750" s="89" t="s">
        <v>25</v>
      </c>
      <c r="L750" s="90"/>
    </row>
    <row r="751" spans="2:12">
      <c r="B751" s="86"/>
      <c r="C751" s="984" t="s">
        <v>597</v>
      </c>
      <c r="D751" s="985"/>
      <c r="E751" s="986"/>
      <c r="F751" s="91">
        <v>1</v>
      </c>
      <c r="G751" s="91">
        <v>2.1</v>
      </c>
      <c r="H751" s="91">
        <v>1</v>
      </c>
      <c r="I751" s="91">
        <v>30</v>
      </c>
      <c r="J751" s="91">
        <v>0</v>
      </c>
      <c r="K751" s="89">
        <f>(G751*H751*I751*F751)-J751</f>
        <v>63</v>
      </c>
      <c r="L751" s="90"/>
    </row>
    <row r="752" spans="2:12">
      <c r="B752" s="86"/>
      <c r="C752" s="987" t="s">
        <v>116</v>
      </c>
      <c r="D752" s="987"/>
      <c r="E752" s="987"/>
      <c r="F752" s="987"/>
      <c r="G752" s="987"/>
      <c r="H752" s="987"/>
      <c r="I752" s="987"/>
      <c r="J752" s="987"/>
      <c r="K752" s="89">
        <f>SUM(K751:K751)</f>
        <v>63</v>
      </c>
      <c r="L752" s="90"/>
    </row>
    <row r="753" spans="1:12">
      <c r="A753" s="82"/>
      <c r="B753" s="90"/>
      <c r="C753" s="90"/>
      <c r="D753" s="90"/>
      <c r="E753" s="90"/>
      <c r="F753" s="90"/>
      <c r="G753" s="90"/>
      <c r="H753" s="90"/>
      <c r="I753" s="90"/>
      <c r="J753" s="90"/>
      <c r="K753" s="90"/>
      <c r="L753" s="90"/>
    </row>
    <row r="754" spans="1:12" ht="32.25" customHeight="1">
      <c r="B754" s="86" t="s">
        <v>50</v>
      </c>
      <c r="C754" s="980" t="s">
        <v>51</v>
      </c>
      <c r="D754" s="981"/>
      <c r="E754" s="981"/>
      <c r="F754" s="981"/>
      <c r="G754" s="981"/>
      <c r="H754" s="981"/>
      <c r="I754" s="981"/>
      <c r="J754" s="982"/>
      <c r="K754" s="97" t="s">
        <v>7</v>
      </c>
      <c r="L754" s="97">
        <f>K757</f>
        <v>42</v>
      </c>
    </row>
    <row r="755" spans="1:12">
      <c r="B755" s="86"/>
      <c r="C755" s="983" t="s">
        <v>20</v>
      </c>
      <c r="D755" s="983"/>
      <c r="E755" s="983"/>
      <c r="F755" s="87" t="s">
        <v>22</v>
      </c>
      <c r="G755" s="268" t="s">
        <v>111</v>
      </c>
      <c r="H755" s="87" t="s">
        <v>112</v>
      </c>
      <c r="I755" s="268" t="s">
        <v>113</v>
      </c>
      <c r="J755" s="268" t="s">
        <v>114</v>
      </c>
      <c r="K755" s="89" t="s">
        <v>25</v>
      </c>
      <c r="L755" s="90"/>
    </row>
    <row r="756" spans="1:12">
      <c r="B756" s="86"/>
      <c r="C756" s="984" t="s">
        <v>97</v>
      </c>
      <c r="D756" s="985"/>
      <c r="E756" s="986"/>
      <c r="F756" s="91">
        <v>1</v>
      </c>
      <c r="G756" s="91">
        <v>2.8</v>
      </c>
      <c r="H756" s="91">
        <v>1</v>
      </c>
      <c r="I756" s="91">
        <v>15</v>
      </c>
      <c r="J756" s="91">
        <v>0</v>
      </c>
      <c r="K756" s="89">
        <f>(G756*H756*I756*F756)-J756</f>
        <v>42</v>
      </c>
      <c r="L756" s="90"/>
    </row>
    <row r="757" spans="1:12">
      <c r="B757" s="86"/>
      <c r="C757" s="987" t="s">
        <v>116</v>
      </c>
      <c r="D757" s="987"/>
      <c r="E757" s="987"/>
      <c r="F757" s="987"/>
      <c r="G757" s="987"/>
      <c r="H757" s="987"/>
      <c r="I757" s="987"/>
      <c r="J757" s="987"/>
      <c r="K757" s="89">
        <f>SUM(K756:K756)</f>
        <v>42</v>
      </c>
      <c r="L757" s="90"/>
    </row>
    <row r="758" spans="1:12">
      <c r="B758" s="336"/>
      <c r="C758" s="211"/>
      <c r="D758" s="211"/>
      <c r="E758" s="211"/>
      <c r="F758" s="211"/>
      <c r="G758" s="211"/>
      <c r="H758" s="211"/>
      <c r="I758" s="211"/>
      <c r="J758" s="211"/>
      <c r="K758" s="212"/>
      <c r="L758" s="90"/>
    </row>
    <row r="759" spans="1:12" ht="29.25" customHeight="1">
      <c r="B759" s="336" t="s">
        <v>439</v>
      </c>
      <c r="C759" s="980" t="s">
        <v>82</v>
      </c>
      <c r="D759" s="981"/>
      <c r="E759" s="981"/>
      <c r="F759" s="981"/>
      <c r="G759" s="981"/>
      <c r="H759" s="981"/>
      <c r="I759" s="981"/>
      <c r="J759" s="982"/>
      <c r="K759" s="97" t="s">
        <v>7</v>
      </c>
      <c r="L759" s="97">
        <f>K762</f>
        <v>80</v>
      </c>
    </row>
    <row r="760" spans="1:12">
      <c r="B760" s="336"/>
      <c r="C760" s="1027" t="s">
        <v>20</v>
      </c>
      <c r="D760" s="1027"/>
      <c r="E760" s="1027"/>
      <c r="F760" s="92" t="s">
        <v>22</v>
      </c>
      <c r="G760" s="332" t="s">
        <v>111</v>
      </c>
      <c r="H760" s="92" t="s">
        <v>112</v>
      </c>
      <c r="I760" s="332" t="s">
        <v>113</v>
      </c>
      <c r="J760" s="332" t="s">
        <v>114</v>
      </c>
      <c r="K760" s="94" t="s">
        <v>25</v>
      </c>
      <c r="L760" s="90"/>
    </row>
    <row r="761" spans="1:12">
      <c r="B761" s="336"/>
      <c r="C761" s="984" t="s">
        <v>587</v>
      </c>
      <c r="D761" s="985"/>
      <c r="E761" s="986"/>
      <c r="F761" s="91">
        <v>1</v>
      </c>
      <c r="G761" s="91">
        <v>1</v>
      </c>
      <c r="H761" s="91">
        <v>80</v>
      </c>
      <c r="I761" s="91">
        <v>1</v>
      </c>
      <c r="J761" s="91">
        <v>0</v>
      </c>
      <c r="K761" s="335">
        <f>(H761*I761*G761*F761)-J761</f>
        <v>80</v>
      </c>
      <c r="L761" s="90"/>
    </row>
    <row r="762" spans="1:12">
      <c r="B762" s="336"/>
      <c r="C762" s="987" t="s">
        <v>116</v>
      </c>
      <c r="D762" s="987"/>
      <c r="E762" s="987"/>
      <c r="F762" s="987"/>
      <c r="G762" s="987"/>
      <c r="H762" s="987"/>
      <c r="I762" s="987"/>
      <c r="J762" s="987"/>
      <c r="K762" s="89">
        <f>SUM(K761:K761)</f>
        <v>80</v>
      </c>
      <c r="L762" s="90"/>
    </row>
    <row r="763" spans="1:12">
      <c r="B763" s="336"/>
      <c r="C763" s="211"/>
      <c r="D763" s="211"/>
      <c r="E763" s="211"/>
      <c r="F763" s="211"/>
      <c r="G763" s="211"/>
      <c r="H763" s="211"/>
      <c r="I763" s="211"/>
      <c r="J763" s="211"/>
      <c r="K763" s="212"/>
      <c r="L763" s="90"/>
    </row>
    <row r="764" spans="1:12">
      <c r="B764" s="219"/>
      <c r="C764" s="219"/>
      <c r="D764" s="219"/>
      <c r="E764" s="219"/>
      <c r="F764" s="219"/>
      <c r="G764" s="219"/>
      <c r="H764" s="219"/>
      <c r="I764" s="219"/>
      <c r="J764" s="219"/>
      <c r="K764" s="219"/>
      <c r="L764" s="219"/>
    </row>
    <row r="765" spans="1:12">
      <c r="B765" s="292" t="s">
        <v>199</v>
      </c>
      <c r="C765" s="1093" t="s">
        <v>53</v>
      </c>
      <c r="D765" s="1093"/>
      <c r="E765" s="1093"/>
      <c r="F765" s="1093"/>
      <c r="G765" s="1093"/>
      <c r="H765" s="1093"/>
      <c r="I765" s="1093"/>
      <c r="J765" s="1093"/>
      <c r="K765" s="293"/>
      <c r="L765" s="293"/>
    </row>
    <row r="766" spans="1:12">
      <c r="B766" s="90"/>
      <c r="C766" s="90"/>
      <c r="D766" s="90"/>
      <c r="E766" s="90"/>
      <c r="F766" s="90"/>
      <c r="G766" s="90"/>
      <c r="H766" s="90"/>
      <c r="I766" s="90"/>
      <c r="J766" s="90"/>
      <c r="K766" s="90"/>
      <c r="L766" s="90"/>
    </row>
    <row r="767" spans="1:12" ht="33" customHeight="1">
      <c r="B767" s="86" t="s">
        <v>54</v>
      </c>
      <c r="C767" s="980" t="s">
        <v>86</v>
      </c>
      <c r="D767" s="981"/>
      <c r="E767" s="981"/>
      <c r="F767" s="981"/>
      <c r="G767" s="981"/>
      <c r="H767" s="981"/>
      <c r="I767" s="981"/>
      <c r="J767" s="982"/>
      <c r="K767" s="97" t="s">
        <v>21</v>
      </c>
      <c r="L767" s="97">
        <f>K770</f>
        <v>10</v>
      </c>
    </row>
    <row r="768" spans="1:12">
      <c r="B768" s="86"/>
      <c r="C768" s="983" t="s">
        <v>20</v>
      </c>
      <c r="D768" s="983"/>
      <c r="E768" s="983"/>
      <c r="F768" s="87" t="s">
        <v>22</v>
      </c>
      <c r="G768" s="268" t="s">
        <v>111</v>
      </c>
      <c r="H768" s="87" t="s">
        <v>112</v>
      </c>
      <c r="I768" s="268" t="s">
        <v>113</v>
      </c>
      <c r="J768" s="268" t="s">
        <v>114</v>
      </c>
      <c r="K768" s="89" t="s">
        <v>25</v>
      </c>
      <c r="L768" s="90"/>
    </row>
    <row r="769" spans="2:12">
      <c r="B769" s="86"/>
      <c r="C769" s="984" t="s">
        <v>458</v>
      </c>
      <c r="D769" s="985"/>
      <c r="E769" s="986"/>
      <c r="F769" s="91">
        <v>10</v>
      </c>
      <c r="G769" s="91">
        <v>0</v>
      </c>
      <c r="H769" s="91">
        <v>0</v>
      </c>
      <c r="I769" s="91">
        <v>0</v>
      </c>
      <c r="J769" s="91">
        <v>0</v>
      </c>
      <c r="K769" s="89">
        <f>F769</f>
        <v>10</v>
      </c>
      <c r="L769" s="90"/>
    </row>
    <row r="770" spans="2:12">
      <c r="B770" s="86"/>
      <c r="C770" s="987" t="s">
        <v>116</v>
      </c>
      <c r="D770" s="987"/>
      <c r="E770" s="987"/>
      <c r="F770" s="987"/>
      <c r="G770" s="987"/>
      <c r="H770" s="987"/>
      <c r="I770" s="987"/>
      <c r="J770" s="987"/>
      <c r="K770" s="89">
        <f>K769</f>
        <v>10</v>
      </c>
      <c r="L770" s="90"/>
    </row>
    <row r="771" spans="2:12" ht="15" customHeight="1">
      <c r="B771" s="90"/>
      <c r="C771" s="90"/>
      <c r="D771" s="90"/>
      <c r="E771" s="90"/>
      <c r="F771" s="90"/>
      <c r="G771" s="90"/>
      <c r="H771" s="90"/>
      <c r="I771" s="90"/>
      <c r="J771" s="90"/>
      <c r="K771" s="90"/>
      <c r="L771" s="90"/>
    </row>
    <row r="772" spans="2:12">
      <c r="B772" s="90"/>
      <c r="C772" s="90"/>
      <c r="D772" s="90"/>
      <c r="E772" s="90"/>
      <c r="F772" s="90"/>
      <c r="G772" s="90"/>
      <c r="H772" s="90"/>
      <c r="I772" s="90"/>
      <c r="J772" s="90"/>
      <c r="K772" s="90"/>
      <c r="L772" s="90"/>
    </row>
    <row r="773" spans="2:12" ht="30" customHeight="1">
      <c r="B773" s="86" t="s">
        <v>55</v>
      </c>
      <c r="C773" s="980" t="s">
        <v>580</v>
      </c>
      <c r="D773" s="981"/>
      <c r="E773" s="981"/>
      <c r="F773" s="981"/>
      <c r="G773" s="981"/>
      <c r="H773" s="981"/>
      <c r="I773" s="981"/>
      <c r="J773" s="982"/>
      <c r="K773" s="97" t="s">
        <v>7</v>
      </c>
      <c r="L773" s="97">
        <f>K776</f>
        <v>8</v>
      </c>
    </row>
    <row r="774" spans="2:12">
      <c r="B774" s="86"/>
      <c r="C774" s="983" t="s">
        <v>20</v>
      </c>
      <c r="D774" s="983"/>
      <c r="E774" s="983"/>
      <c r="F774" s="87" t="s">
        <v>22</v>
      </c>
      <c r="G774" s="268" t="s">
        <v>111</v>
      </c>
      <c r="H774" s="87" t="s">
        <v>112</v>
      </c>
      <c r="I774" s="268" t="s">
        <v>113</v>
      </c>
      <c r="J774" s="268" t="s">
        <v>114</v>
      </c>
      <c r="K774" s="89" t="s">
        <v>25</v>
      </c>
      <c r="L774" s="90"/>
    </row>
    <row r="775" spans="2:12">
      <c r="B775" s="86"/>
      <c r="C775" s="984" t="s">
        <v>237</v>
      </c>
      <c r="D775" s="985"/>
      <c r="E775" s="986"/>
      <c r="F775" s="91">
        <v>8</v>
      </c>
      <c r="G775" s="91">
        <v>0</v>
      </c>
      <c r="H775" s="91">
        <v>0</v>
      </c>
      <c r="I775" s="91">
        <v>0</v>
      </c>
      <c r="J775" s="91">
        <v>0</v>
      </c>
      <c r="K775" s="89">
        <f>F775</f>
        <v>8</v>
      </c>
      <c r="L775" s="90"/>
    </row>
    <row r="776" spans="2:12">
      <c r="B776" s="86"/>
      <c r="C776" s="987" t="s">
        <v>116</v>
      </c>
      <c r="D776" s="987"/>
      <c r="E776" s="987"/>
      <c r="F776" s="987"/>
      <c r="G776" s="987"/>
      <c r="H776" s="987"/>
      <c r="I776" s="987"/>
      <c r="J776" s="987"/>
      <c r="K776" s="89">
        <f>SUM(K775:K775)</f>
        <v>8</v>
      </c>
      <c r="L776" s="90"/>
    </row>
    <row r="777" spans="2:12">
      <c r="B777" s="86"/>
      <c r="C777" s="211"/>
      <c r="D777" s="211"/>
      <c r="E777" s="211"/>
      <c r="F777" s="211"/>
      <c r="G777" s="211"/>
      <c r="H777" s="211"/>
      <c r="I777" s="211"/>
      <c r="J777" s="211"/>
      <c r="K777" s="212"/>
      <c r="L777" s="90"/>
    </row>
    <row r="778" spans="2:12" ht="15" customHeight="1">
      <c r="B778" s="86"/>
      <c r="C778" s="211"/>
      <c r="D778" s="211"/>
      <c r="E778" s="211"/>
      <c r="F778" s="211"/>
      <c r="G778" s="211"/>
      <c r="H778" s="211"/>
      <c r="I778" s="211"/>
      <c r="J778" s="211"/>
      <c r="K778" s="212"/>
      <c r="L778" s="90"/>
    </row>
    <row r="779" spans="2:12" ht="28.5" customHeight="1">
      <c r="B779" s="86" t="s">
        <v>85</v>
      </c>
      <c r="C779" s="980" t="s">
        <v>582</v>
      </c>
      <c r="D779" s="981"/>
      <c r="E779" s="981"/>
      <c r="F779" s="981"/>
      <c r="G779" s="981"/>
      <c r="H779" s="981"/>
      <c r="I779" s="981"/>
      <c r="J779" s="982"/>
      <c r="K779" s="97" t="s">
        <v>7</v>
      </c>
      <c r="L779" s="97">
        <f>K782</f>
        <v>5</v>
      </c>
    </row>
    <row r="780" spans="2:12">
      <c r="B780" s="86"/>
      <c r="C780" s="983" t="s">
        <v>20</v>
      </c>
      <c r="D780" s="983"/>
      <c r="E780" s="983"/>
      <c r="F780" s="87" t="s">
        <v>22</v>
      </c>
      <c r="G780" s="268" t="s">
        <v>111</v>
      </c>
      <c r="H780" s="87" t="s">
        <v>112</v>
      </c>
      <c r="I780" s="268" t="s">
        <v>113</v>
      </c>
      <c r="J780" s="268" t="s">
        <v>114</v>
      </c>
      <c r="K780" s="89" t="s">
        <v>25</v>
      </c>
      <c r="L780" s="90"/>
    </row>
    <row r="781" spans="2:12">
      <c r="B781" s="86"/>
      <c r="C781" s="984" t="s">
        <v>237</v>
      </c>
      <c r="D781" s="985"/>
      <c r="E781" s="986"/>
      <c r="F781" s="91">
        <v>5</v>
      </c>
      <c r="G781" s="91">
        <v>0</v>
      </c>
      <c r="H781" s="91">
        <v>0</v>
      </c>
      <c r="I781" s="91">
        <v>0</v>
      </c>
      <c r="J781" s="91">
        <v>0</v>
      </c>
      <c r="K781" s="89">
        <f>F781</f>
        <v>5</v>
      </c>
      <c r="L781" s="90"/>
    </row>
    <row r="782" spans="2:12">
      <c r="B782" s="86"/>
      <c r="C782" s="987" t="s">
        <v>116</v>
      </c>
      <c r="D782" s="987"/>
      <c r="E782" s="987"/>
      <c r="F782" s="987"/>
      <c r="G782" s="987"/>
      <c r="H782" s="987"/>
      <c r="I782" s="987"/>
      <c r="J782" s="987"/>
      <c r="K782" s="89">
        <f>SUM(K781:K781)</f>
        <v>5</v>
      </c>
      <c r="L782" s="90"/>
    </row>
    <row r="783" spans="2:12">
      <c r="B783" s="86"/>
      <c r="C783" s="211"/>
      <c r="D783" s="211"/>
      <c r="E783" s="211"/>
      <c r="F783" s="211"/>
      <c r="G783" s="211"/>
      <c r="H783" s="211"/>
      <c r="I783" s="211"/>
      <c r="J783" s="211"/>
      <c r="K783" s="212"/>
      <c r="L783" s="90"/>
    </row>
    <row r="784" spans="2:12">
      <c r="B784" s="86" t="s">
        <v>200</v>
      </c>
      <c r="C784" s="980" t="s">
        <v>98</v>
      </c>
      <c r="D784" s="981"/>
      <c r="E784" s="981"/>
      <c r="F784" s="981"/>
      <c r="G784" s="981"/>
      <c r="H784" s="981"/>
      <c r="I784" s="981"/>
      <c r="J784" s="982"/>
      <c r="K784" s="97" t="s">
        <v>7</v>
      </c>
      <c r="L784" s="97">
        <f>K787</f>
        <v>45</v>
      </c>
    </row>
    <row r="785" spans="2:12">
      <c r="B785" s="86"/>
      <c r="C785" s="983" t="s">
        <v>20</v>
      </c>
      <c r="D785" s="983"/>
      <c r="E785" s="983"/>
      <c r="F785" s="87" t="s">
        <v>22</v>
      </c>
      <c r="G785" s="268" t="s">
        <v>111</v>
      </c>
      <c r="H785" s="87" t="s">
        <v>112</v>
      </c>
      <c r="I785" s="268" t="s">
        <v>113</v>
      </c>
      <c r="J785" s="268" t="s">
        <v>114</v>
      </c>
      <c r="K785" s="89" t="s">
        <v>25</v>
      </c>
      <c r="L785" s="90"/>
    </row>
    <row r="786" spans="2:12">
      <c r="B786" s="86"/>
      <c r="C786" s="984" t="s">
        <v>211</v>
      </c>
      <c r="D786" s="985"/>
      <c r="E786" s="986"/>
      <c r="F786" s="91">
        <v>1</v>
      </c>
      <c r="G786" s="91">
        <v>1.5</v>
      </c>
      <c r="H786" s="91">
        <v>1</v>
      </c>
      <c r="I786" s="91">
        <v>30</v>
      </c>
      <c r="J786" s="91">
        <v>0</v>
      </c>
      <c r="K786" s="89">
        <f>(G786*H786*I786*F786)-J786</f>
        <v>45</v>
      </c>
      <c r="L786" s="90"/>
    </row>
    <row r="787" spans="2:12">
      <c r="B787" s="86"/>
      <c r="C787" s="987" t="s">
        <v>116</v>
      </c>
      <c r="D787" s="987"/>
      <c r="E787" s="987"/>
      <c r="F787" s="987"/>
      <c r="G787" s="987"/>
      <c r="H787" s="987"/>
      <c r="I787" s="987"/>
      <c r="J787" s="987"/>
      <c r="K787" s="89">
        <f>SUM(K786:K786)</f>
        <v>45</v>
      </c>
      <c r="L787" s="90"/>
    </row>
    <row r="788" spans="2:12">
      <c r="B788" s="219"/>
      <c r="C788" s="219"/>
      <c r="D788" s="219"/>
      <c r="E788" s="219"/>
      <c r="F788" s="219"/>
      <c r="G788" s="219"/>
      <c r="H788" s="219"/>
      <c r="I788" s="219"/>
      <c r="J788" s="219"/>
      <c r="K788" s="219"/>
      <c r="L788" s="219"/>
    </row>
    <row r="789" spans="2:12" ht="14.25" customHeight="1">
      <c r="B789" s="86" t="s">
        <v>536</v>
      </c>
      <c r="C789" s="980" t="s">
        <v>99</v>
      </c>
      <c r="D789" s="981"/>
      <c r="E789" s="981"/>
      <c r="F789" s="981"/>
      <c r="G789" s="981"/>
      <c r="H789" s="981"/>
      <c r="I789" s="981"/>
      <c r="J789" s="982"/>
      <c r="K789" s="97" t="s">
        <v>7</v>
      </c>
      <c r="L789" s="97">
        <f>K792</f>
        <v>21</v>
      </c>
    </row>
    <row r="790" spans="2:12">
      <c r="B790" s="86"/>
      <c r="C790" s="983" t="s">
        <v>20</v>
      </c>
      <c r="D790" s="983"/>
      <c r="E790" s="983"/>
      <c r="F790" s="87" t="s">
        <v>22</v>
      </c>
      <c r="G790" s="268" t="s">
        <v>111</v>
      </c>
      <c r="H790" s="87" t="s">
        <v>112</v>
      </c>
      <c r="I790" s="268" t="s">
        <v>113</v>
      </c>
      <c r="J790" s="268" t="s">
        <v>114</v>
      </c>
      <c r="K790" s="89" t="s">
        <v>25</v>
      </c>
      <c r="L790" s="90"/>
    </row>
    <row r="791" spans="2:12">
      <c r="B791" s="86"/>
      <c r="C791" s="984" t="s">
        <v>458</v>
      </c>
      <c r="D791" s="985"/>
      <c r="E791" s="986"/>
      <c r="F791" s="91">
        <v>10</v>
      </c>
      <c r="G791" s="91">
        <v>2.1</v>
      </c>
      <c r="H791" s="91">
        <v>1</v>
      </c>
      <c r="I791" s="91">
        <v>1</v>
      </c>
      <c r="J791" s="91">
        <v>0</v>
      </c>
      <c r="K791" s="89">
        <f>(G791*H791*I791*F791)-J791</f>
        <v>21</v>
      </c>
      <c r="L791" s="90"/>
    </row>
    <row r="792" spans="2:12">
      <c r="B792" s="86"/>
      <c r="C792" s="987" t="s">
        <v>116</v>
      </c>
      <c r="D792" s="987"/>
      <c r="E792" s="987"/>
      <c r="F792" s="987"/>
      <c r="G792" s="987"/>
      <c r="H792" s="987"/>
      <c r="I792" s="987"/>
      <c r="J792" s="987"/>
      <c r="K792" s="89">
        <f>SUM(K791:K791)</f>
        <v>21</v>
      </c>
      <c r="L792" s="90"/>
    </row>
    <row r="793" spans="2:12">
      <c r="B793" s="86"/>
      <c r="C793" s="211"/>
      <c r="D793" s="211"/>
      <c r="E793" s="211"/>
      <c r="F793" s="211"/>
      <c r="G793" s="211"/>
      <c r="H793" s="211"/>
      <c r="I793" s="211"/>
      <c r="J793" s="211"/>
      <c r="K793" s="212"/>
      <c r="L793" s="90"/>
    </row>
    <row r="794" spans="2:12" ht="27" customHeight="1">
      <c r="B794" s="86" t="s">
        <v>432</v>
      </c>
      <c r="C794" s="980" t="s">
        <v>434</v>
      </c>
      <c r="D794" s="981"/>
      <c r="E794" s="981"/>
      <c r="F794" s="981"/>
      <c r="G794" s="981"/>
      <c r="H794" s="981"/>
      <c r="I794" s="981"/>
      <c r="J794" s="982"/>
      <c r="K794" s="97" t="s">
        <v>21</v>
      </c>
      <c r="L794" s="97">
        <f>K797</f>
        <v>5</v>
      </c>
    </row>
    <row r="795" spans="2:12">
      <c r="B795" s="86"/>
      <c r="C795" s="983" t="s">
        <v>20</v>
      </c>
      <c r="D795" s="983"/>
      <c r="E795" s="983"/>
      <c r="F795" s="87" t="s">
        <v>22</v>
      </c>
      <c r="G795" s="268" t="s">
        <v>111</v>
      </c>
      <c r="H795" s="87" t="s">
        <v>112</v>
      </c>
      <c r="I795" s="268" t="s">
        <v>113</v>
      </c>
      <c r="J795" s="268" t="s">
        <v>114</v>
      </c>
      <c r="K795" s="89" t="s">
        <v>25</v>
      </c>
      <c r="L795" s="90"/>
    </row>
    <row r="796" spans="2:12">
      <c r="B796" s="86"/>
      <c r="C796" s="984" t="s">
        <v>458</v>
      </c>
      <c r="D796" s="985"/>
      <c r="E796" s="986"/>
      <c r="F796" s="91">
        <v>5</v>
      </c>
      <c r="G796" s="91">
        <v>0</v>
      </c>
      <c r="H796" s="91">
        <v>0</v>
      </c>
      <c r="I796" s="91">
        <v>0</v>
      </c>
      <c r="J796" s="91">
        <v>0</v>
      </c>
      <c r="K796" s="89">
        <f>F796</f>
        <v>5</v>
      </c>
      <c r="L796" s="90"/>
    </row>
    <row r="797" spans="2:12">
      <c r="B797" s="86"/>
      <c r="C797" s="987" t="s">
        <v>116</v>
      </c>
      <c r="D797" s="987"/>
      <c r="E797" s="987"/>
      <c r="F797" s="987"/>
      <c r="G797" s="987"/>
      <c r="H797" s="987"/>
      <c r="I797" s="987"/>
      <c r="J797" s="987"/>
      <c r="K797" s="89">
        <f>SUM(K796:K796)</f>
        <v>5</v>
      </c>
      <c r="L797" s="90"/>
    </row>
    <row r="798" spans="2:12">
      <c r="B798" s="86"/>
      <c r="C798" s="211"/>
      <c r="D798" s="211"/>
      <c r="E798" s="211"/>
      <c r="F798" s="211"/>
      <c r="G798" s="211"/>
      <c r="H798" s="211"/>
      <c r="I798" s="211"/>
      <c r="J798" s="211"/>
      <c r="K798" s="212"/>
      <c r="L798" s="90"/>
    </row>
    <row r="799" spans="2:12">
      <c r="B799" s="292" t="s">
        <v>158</v>
      </c>
      <c r="C799" s="1093" t="s">
        <v>57</v>
      </c>
      <c r="D799" s="1093"/>
      <c r="E799" s="1093"/>
      <c r="F799" s="1093"/>
      <c r="G799" s="1093"/>
      <c r="H799" s="1093"/>
      <c r="I799" s="1093"/>
      <c r="J799" s="1093"/>
      <c r="K799" s="293"/>
      <c r="L799" s="293"/>
    </row>
    <row r="800" spans="2:12">
      <c r="B800" s="1094"/>
      <c r="C800" s="1094"/>
      <c r="D800" s="1094"/>
      <c r="E800" s="1094"/>
      <c r="F800" s="1094"/>
      <c r="G800" s="1094"/>
      <c r="H800" s="1094"/>
      <c r="I800" s="1094"/>
      <c r="J800" s="1094"/>
      <c r="K800" s="1094"/>
      <c r="L800" s="1094"/>
    </row>
    <row r="801" spans="2:12" ht="29.25" customHeight="1">
      <c r="B801" s="86" t="s">
        <v>59</v>
      </c>
      <c r="C801" s="980" t="s">
        <v>483</v>
      </c>
      <c r="D801" s="981"/>
      <c r="E801" s="981"/>
      <c r="F801" s="981"/>
      <c r="G801" s="981"/>
      <c r="H801" s="981"/>
      <c r="I801" s="981"/>
      <c r="J801" s="982"/>
      <c r="K801" s="97" t="s">
        <v>7</v>
      </c>
      <c r="L801" s="97">
        <f>K804</f>
        <v>25</v>
      </c>
    </row>
    <row r="802" spans="2:12">
      <c r="B802" s="86"/>
      <c r="C802" s="983" t="s">
        <v>20</v>
      </c>
      <c r="D802" s="983"/>
      <c r="E802" s="983"/>
      <c r="F802" s="87" t="s">
        <v>22</v>
      </c>
      <c r="G802" s="268" t="s">
        <v>111</v>
      </c>
      <c r="H802" s="87" t="s">
        <v>112</v>
      </c>
      <c r="I802" s="268" t="s">
        <v>113</v>
      </c>
      <c r="J802" s="268" t="s">
        <v>114</v>
      </c>
      <c r="K802" s="89" t="s">
        <v>25</v>
      </c>
      <c r="L802" s="90"/>
    </row>
    <row r="803" spans="2:12">
      <c r="B803" s="86"/>
      <c r="C803" s="984" t="s">
        <v>97</v>
      </c>
      <c r="D803" s="985"/>
      <c r="E803" s="986"/>
      <c r="F803" s="91">
        <v>1</v>
      </c>
      <c r="G803" s="91">
        <v>1</v>
      </c>
      <c r="H803" s="91">
        <v>5</v>
      </c>
      <c r="I803" s="91">
        <v>5</v>
      </c>
      <c r="J803" s="91">
        <v>0</v>
      </c>
      <c r="K803" s="89">
        <f>(G803*H803*I803*F803)-J803</f>
        <v>25</v>
      </c>
      <c r="L803" s="90"/>
    </row>
    <row r="804" spans="2:12">
      <c r="B804" s="86"/>
      <c r="C804" s="987" t="s">
        <v>116</v>
      </c>
      <c r="D804" s="987"/>
      <c r="E804" s="987"/>
      <c r="F804" s="987"/>
      <c r="G804" s="987"/>
      <c r="H804" s="987"/>
      <c r="I804" s="987"/>
      <c r="J804" s="987"/>
      <c r="K804" s="89">
        <f>SUM(K803:K803)</f>
        <v>25</v>
      </c>
      <c r="L804" s="90"/>
    </row>
    <row r="805" spans="2:12">
      <c r="B805" s="86"/>
      <c r="C805" s="211"/>
      <c r="D805" s="211"/>
      <c r="E805" s="211"/>
      <c r="F805" s="211"/>
      <c r="G805" s="211"/>
      <c r="H805" s="211"/>
      <c r="I805" s="211"/>
      <c r="J805" s="211"/>
      <c r="K805" s="212"/>
      <c r="L805" s="90"/>
    </row>
    <row r="806" spans="2:12">
      <c r="B806" s="86" t="s">
        <v>61</v>
      </c>
      <c r="C806" s="980" t="s">
        <v>521</v>
      </c>
      <c r="D806" s="981"/>
      <c r="E806" s="981"/>
      <c r="F806" s="981"/>
      <c r="G806" s="981"/>
      <c r="H806" s="981"/>
      <c r="I806" s="981"/>
      <c r="J806" s="982"/>
      <c r="K806" s="97" t="s">
        <v>7</v>
      </c>
      <c r="L806" s="97">
        <f>K813</f>
        <v>156.745</v>
      </c>
    </row>
    <row r="807" spans="2:12">
      <c r="B807" s="86"/>
      <c r="C807" s="983" t="s">
        <v>20</v>
      </c>
      <c r="D807" s="983"/>
      <c r="E807" s="983"/>
      <c r="F807" s="87" t="s">
        <v>22</v>
      </c>
      <c r="G807" s="268" t="s">
        <v>111</v>
      </c>
      <c r="H807" s="87" t="s">
        <v>112</v>
      </c>
      <c r="I807" s="268" t="s">
        <v>113</v>
      </c>
      <c r="J807" s="268" t="s">
        <v>114</v>
      </c>
      <c r="K807" s="89" t="s">
        <v>25</v>
      </c>
      <c r="L807" s="90"/>
    </row>
    <row r="808" spans="2:12">
      <c r="B808" s="86"/>
      <c r="C808" s="984" t="s">
        <v>338</v>
      </c>
      <c r="D808" s="985"/>
      <c r="E808" s="986"/>
      <c r="F808" s="91">
        <v>1</v>
      </c>
      <c r="G808" s="91">
        <v>1</v>
      </c>
      <c r="H808" s="91">
        <v>3.9</v>
      </c>
      <c r="I808" s="91">
        <v>5.95</v>
      </c>
      <c r="J808" s="91">
        <v>0</v>
      </c>
      <c r="K808" s="89">
        <f>(G808*H808*I808*F808)-J808</f>
        <v>23.205000000000002</v>
      </c>
      <c r="L808" s="90"/>
    </row>
    <row r="809" spans="2:12">
      <c r="B809" s="86"/>
      <c r="C809" s="984" t="s">
        <v>461</v>
      </c>
      <c r="D809" s="985"/>
      <c r="E809" s="986"/>
      <c r="F809" s="91">
        <v>1</v>
      </c>
      <c r="G809" s="91">
        <v>1</v>
      </c>
      <c r="H809" s="91">
        <v>5.5</v>
      </c>
      <c r="I809" s="91">
        <v>7.9</v>
      </c>
      <c r="J809" s="91">
        <v>0</v>
      </c>
      <c r="K809" s="89">
        <f>(G809*H809*I809*F809)-J809</f>
        <v>43.45</v>
      </c>
      <c r="L809" s="90"/>
    </row>
    <row r="810" spans="2:12">
      <c r="B810" s="86"/>
      <c r="C810" s="984" t="s">
        <v>496</v>
      </c>
      <c r="D810" s="985"/>
      <c r="E810" s="986"/>
      <c r="F810" s="91">
        <v>1</v>
      </c>
      <c r="G810" s="91">
        <v>1</v>
      </c>
      <c r="H810" s="91">
        <v>3.9</v>
      </c>
      <c r="I810" s="91">
        <v>5.9</v>
      </c>
      <c r="J810" s="91">
        <v>0</v>
      </c>
      <c r="K810" s="89">
        <f>(G810*H810*I810*F810)-J810</f>
        <v>23.01</v>
      </c>
      <c r="L810" s="90"/>
    </row>
    <row r="811" spans="2:12">
      <c r="B811" s="86"/>
      <c r="C811" s="984" t="s">
        <v>498</v>
      </c>
      <c r="D811" s="985"/>
      <c r="E811" s="986"/>
      <c r="F811" s="91">
        <v>1</v>
      </c>
      <c r="G811" s="91">
        <v>1</v>
      </c>
      <c r="H811" s="91">
        <v>3.6</v>
      </c>
      <c r="I811" s="91">
        <v>5.3</v>
      </c>
      <c r="J811" s="91">
        <v>0</v>
      </c>
      <c r="K811" s="89">
        <f>(G811*H811*I811*F811)-J811</f>
        <v>19.079999999999998</v>
      </c>
      <c r="L811" s="90"/>
    </row>
    <row r="812" spans="2:12">
      <c r="B812" s="86"/>
      <c r="C812" s="984" t="s">
        <v>499</v>
      </c>
      <c r="D812" s="985"/>
      <c r="E812" s="986"/>
      <c r="F812" s="91">
        <v>1</v>
      </c>
      <c r="G812" s="91">
        <v>1</v>
      </c>
      <c r="H812" s="91">
        <v>6</v>
      </c>
      <c r="I812" s="91">
        <v>8</v>
      </c>
      <c r="J812" s="91">
        <v>0</v>
      </c>
      <c r="K812" s="89">
        <f>(G812*H812*I812*F812)-J812</f>
        <v>48</v>
      </c>
      <c r="L812" s="90"/>
    </row>
    <row r="813" spans="2:12">
      <c r="B813" s="86"/>
      <c r="C813" s="987" t="s">
        <v>116</v>
      </c>
      <c r="D813" s="987"/>
      <c r="E813" s="987"/>
      <c r="F813" s="987"/>
      <c r="G813" s="987"/>
      <c r="H813" s="987"/>
      <c r="I813" s="987"/>
      <c r="J813" s="987"/>
      <c r="K813" s="89">
        <f>SUM(K808:K812)</f>
        <v>156.745</v>
      </c>
      <c r="L813" s="90"/>
    </row>
    <row r="814" spans="2:12">
      <c r="B814" s="86"/>
      <c r="C814" s="302"/>
      <c r="D814" s="303"/>
      <c r="E814" s="303"/>
      <c r="F814" s="303"/>
      <c r="G814" s="303"/>
      <c r="H814" s="303"/>
      <c r="I814" s="303"/>
      <c r="J814" s="304"/>
      <c r="K814" s="89"/>
      <c r="L814" s="90"/>
    </row>
    <row r="815" spans="2:12" ht="26.25" customHeight="1">
      <c r="B815" s="86" t="s">
        <v>469</v>
      </c>
      <c r="C815" s="980" t="s">
        <v>60</v>
      </c>
      <c r="D815" s="981"/>
      <c r="E815" s="981"/>
      <c r="F815" s="981"/>
      <c r="G815" s="981"/>
      <c r="H815" s="981"/>
      <c r="I815" s="981"/>
      <c r="J815" s="982"/>
      <c r="K815" s="97" t="s">
        <v>7</v>
      </c>
      <c r="L815" s="97">
        <f>K818</f>
        <v>300</v>
      </c>
    </row>
    <row r="816" spans="2:12">
      <c r="B816" s="86"/>
      <c r="C816" s="983" t="s">
        <v>20</v>
      </c>
      <c r="D816" s="983"/>
      <c r="E816" s="983"/>
      <c r="F816" s="87" t="s">
        <v>22</v>
      </c>
      <c r="G816" s="268" t="s">
        <v>111</v>
      </c>
      <c r="H816" s="87" t="s">
        <v>112</v>
      </c>
      <c r="I816" s="268" t="s">
        <v>113</v>
      </c>
      <c r="J816" s="268" t="s">
        <v>114</v>
      </c>
      <c r="K816" s="89" t="s">
        <v>25</v>
      </c>
      <c r="L816" s="90"/>
    </row>
    <row r="817" spans="2:12">
      <c r="B817" s="86"/>
      <c r="C817" s="984" t="s">
        <v>594</v>
      </c>
      <c r="D817" s="985"/>
      <c r="E817" s="986"/>
      <c r="F817" s="91">
        <v>300</v>
      </c>
      <c r="G817" s="91">
        <v>1</v>
      </c>
      <c r="H817" s="91">
        <v>1</v>
      </c>
      <c r="I817" s="91">
        <v>1</v>
      </c>
      <c r="J817" s="91">
        <v>0</v>
      </c>
      <c r="K817" s="89">
        <f>(G817*H817*I817*F817)-J817</f>
        <v>300</v>
      </c>
      <c r="L817" s="90"/>
    </row>
    <row r="818" spans="2:12">
      <c r="B818" s="86"/>
      <c r="C818" s="987" t="s">
        <v>116</v>
      </c>
      <c r="D818" s="987"/>
      <c r="E818" s="987"/>
      <c r="F818" s="987"/>
      <c r="G818" s="987"/>
      <c r="H818" s="987"/>
      <c r="I818" s="987"/>
      <c r="J818" s="987"/>
      <c r="K818" s="89">
        <f>K817</f>
        <v>300</v>
      </c>
      <c r="L818" s="90"/>
    </row>
    <row r="819" spans="2:12">
      <c r="B819" s="219"/>
      <c r="C819" s="219"/>
      <c r="D819" s="219"/>
      <c r="E819" s="219"/>
      <c r="F819" s="219"/>
      <c r="G819" s="219"/>
      <c r="H819" s="219"/>
      <c r="I819" s="219"/>
      <c r="J819" s="219"/>
      <c r="K819" s="219"/>
      <c r="L819" s="219"/>
    </row>
    <row r="820" spans="2:12">
      <c r="B820" s="86"/>
      <c r="C820" s="211"/>
      <c r="D820" s="211"/>
      <c r="E820" s="211"/>
      <c r="F820" s="211"/>
      <c r="G820" s="211"/>
      <c r="H820" s="211"/>
      <c r="I820" s="211"/>
      <c r="J820" s="211"/>
      <c r="K820" s="212"/>
      <c r="L820" s="90"/>
    </row>
    <row r="821" spans="2:12">
      <c r="B821" s="292" t="s">
        <v>201</v>
      </c>
      <c r="C821" s="1093" t="s">
        <v>63</v>
      </c>
      <c r="D821" s="1093"/>
      <c r="E821" s="1093"/>
      <c r="F821" s="1093"/>
      <c r="G821" s="1093"/>
      <c r="H821" s="1093"/>
      <c r="I821" s="1093"/>
      <c r="J821" s="1093"/>
      <c r="K821" s="293"/>
      <c r="L821" s="293"/>
    </row>
    <row r="822" spans="2:12">
      <c r="B822" s="219"/>
      <c r="C822" s="219"/>
      <c r="D822" s="219"/>
      <c r="E822" s="219"/>
      <c r="F822" s="219"/>
      <c r="G822" s="219"/>
      <c r="H822" s="219"/>
      <c r="I822" s="219"/>
      <c r="J822" s="219"/>
      <c r="K822" s="219"/>
      <c r="L822" s="219"/>
    </row>
    <row r="823" spans="2:12">
      <c r="B823" s="86" t="s">
        <v>64</v>
      </c>
      <c r="C823" s="980" t="s">
        <v>470</v>
      </c>
      <c r="D823" s="981"/>
      <c r="E823" s="981"/>
      <c r="F823" s="981"/>
      <c r="G823" s="981"/>
      <c r="H823" s="981"/>
      <c r="I823" s="981"/>
      <c r="J823" s="982"/>
      <c r="K823" s="97" t="s">
        <v>21</v>
      </c>
      <c r="L823" s="97">
        <f>K826</f>
        <v>6</v>
      </c>
    </row>
    <row r="824" spans="2:12">
      <c r="B824" s="86"/>
      <c r="C824" s="1018" t="s">
        <v>20</v>
      </c>
      <c r="D824" s="1019"/>
      <c r="E824" s="1020"/>
      <c r="F824" s="87" t="s">
        <v>22</v>
      </c>
      <c r="G824" s="268" t="s">
        <v>111</v>
      </c>
      <c r="H824" s="87" t="s">
        <v>112</v>
      </c>
      <c r="I824" s="268" t="s">
        <v>113</v>
      </c>
      <c r="J824" s="268" t="s">
        <v>114</v>
      </c>
      <c r="K824" s="89" t="s">
        <v>25</v>
      </c>
      <c r="L824" s="90"/>
    </row>
    <row r="825" spans="2:12">
      <c r="B825" s="86"/>
      <c r="C825" s="984" t="s">
        <v>237</v>
      </c>
      <c r="D825" s="985"/>
      <c r="E825" s="986"/>
      <c r="F825" s="91">
        <v>6</v>
      </c>
      <c r="G825" s="91">
        <v>0</v>
      </c>
      <c r="H825" s="91">
        <v>0</v>
      </c>
      <c r="I825" s="91">
        <v>0</v>
      </c>
      <c r="J825" s="91">
        <v>0</v>
      </c>
      <c r="K825" s="89">
        <f>F825</f>
        <v>6</v>
      </c>
      <c r="L825" s="90"/>
    </row>
    <row r="826" spans="2:12">
      <c r="B826" s="86"/>
      <c r="C826" s="1014" t="s">
        <v>116</v>
      </c>
      <c r="D826" s="1015"/>
      <c r="E826" s="1015"/>
      <c r="F826" s="1015"/>
      <c r="G826" s="1015"/>
      <c r="H826" s="1015"/>
      <c r="I826" s="1015"/>
      <c r="J826" s="1016"/>
      <c r="K826" s="89">
        <f>K825</f>
        <v>6</v>
      </c>
      <c r="L826" s="90"/>
    </row>
    <row r="827" spans="2:12">
      <c r="B827" s="219"/>
      <c r="C827" s="219"/>
      <c r="D827" s="219"/>
      <c r="E827" s="219"/>
      <c r="F827" s="219"/>
      <c r="G827" s="219"/>
      <c r="H827" s="219"/>
      <c r="I827" s="219"/>
      <c r="J827" s="219"/>
      <c r="K827" s="219"/>
      <c r="L827" s="219"/>
    </row>
    <row r="828" spans="2:12">
      <c r="B828" s="86" t="s">
        <v>101</v>
      </c>
      <c r="C828" s="1024" t="s">
        <v>586</v>
      </c>
      <c r="D828" s="1025"/>
      <c r="E828" s="1025"/>
      <c r="F828" s="1025"/>
      <c r="G828" s="1025"/>
      <c r="H828" s="1025"/>
      <c r="I828" s="1025"/>
      <c r="J828" s="1026"/>
      <c r="K828" s="97" t="s">
        <v>21</v>
      </c>
      <c r="L828" s="97">
        <f>K831</f>
        <v>6</v>
      </c>
    </row>
    <row r="829" spans="2:12">
      <c r="B829" s="86"/>
      <c r="C829" s="1018" t="s">
        <v>20</v>
      </c>
      <c r="D829" s="1019"/>
      <c r="E829" s="1020"/>
      <c r="F829" s="87" t="s">
        <v>22</v>
      </c>
      <c r="G829" s="268" t="s">
        <v>111</v>
      </c>
      <c r="H829" s="87" t="s">
        <v>112</v>
      </c>
      <c r="I829" s="268" t="s">
        <v>113</v>
      </c>
      <c r="J829" s="268" t="s">
        <v>114</v>
      </c>
      <c r="K829" s="89" t="s">
        <v>25</v>
      </c>
      <c r="L829" s="90"/>
    </row>
    <row r="830" spans="2:12" ht="28.5" customHeight="1">
      <c r="B830" s="86"/>
      <c r="C830" s="984" t="s">
        <v>237</v>
      </c>
      <c r="D830" s="985"/>
      <c r="E830" s="986"/>
      <c r="F830" s="91">
        <v>6</v>
      </c>
      <c r="G830" s="91">
        <v>0</v>
      </c>
      <c r="H830" s="91">
        <v>0</v>
      </c>
      <c r="I830" s="91">
        <v>0</v>
      </c>
      <c r="J830" s="91">
        <v>0</v>
      </c>
      <c r="K830" s="89">
        <f>F830</f>
        <v>6</v>
      </c>
      <c r="L830" s="90"/>
    </row>
    <row r="831" spans="2:12">
      <c r="B831" s="86"/>
      <c r="C831" s="1014" t="s">
        <v>116</v>
      </c>
      <c r="D831" s="1015"/>
      <c r="E831" s="1015"/>
      <c r="F831" s="1015"/>
      <c r="G831" s="1015"/>
      <c r="H831" s="1015"/>
      <c r="I831" s="1015"/>
      <c r="J831" s="1016"/>
      <c r="K831" s="89">
        <f>K830</f>
        <v>6</v>
      </c>
      <c r="L831" s="90"/>
    </row>
    <row r="832" spans="2:12">
      <c r="B832" s="219"/>
      <c r="C832" s="219"/>
      <c r="D832" s="219"/>
      <c r="E832" s="219"/>
      <c r="F832" s="219"/>
      <c r="G832" s="219"/>
      <c r="H832" s="219"/>
      <c r="I832" s="219"/>
      <c r="J832" s="219"/>
      <c r="K832" s="219"/>
      <c r="L832" s="219"/>
    </row>
    <row r="833" spans="2:12">
      <c r="B833" s="86" t="s">
        <v>429</v>
      </c>
      <c r="C833" s="980" t="s">
        <v>102</v>
      </c>
      <c r="D833" s="981"/>
      <c r="E833" s="981"/>
      <c r="F833" s="981"/>
      <c r="G833" s="981"/>
      <c r="H833" s="981"/>
      <c r="I833" s="981"/>
      <c r="J833" s="982"/>
      <c r="K833" s="97" t="s">
        <v>21</v>
      </c>
      <c r="L833" s="97">
        <f>K836</f>
        <v>11</v>
      </c>
    </row>
    <row r="834" spans="2:12">
      <c r="B834" s="86"/>
      <c r="C834" s="983" t="s">
        <v>20</v>
      </c>
      <c r="D834" s="983"/>
      <c r="E834" s="983"/>
      <c r="F834" s="87" t="s">
        <v>22</v>
      </c>
      <c r="G834" s="268" t="s">
        <v>111</v>
      </c>
      <c r="H834" s="87" t="s">
        <v>112</v>
      </c>
      <c r="I834" s="268" t="s">
        <v>113</v>
      </c>
      <c r="J834" s="268" t="s">
        <v>114</v>
      </c>
      <c r="K834" s="89" t="s">
        <v>25</v>
      </c>
      <c r="L834" s="90"/>
    </row>
    <row r="835" spans="2:12">
      <c r="B835" s="86"/>
      <c r="C835" s="984" t="s">
        <v>237</v>
      </c>
      <c r="D835" s="985"/>
      <c r="E835" s="986"/>
      <c r="F835" s="91">
        <v>11</v>
      </c>
      <c r="G835" s="91">
        <v>0</v>
      </c>
      <c r="H835" s="91">
        <v>0</v>
      </c>
      <c r="I835" s="91">
        <v>0</v>
      </c>
      <c r="J835" s="91">
        <v>0</v>
      </c>
      <c r="K835" s="89">
        <f>F835</f>
        <v>11</v>
      </c>
      <c r="L835" s="90"/>
    </row>
    <row r="836" spans="2:12">
      <c r="B836" s="86"/>
      <c r="C836" s="987" t="s">
        <v>116</v>
      </c>
      <c r="D836" s="987"/>
      <c r="E836" s="987"/>
      <c r="F836" s="987"/>
      <c r="G836" s="987"/>
      <c r="H836" s="987"/>
      <c r="I836" s="987"/>
      <c r="J836" s="987"/>
      <c r="K836" s="89">
        <f>K835</f>
        <v>11</v>
      </c>
      <c r="L836" s="90"/>
    </row>
    <row r="837" spans="2:12">
      <c r="B837" s="86"/>
      <c r="C837" s="211"/>
      <c r="D837" s="211"/>
      <c r="E837" s="211"/>
      <c r="F837" s="211"/>
      <c r="G837" s="211"/>
      <c r="H837" s="211"/>
      <c r="I837" s="211"/>
      <c r="J837" s="211"/>
      <c r="K837" s="212"/>
      <c r="L837" s="90"/>
    </row>
    <row r="838" spans="2:12" ht="29.25" customHeight="1">
      <c r="B838" s="86" t="s">
        <v>546</v>
      </c>
      <c r="C838" s="980" t="s">
        <v>542</v>
      </c>
      <c r="D838" s="981"/>
      <c r="E838" s="981"/>
      <c r="F838" s="981"/>
      <c r="G838" s="981"/>
      <c r="H838" s="981"/>
      <c r="I838" s="981"/>
      <c r="J838" s="982"/>
      <c r="K838" s="97" t="s">
        <v>21</v>
      </c>
      <c r="L838" s="97">
        <f>K841</f>
        <v>2</v>
      </c>
    </row>
    <row r="839" spans="2:12">
      <c r="B839" s="86"/>
      <c r="C839" s="983" t="s">
        <v>20</v>
      </c>
      <c r="D839" s="983"/>
      <c r="E839" s="983"/>
      <c r="F839" s="87" t="s">
        <v>22</v>
      </c>
      <c r="G839" s="268" t="s">
        <v>111</v>
      </c>
      <c r="H839" s="87" t="s">
        <v>112</v>
      </c>
      <c r="I839" s="268" t="s">
        <v>113</v>
      </c>
      <c r="J839" s="268" t="s">
        <v>114</v>
      </c>
      <c r="K839" s="89" t="s">
        <v>25</v>
      </c>
      <c r="L839" s="90"/>
    </row>
    <row r="840" spans="2:12">
      <c r="B840" s="86"/>
      <c r="C840" s="984" t="s">
        <v>237</v>
      </c>
      <c r="D840" s="985"/>
      <c r="E840" s="986"/>
      <c r="F840" s="91">
        <v>2</v>
      </c>
      <c r="G840" s="91">
        <v>0</v>
      </c>
      <c r="H840" s="91">
        <v>0</v>
      </c>
      <c r="I840" s="91">
        <v>0</v>
      </c>
      <c r="J840" s="91">
        <v>0</v>
      </c>
      <c r="K840" s="89">
        <f>F840</f>
        <v>2</v>
      </c>
      <c r="L840" s="90"/>
    </row>
    <row r="841" spans="2:12">
      <c r="B841" s="86"/>
      <c r="C841" s="987" t="s">
        <v>116</v>
      </c>
      <c r="D841" s="987"/>
      <c r="E841" s="987"/>
      <c r="F841" s="987"/>
      <c r="G841" s="987"/>
      <c r="H841" s="987"/>
      <c r="I841" s="987"/>
      <c r="J841" s="987"/>
      <c r="K841" s="89">
        <f>K840</f>
        <v>2</v>
      </c>
      <c r="L841" s="90"/>
    </row>
    <row r="842" spans="2:12">
      <c r="B842" s="86"/>
      <c r="C842" s="211"/>
      <c r="D842" s="211"/>
      <c r="E842" s="211"/>
      <c r="F842" s="211"/>
      <c r="G842" s="211"/>
      <c r="H842" s="211"/>
      <c r="I842" s="211"/>
      <c r="J842" s="211"/>
      <c r="K842" s="212"/>
      <c r="L842" s="90"/>
    </row>
    <row r="843" spans="2:12" ht="30.75" customHeight="1">
      <c r="B843" s="86" t="s">
        <v>547</v>
      </c>
      <c r="C843" s="980" t="s">
        <v>431</v>
      </c>
      <c r="D843" s="981"/>
      <c r="E843" s="981"/>
      <c r="F843" s="981"/>
      <c r="G843" s="981"/>
      <c r="H843" s="981"/>
      <c r="I843" s="981"/>
      <c r="J843" s="982"/>
      <c r="K843" s="97" t="s">
        <v>21</v>
      </c>
      <c r="L843" s="97">
        <f>K846</f>
        <v>10</v>
      </c>
    </row>
    <row r="844" spans="2:12">
      <c r="B844" s="86"/>
      <c r="C844" s="983" t="s">
        <v>20</v>
      </c>
      <c r="D844" s="983"/>
      <c r="E844" s="983"/>
      <c r="F844" s="87" t="s">
        <v>22</v>
      </c>
      <c r="G844" s="268" t="s">
        <v>111</v>
      </c>
      <c r="H844" s="87" t="s">
        <v>112</v>
      </c>
      <c r="I844" s="268" t="s">
        <v>113</v>
      </c>
      <c r="J844" s="268" t="s">
        <v>114</v>
      </c>
      <c r="K844" s="89" t="s">
        <v>25</v>
      </c>
      <c r="L844" s="90"/>
    </row>
    <row r="845" spans="2:12">
      <c r="B845" s="86"/>
      <c r="C845" s="984" t="s">
        <v>237</v>
      </c>
      <c r="D845" s="985"/>
      <c r="E845" s="986"/>
      <c r="F845" s="91">
        <v>10</v>
      </c>
      <c r="G845" s="91">
        <v>0</v>
      </c>
      <c r="H845" s="91">
        <v>0</v>
      </c>
      <c r="I845" s="91">
        <v>0</v>
      </c>
      <c r="J845" s="91">
        <v>0</v>
      </c>
      <c r="K845" s="89">
        <f>F845</f>
        <v>10</v>
      </c>
      <c r="L845" s="90"/>
    </row>
    <row r="846" spans="2:12">
      <c r="B846" s="86"/>
      <c r="C846" s="987" t="s">
        <v>116</v>
      </c>
      <c r="D846" s="987"/>
      <c r="E846" s="987"/>
      <c r="F846" s="987"/>
      <c r="G846" s="987"/>
      <c r="H846" s="987"/>
      <c r="I846" s="987"/>
      <c r="J846" s="987"/>
      <c r="K846" s="89">
        <f>K845</f>
        <v>10</v>
      </c>
      <c r="L846" s="90"/>
    </row>
    <row r="847" spans="2:12">
      <c r="B847" s="86"/>
      <c r="C847" s="211"/>
      <c r="D847" s="211"/>
      <c r="E847" s="211"/>
      <c r="F847" s="211"/>
      <c r="G847" s="211"/>
      <c r="H847" s="211"/>
      <c r="I847" s="211"/>
      <c r="J847" s="211"/>
      <c r="K847" s="212"/>
      <c r="L847" s="90"/>
    </row>
    <row r="848" spans="2:12">
      <c r="B848" s="292" t="s">
        <v>630</v>
      </c>
      <c r="C848" s="1093" t="s">
        <v>442</v>
      </c>
      <c r="D848" s="1093"/>
      <c r="E848" s="1093"/>
      <c r="F848" s="1093"/>
      <c r="G848" s="1093"/>
      <c r="H848" s="1093"/>
      <c r="I848" s="1093"/>
      <c r="J848" s="1093"/>
      <c r="K848" s="293"/>
      <c r="L848" s="293"/>
    </row>
    <row r="849" spans="2:12">
      <c r="B849" s="86"/>
      <c r="C849" s="211"/>
      <c r="D849" s="211"/>
      <c r="E849" s="211"/>
      <c r="F849" s="211"/>
      <c r="G849" s="211"/>
      <c r="H849" s="211"/>
      <c r="I849" s="211"/>
      <c r="J849" s="211"/>
      <c r="K849" s="212"/>
      <c r="L849" s="90"/>
    </row>
    <row r="850" spans="2:12" ht="30" customHeight="1">
      <c r="B850" s="86" t="s">
        <v>68</v>
      </c>
      <c r="C850" s="980" t="s">
        <v>428</v>
      </c>
      <c r="D850" s="981"/>
      <c r="E850" s="981"/>
      <c r="F850" s="981"/>
      <c r="G850" s="981"/>
      <c r="H850" s="981"/>
      <c r="I850" s="981"/>
      <c r="J850" s="982"/>
      <c r="K850" s="97" t="s">
        <v>21</v>
      </c>
      <c r="L850" s="97">
        <f>K853</f>
        <v>5</v>
      </c>
    </row>
    <row r="851" spans="2:12">
      <c r="B851" s="86"/>
      <c r="C851" s="983" t="s">
        <v>20</v>
      </c>
      <c r="D851" s="983"/>
      <c r="E851" s="983"/>
      <c r="F851" s="87" t="s">
        <v>22</v>
      </c>
      <c r="G851" s="268" t="s">
        <v>111</v>
      </c>
      <c r="H851" s="87" t="s">
        <v>112</v>
      </c>
      <c r="I851" s="268" t="s">
        <v>113</v>
      </c>
      <c r="J851" s="268" t="s">
        <v>114</v>
      </c>
      <c r="K851" s="89" t="s">
        <v>25</v>
      </c>
      <c r="L851" s="90"/>
    </row>
    <row r="852" spans="2:12">
      <c r="B852" s="86"/>
      <c r="C852" s="984" t="s">
        <v>458</v>
      </c>
      <c r="D852" s="985"/>
      <c r="E852" s="986"/>
      <c r="F852" s="91">
        <v>5</v>
      </c>
      <c r="G852" s="91">
        <v>0</v>
      </c>
      <c r="H852" s="91">
        <v>0</v>
      </c>
      <c r="I852" s="91">
        <v>0</v>
      </c>
      <c r="J852" s="91">
        <v>0</v>
      </c>
      <c r="K852" s="89">
        <f>F852</f>
        <v>5</v>
      </c>
      <c r="L852" s="90"/>
    </row>
    <row r="853" spans="2:12">
      <c r="B853" s="86"/>
      <c r="C853" s="987" t="s">
        <v>116</v>
      </c>
      <c r="D853" s="987"/>
      <c r="E853" s="987"/>
      <c r="F853" s="987"/>
      <c r="G853" s="987"/>
      <c r="H853" s="987"/>
      <c r="I853" s="987"/>
      <c r="J853" s="987"/>
      <c r="K853" s="89">
        <f>K852</f>
        <v>5</v>
      </c>
      <c r="L853" s="90"/>
    </row>
    <row r="854" spans="2:12">
      <c r="B854" s="86"/>
      <c r="C854" s="211"/>
      <c r="D854" s="211"/>
      <c r="E854" s="211"/>
      <c r="F854" s="211"/>
      <c r="G854" s="211"/>
      <c r="H854" s="211"/>
      <c r="I854" s="211"/>
      <c r="J854" s="211"/>
      <c r="K854" s="212"/>
      <c r="L854" s="90"/>
    </row>
    <row r="855" spans="2:12">
      <c r="B855" s="86" t="s">
        <v>202</v>
      </c>
      <c r="C855" s="980" t="s">
        <v>71</v>
      </c>
      <c r="D855" s="981"/>
      <c r="E855" s="981"/>
      <c r="F855" s="981"/>
      <c r="G855" s="981"/>
      <c r="H855" s="981"/>
      <c r="I855" s="981"/>
      <c r="J855" s="982"/>
      <c r="K855" s="97" t="s">
        <v>21</v>
      </c>
      <c r="L855" s="97">
        <f>K858</f>
        <v>10</v>
      </c>
    </row>
    <row r="856" spans="2:12" ht="15.75" customHeight="1">
      <c r="B856" s="86"/>
      <c r="C856" s="983" t="s">
        <v>20</v>
      </c>
      <c r="D856" s="983"/>
      <c r="E856" s="983"/>
      <c r="F856" s="87" t="s">
        <v>22</v>
      </c>
      <c r="G856" s="268" t="s">
        <v>111</v>
      </c>
      <c r="H856" s="87" t="s">
        <v>112</v>
      </c>
      <c r="I856" s="268" t="s">
        <v>113</v>
      </c>
      <c r="J856" s="268" t="s">
        <v>114</v>
      </c>
      <c r="K856" s="89" t="s">
        <v>25</v>
      </c>
      <c r="L856" s="90"/>
    </row>
    <row r="857" spans="2:12">
      <c r="B857" s="86"/>
      <c r="C857" s="984" t="s">
        <v>591</v>
      </c>
      <c r="D857" s="985"/>
      <c r="E857" s="986"/>
      <c r="F857" s="91">
        <v>10</v>
      </c>
      <c r="G857" s="91">
        <v>0</v>
      </c>
      <c r="H857" s="91">
        <v>0</v>
      </c>
      <c r="I857" s="91">
        <v>0</v>
      </c>
      <c r="J857" s="91">
        <v>0</v>
      </c>
      <c r="K857" s="89">
        <f>F857</f>
        <v>10</v>
      </c>
      <c r="L857" s="90"/>
    </row>
    <row r="858" spans="2:12">
      <c r="B858" s="86"/>
      <c r="C858" s="987" t="s">
        <v>116</v>
      </c>
      <c r="D858" s="987"/>
      <c r="E858" s="987"/>
      <c r="F858" s="987"/>
      <c r="G858" s="987"/>
      <c r="H858" s="987"/>
      <c r="I858" s="987"/>
      <c r="J858" s="987"/>
      <c r="K858" s="89">
        <f>K857</f>
        <v>10</v>
      </c>
      <c r="L858" s="90"/>
    </row>
    <row r="859" spans="2:12">
      <c r="B859" s="219"/>
      <c r="C859" s="219"/>
      <c r="D859" s="219"/>
      <c r="E859" s="219"/>
      <c r="F859" s="219"/>
      <c r="G859" s="219"/>
      <c r="H859" s="219"/>
      <c r="I859" s="219"/>
      <c r="J859" s="219"/>
      <c r="K859" s="219"/>
      <c r="L859" s="219"/>
    </row>
    <row r="860" spans="2:12">
      <c r="B860" s="86" t="s">
        <v>525</v>
      </c>
      <c r="C860" s="980" t="s">
        <v>424</v>
      </c>
      <c r="D860" s="981"/>
      <c r="E860" s="981"/>
      <c r="F860" s="981"/>
      <c r="G860" s="981"/>
      <c r="H860" s="981"/>
      <c r="I860" s="981"/>
      <c r="J860" s="982"/>
      <c r="K860" s="97" t="s">
        <v>21</v>
      </c>
      <c r="L860" s="97">
        <f>K863</f>
        <v>33</v>
      </c>
    </row>
    <row r="861" spans="2:12">
      <c r="B861" s="86"/>
      <c r="C861" s="983" t="s">
        <v>20</v>
      </c>
      <c r="D861" s="983"/>
      <c r="E861" s="983"/>
      <c r="F861" s="87" t="s">
        <v>22</v>
      </c>
      <c r="G861" s="268" t="s">
        <v>111</v>
      </c>
      <c r="H861" s="87" t="s">
        <v>112</v>
      </c>
      <c r="I861" s="268" t="s">
        <v>113</v>
      </c>
      <c r="J861" s="268" t="s">
        <v>114</v>
      </c>
      <c r="K861" s="89" t="s">
        <v>25</v>
      </c>
      <c r="L861" s="90"/>
    </row>
    <row r="862" spans="2:12" ht="30.75" customHeight="1">
      <c r="B862" s="86"/>
      <c r="C862" s="984" t="s">
        <v>590</v>
      </c>
      <c r="D862" s="985"/>
      <c r="E862" s="986"/>
      <c r="F862" s="91">
        <v>33</v>
      </c>
      <c r="G862" s="91">
        <v>0</v>
      </c>
      <c r="H862" s="91">
        <v>0</v>
      </c>
      <c r="I862" s="91">
        <v>0</v>
      </c>
      <c r="J862" s="91">
        <v>0</v>
      </c>
      <c r="K862" s="89">
        <f>F862</f>
        <v>33</v>
      </c>
      <c r="L862" s="90"/>
    </row>
    <row r="863" spans="2:12" ht="20.25" customHeight="1">
      <c r="B863" s="86"/>
      <c r="C863" s="987" t="s">
        <v>116</v>
      </c>
      <c r="D863" s="987"/>
      <c r="E863" s="987"/>
      <c r="F863" s="987"/>
      <c r="G863" s="987"/>
      <c r="H863" s="987"/>
      <c r="I863" s="987"/>
      <c r="J863" s="987"/>
      <c r="K863" s="89">
        <f>K862</f>
        <v>33</v>
      </c>
      <c r="L863" s="90"/>
    </row>
    <row r="864" spans="2:12" ht="20.25" customHeight="1">
      <c r="B864" s="86"/>
      <c r="C864" s="211"/>
      <c r="D864" s="211"/>
      <c r="E864" s="211"/>
      <c r="F864" s="211"/>
      <c r="G864" s="211"/>
      <c r="H864" s="211"/>
      <c r="I864" s="211"/>
      <c r="J864" s="211"/>
      <c r="K864" s="212"/>
      <c r="L864" s="90"/>
    </row>
    <row r="865" spans="2:12" ht="30.75" customHeight="1">
      <c r="B865" s="86" t="s">
        <v>549</v>
      </c>
      <c r="C865" s="980" t="s">
        <v>426</v>
      </c>
      <c r="D865" s="981"/>
      <c r="E865" s="981"/>
      <c r="F865" s="981"/>
      <c r="G865" s="981"/>
      <c r="H865" s="981"/>
      <c r="I865" s="981"/>
      <c r="J865" s="982"/>
      <c r="K865" s="97" t="s">
        <v>21</v>
      </c>
      <c r="L865" s="97">
        <f>K868</f>
        <v>2</v>
      </c>
    </row>
    <row r="866" spans="2:12" ht="20.25" customHeight="1">
      <c r="B866" s="86"/>
      <c r="C866" s="983" t="s">
        <v>20</v>
      </c>
      <c r="D866" s="983"/>
      <c r="E866" s="983"/>
      <c r="F866" s="87" t="s">
        <v>22</v>
      </c>
      <c r="G866" s="268" t="s">
        <v>111</v>
      </c>
      <c r="H866" s="87" t="s">
        <v>112</v>
      </c>
      <c r="I866" s="268" t="s">
        <v>113</v>
      </c>
      <c r="J866" s="268" t="s">
        <v>114</v>
      </c>
      <c r="K866" s="89" t="s">
        <v>25</v>
      </c>
      <c r="L866" s="90"/>
    </row>
    <row r="867" spans="2:12" ht="20.25" customHeight="1">
      <c r="B867" s="86"/>
      <c r="C867" s="984" t="s">
        <v>338</v>
      </c>
      <c r="D867" s="985"/>
      <c r="E867" s="986"/>
      <c r="F867" s="91">
        <v>2</v>
      </c>
      <c r="G867" s="91">
        <v>0</v>
      </c>
      <c r="H867" s="91">
        <v>0</v>
      </c>
      <c r="I867" s="91">
        <v>0</v>
      </c>
      <c r="J867" s="91">
        <v>0</v>
      </c>
      <c r="K867" s="89">
        <f>F867</f>
        <v>2</v>
      </c>
      <c r="L867" s="90"/>
    </row>
    <row r="868" spans="2:12" ht="20.25" customHeight="1">
      <c r="B868" s="86"/>
      <c r="C868" s="987" t="s">
        <v>116</v>
      </c>
      <c r="D868" s="987"/>
      <c r="E868" s="987"/>
      <c r="F868" s="987"/>
      <c r="G868" s="987"/>
      <c r="H868" s="987"/>
      <c r="I868" s="987"/>
      <c r="J868" s="987"/>
      <c r="K868" s="89">
        <f>K867</f>
        <v>2</v>
      </c>
      <c r="L868" s="90"/>
    </row>
    <row r="869" spans="2:12" ht="20.25" customHeight="1">
      <c r="B869" s="336"/>
      <c r="C869" s="211"/>
      <c r="D869" s="211"/>
      <c r="E869" s="211"/>
      <c r="F869" s="211"/>
      <c r="G869" s="211"/>
      <c r="H869" s="211"/>
      <c r="I869" s="211"/>
      <c r="J869" s="211"/>
      <c r="K869" s="212"/>
      <c r="L869" s="90"/>
    </row>
    <row r="870" spans="2:12" ht="20.25" customHeight="1">
      <c r="B870" s="292" t="s">
        <v>72</v>
      </c>
      <c r="C870" s="1093" t="s">
        <v>516</v>
      </c>
      <c r="D870" s="1093"/>
      <c r="E870" s="1093"/>
      <c r="F870" s="1093"/>
      <c r="G870" s="1093"/>
      <c r="H870" s="1093"/>
      <c r="I870" s="1093"/>
      <c r="J870" s="1093"/>
      <c r="K870" s="293"/>
      <c r="L870" s="293"/>
    </row>
    <row r="871" spans="2:12" ht="28.5" customHeight="1">
      <c r="B871" s="336" t="s">
        <v>75</v>
      </c>
      <c r="C871" s="980" t="s">
        <v>527</v>
      </c>
      <c r="D871" s="981"/>
      <c r="E871" s="981"/>
      <c r="F871" s="981"/>
      <c r="G871" s="981"/>
      <c r="H871" s="981"/>
      <c r="I871" s="981"/>
      <c r="J871" s="982"/>
      <c r="K871" s="97" t="s">
        <v>7</v>
      </c>
      <c r="L871" s="97">
        <f>K874</f>
        <v>25</v>
      </c>
    </row>
    <row r="872" spans="2:12" ht="20.25" customHeight="1">
      <c r="B872" s="336"/>
      <c r="C872" s="983" t="s">
        <v>20</v>
      </c>
      <c r="D872" s="983"/>
      <c r="E872" s="983"/>
      <c r="F872" s="87" t="s">
        <v>22</v>
      </c>
      <c r="G872" s="333" t="s">
        <v>111</v>
      </c>
      <c r="H872" s="87" t="s">
        <v>112</v>
      </c>
      <c r="I872" s="333" t="s">
        <v>113</v>
      </c>
      <c r="J872" s="333" t="s">
        <v>114</v>
      </c>
      <c r="K872" s="89" t="s">
        <v>25</v>
      </c>
      <c r="L872" s="90"/>
    </row>
    <row r="873" spans="2:12" ht="20.25" customHeight="1">
      <c r="B873" s="336"/>
      <c r="C873" s="984" t="s">
        <v>595</v>
      </c>
      <c r="D873" s="985"/>
      <c r="E873" s="986"/>
      <c r="F873" s="91">
        <v>1</v>
      </c>
      <c r="G873" s="91">
        <v>5</v>
      </c>
      <c r="H873" s="91">
        <v>5</v>
      </c>
      <c r="I873" s="91">
        <v>1</v>
      </c>
      <c r="J873" s="91">
        <v>0</v>
      </c>
      <c r="K873" s="89">
        <f>(G873*H873*I873*F873)-J873</f>
        <v>25</v>
      </c>
      <c r="L873" s="90"/>
    </row>
    <row r="874" spans="2:12" ht="20.25" customHeight="1">
      <c r="B874" s="336"/>
      <c r="C874" s="987" t="s">
        <v>116</v>
      </c>
      <c r="D874" s="987"/>
      <c r="E874" s="987"/>
      <c r="F874" s="987"/>
      <c r="G874" s="987"/>
      <c r="H874" s="987"/>
      <c r="I874" s="987"/>
      <c r="J874" s="987"/>
      <c r="K874" s="89">
        <f>K873</f>
        <v>25</v>
      </c>
      <c r="L874" s="90"/>
    </row>
    <row r="875" spans="2:12" ht="20.25" customHeight="1">
      <c r="B875" s="336"/>
      <c r="C875" s="211"/>
      <c r="D875" s="211"/>
      <c r="E875" s="211"/>
      <c r="F875" s="211"/>
      <c r="G875" s="211"/>
      <c r="H875" s="211"/>
      <c r="I875" s="211"/>
      <c r="J875" s="211"/>
      <c r="K875" s="212"/>
      <c r="L875" s="90"/>
    </row>
    <row r="876" spans="2:12">
      <c r="B876" s="292" t="s">
        <v>632</v>
      </c>
      <c r="C876" s="1093" t="s">
        <v>73</v>
      </c>
      <c r="D876" s="1093"/>
      <c r="E876" s="1093"/>
      <c r="F876" s="1093"/>
      <c r="G876" s="1093"/>
      <c r="H876" s="1093"/>
      <c r="I876" s="1093"/>
      <c r="J876" s="1093"/>
      <c r="K876" s="293"/>
      <c r="L876" s="293"/>
    </row>
    <row r="877" spans="2:12">
      <c r="B877" s="86" t="s">
        <v>629</v>
      </c>
      <c r="C877" s="980" t="s">
        <v>609</v>
      </c>
      <c r="D877" s="981"/>
      <c r="E877" s="981"/>
      <c r="F877" s="981"/>
      <c r="G877" s="981"/>
      <c r="H877" s="981"/>
      <c r="I877" s="981"/>
      <c r="J877" s="982"/>
      <c r="K877" s="97" t="s">
        <v>7</v>
      </c>
      <c r="L877" s="97">
        <f>K880</f>
        <v>200</v>
      </c>
    </row>
    <row r="878" spans="2:12">
      <c r="B878" s="86"/>
      <c r="C878" s="983" t="s">
        <v>20</v>
      </c>
      <c r="D878" s="983"/>
      <c r="E878" s="983"/>
      <c r="F878" s="87" t="s">
        <v>22</v>
      </c>
      <c r="G878" s="268" t="s">
        <v>111</v>
      </c>
      <c r="H878" s="87" t="s">
        <v>112</v>
      </c>
      <c r="I878" s="268" t="s">
        <v>113</v>
      </c>
      <c r="J878" s="268" t="s">
        <v>114</v>
      </c>
      <c r="K878" s="89" t="s">
        <v>25</v>
      </c>
      <c r="L878" s="90"/>
    </row>
    <row r="879" spans="2:12">
      <c r="B879" s="392"/>
      <c r="C879" s="984" t="s">
        <v>640</v>
      </c>
      <c r="D879" s="985"/>
      <c r="E879" s="986"/>
      <c r="F879" s="91">
        <v>1</v>
      </c>
      <c r="G879" s="91">
        <v>5</v>
      </c>
      <c r="H879" s="91">
        <v>40</v>
      </c>
      <c r="I879" s="91">
        <v>1</v>
      </c>
      <c r="J879" s="91">
        <v>0</v>
      </c>
      <c r="K879" s="89">
        <f>(G879*H879*I879*F879)-J879</f>
        <v>200</v>
      </c>
      <c r="L879" s="90"/>
    </row>
    <row r="880" spans="2:12">
      <c r="B880" s="86"/>
      <c r="C880" s="987" t="s">
        <v>116</v>
      </c>
      <c r="D880" s="987"/>
      <c r="E880" s="987"/>
      <c r="F880" s="987"/>
      <c r="G880" s="987"/>
      <c r="H880" s="987"/>
      <c r="I880" s="987"/>
      <c r="J880" s="987"/>
      <c r="K880" s="89">
        <f>K879</f>
        <v>200</v>
      </c>
      <c r="L880" s="90"/>
    </row>
  </sheetData>
  <mergeCells count="731">
    <mergeCell ref="C712:E712"/>
    <mergeCell ref="C713:E713"/>
    <mergeCell ref="C714:J714"/>
    <mergeCell ref="C703:E703"/>
    <mergeCell ref="C704:E704"/>
    <mergeCell ref="C705:E705"/>
    <mergeCell ref="C706:E706"/>
    <mergeCell ref="C707:E707"/>
    <mergeCell ref="C708:E708"/>
    <mergeCell ref="C709:E709"/>
    <mergeCell ref="C710:E710"/>
    <mergeCell ref="C711:E711"/>
    <mergeCell ref="C694:E694"/>
    <mergeCell ref="C695:E695"/>
    <mergeCell ref="C696:E696"/>
    <mergeCell ref="C697:E697"/>
    <mergeCell ref="C698:E698"/>
    <mergeCell ref="C699:E699"/>
    <mergeCell ref="C700:E700"/>
    <mergeCell ref="C701:E701"/>
    <mergeCell ref="C702:E702"/>
    <mergeCell ref="C825:E825"/>
    <mergeCell ref="C826:J826"/>
    <mergeCell ref="C828:J828"/>
    <mergeCell ref="C829:E829"/>
    <mergeCell ref="C830:E830"/>
    <mergeCell ref="C831:J831"/>
    <mergeCell ref="C821:J821"/>
    <mergeCell ref="C823:J823"/>
    <mergeCell ref="C824:E824"/>
    <mergeCell ref="C876:J876"/>
    <mergeCell ref="C877:J877"/>
    <mergeCell ref="C878:E878"/>
    <mergeCell ref="C880:J880"/>
    <mergeCell ref="C858:J858"/>
    <mergeCell ref="C860:J860"/>
    <mergeCell ref="C861:E861"/>
    <mergeCell ref="C862:E862"/>
    <mergeCell ref="C863:J863"/>
    <mergeCell ref="C865:J865"/>
    <mergeCell ref="C866:E866"/>
    <mergeCell ref="C867:E867"/>
    <mergeCell ref="C868:J868"/>
    <mergeCell ref="C874:J874"/>
    <mergeCell ref="C879:E879"/>
    <mergeCell ref="C851:E851"/>
    <mergeCell ref="C852:E852"/>
    <mergeCell ref="C853:J853"/>
    <mergeCell ref="C855:J855"/>
    <mergeCell ref="C856:E856"/>
    <mergeCell ref="C857:E857"/>
    <mergeCell ref="C833:J833"/>
    <mergeCell ref="C834:E834"/>
    <mergeCell ref="C835:E835"/>
    <mergeCell ref="C836:J836"/>
    <mergeCell ref="C848:J848"/>
    <mergeCell ref="C850:J850"/>
    <mergeCell ref="C839:E839"/>
    <mergeCell ref="C840:E840"/>
    <mergeCell ref="C841:J841"/>
    <mergeCell ref="C843:J843"/>
    <mergeCell ref="C844:E844"/>
    <mergeCell ref="C845:E845"/>
    <mergeCell ref="C846:J846"/>
    <mergeCell ref="C838:J838"/>
    <mergeCell ref="C817:E817"/>
    <mergeCell ref="C818:J818"/>
    <mergeCell ref="C799:J799"/>
    <mergeCell ref="B800:L800"/>
    <mergeCell ref="C801:J801"/>
    <mergeCell ref="C802:E802"/>
    <mergeCell ref="C803:E803"/>
    <mergeCell ref="C794:J794"/>
    <mergeCell ref="C795:E795"/>
    <mergeCell ref="C796:E796"/>
    <mergeCell ref="C797:J797"/>
    <mergeCell ref="C810:E810"/>
    <mergeCell ref="C811:E811"/>
    <mergeCell ref="C812:E812"/>
    <mergeCell ref="C806:J806"/>
    <mergeCell ref="C807:E807"/>
    <mergeCell ref="C808:E808"/>
    <mergeCell ref="C809:E809"/>
    <mergeCell ref="C813:J813"/>
    <mergeCell ref="C804:J804"/>
    <mergeCell ref="C815:J815"/>
    <mergeCell ref="C816:E816"/>
    <mergeCell ref="C768:E768"/>
    <mergeCell ref="C769:E769"/>
    <mergeCell ref="C770:J770"/>
    <mergeCell ref="C790:E790"/>
    <mergeCell ref="C791:E791"/>
    <mergeCell ref="C792:J792"/>
    <mergeCell ref="C773:J773"/>
    <mergeCell ref="C774:E774"/>
    <mergeCell ref="C775:E775"/>
    <mergeCell ref="C776:J776"/>
    <mergeCell ref="C789:J789"/>
    <mergeCell ref="C780:E780"/>
    <mergeCell ref="C779:J779"/>
    <mergeCell ref="C781:E781"/>
    <mergeCell ref="C782:J782"/>
    <mergeCell ref="C784:J784"/>
    <mergeCell ref="C785:E785"/>
    <mergeCell ref="C786:E786"/>
    <mergeCell ref="C787:J787"/>
    <mergeCell ref="C754:J754"/>
    <mergeCell ref="C755:E755"/>
    <mergeCell ref="C756:E756"/>
    <mergeCell ref="C757:J757"/>
    <mergeCell ref="C765:J765"/>
    <mergeCell ref="C767:J767"/>
    <mergeCell ref="C750:E750"/>
    <mergeCell ref="C751:E751"/>
    <mergeCell ref="C752:J752"/>
    <mergeCell ref="C746:E746"/>
    <mergeCell ref="C747:J747"/>
    <mergeCell ref="C749:J749"/>
    <mergeCell ref="C733:E733"/>
    <mergeCell ref="C734:E734"/>
    <mergeCell ref="C735:J735"/>
    <mergeCell ref="C742:J742"/>
    <mergeCell ref="C744:J744"/>
    <mergeCell ref="C745:E745"/>
    <mergeCell ref="C737:J737"/>
    <mergeCell ref="C738:E738"/>
    <mergeCell ref="C739:E739"/>
    <mergeCell ref="C740:J740"/>
    <mergeCell ref="C718:J718"/>
    <mergeCell ref="C719:E719"/>
    <mergeCell ref="C720:E720"/>
    <mergeCell ref="C724:E724"/>
    <mergeCell ref="C725:J725"/>
    <mergeCell ref="C732:J732"/>
    <mergeCell ref="C728:E728"/>
    <mergeCell ref="C729:E729"/>
    <mergeCell ref="C682:J682"/>
    <mergeCell ref="C727:J727"/>
    <mergeCell ref="C730:J730"/>
    <mergeCell ref="C721:E721"/>
    <mergeCell ref="C722:E722"/>
    <mergeCell ref="C723:E723"/>
    <mergeCell ref="C684:J684"/>
    <mergeCell ref="C685:E685"/>
    <mergeCell ref="C686:E686"/>
    <mergeCell ref="C687:E687"/>
    <mergeCell ref="C688:E688"/>
    <mergeCell ref="C689:E689"/>
    <mergeCell ref="C690:E690"/>
    <mergeCell ref="C691:E691"/>
    <mergeCell ref="C692:E692"/>
    <mergeCell ref="C693:E693"/>
    <mergeCell ref="C678:E678"/>
    <mergeCell ref="C679:E679"/>
    <mergeCell ref="C680:E680"/>
    <mergeCell ref="C681:E681"/>
    <mergeCell ref="C672:E672"/>
    <mergeCell ref="C673:E673"/>
    <mergeCell ref="C674:E674"/>
    <mergeCell ref="C675:E675"/>
    <mergeCell ref="C676:E676"/>
    <mergeCell ref="C677:E677"/>
    <mergeCell ref="C666:E666"/>
    <mergeCell ref="C667:E667"/>
    <mergeCell ref="C668:E668"/>
    <mergeCell ref="C669:E669"/>
    <mergeCell ref="C670:E670"/>
    <mergeCell ref="C671:E671"/>
    <mergeCell ref="C660:E660"/>
    <mergeCell ref="C661:E661"/>
    <mergeCell ref="C662:E662"/>
    <mergeCell ref="C663:E663"/>
    <mergeCell ref="C664:E664"/>
    <mergeCell ref="C665:E665"/>
    <mergeCell ref="C654:E654"/>
    <mergeCell ref="C655:E655"/>
    <mergeCell ref="C656:E656"/>
    <mergeCell ref="C657:E657"/>
    <mergeCell ref="C658:E658"/>
    <mergeCell ref="C659:E659"/>
    <mergeCell ref="C649:E649"/>
    <mergeCell ref="C650:J650"/>
    <mergeCell ref="C652:J652"/>
    <mergeCell ref="C653:E653"/>
    <mergeCell ref="C643:E643"/>
    <mergeCell ref="C644:E644"/>
    <mergeCell ref="C645:E645"/>
    <mergeCell ref="C646:E646"/>
    <mergeCell ref="C647:E647"/>
    <mergeCell ref="C648:E648"/>
    <mergeCell ref="C637:E637"/>
    <mergeCell ref="C638:E638"/>
    <mergeCell ref="C639:E639"/>
    <mergeCell ref="C640:E640"/>
    <mergeCell ref="C641:E641"/>
    <mergeCell ref="C642:E642"/>
    <mergeCell ref="C631:E631"/>
    <mergeCell ref="C632:E632"/>
    <mergeCell ref="C633:E633"/>
    <mergeCell ref="C634:E634"/>
    <mergeCell ref="C635:E635"/>
    <mergeCell ref="C636:E636"/>
    <mergeCell ref="C625:E625"/>
    <mergeCell ref="C626:E626"/>
    <mergeCell ref="C627:E627"/>
    <mergeCell ref="C628:E628"/>
    <mergeCell ref="C629:E629"/>
    <mergeCell ref="C630:E630"/>
    <mergeCell ref="C617:J617"/>
    <mergeCell ref="C619:J619"/>
    <mergeCell ref="C621:J621"/>
    <mergeCell ref="C622:E622"/>
    <mergeCell ref="C623:E623"/>
    <mergeCell ref="C624:E624"/>
    <mergeCell ref="C610:E610"/>
    <mergeCell ref="C611:E611"/>
    <mergeCell ref="C612:J612"/>
    <mergeCell ref="C614:J614"/>
    <mergeCell ref="C615:E615"/>
    <mergeCell ref="C616:E616"/>
    <mergeCell ref="C602:J602"/>
    <mergeCell ref="C603:E603"/>
    <mergeCell ref="C604:E604"/>
    <mergeCell ref="C605:J605"/>
    <mergeCell ref="C608:J608"/>
    <mergeCell ref="C609:E609"/>
    <mergeCell ref="C595:J595"/>
    <mergeCell ref="C596:J596"/>
    <mergeCell ref="C597:E597"/>
    <mergeCell ref="C598:E598"/>
    <mergeCell ref="C599:J599"/>
    <mergeCell ref="C601:J601"/>
    <mergeCell ref="C587:J587"/>
    <mergeCell ref="C589:J589"/>
    <mergeCell ref="C590:E590"/>
    <mergeCell ref="C591:E591"/>
    <mergeCell ref="C592:E592"/>
    <mergeCell ref="C593:J593"/>
    <mergeCell ref="C580:E580"/>
    <mergeCell ref="C581:J581"/>
    <mergeCell ref="C583:J583"/>
    <mergeCell ref="C584:E584"/>
    <mergeCell ref="C585:E585"/>
    <mergeCell ref="C586:E586"/>
    <mergeCell ref="C573:J573"/>
    <mergeCell ref="C574:E574"/>
    <mergeCell ref="C575:E575"/>
    <mergeCell ref="C576:J576"/>
    <mergeCell ref="C578:J578"/>
    <mergeCell ref="C579:E579"/>
    <mergeCell ref="C565:J565"/>
    <mergeCell ref="C567:J567"/>
    <mergeCell ref="C568:J568"/>
    <mergeCell ref="C569:E569"/>
    <mergeCell ref="C570:E570"/>
    <mergeCell ref="C571:J571"/>
    <mergeCell ref="C558:E558"/>
    <mergeCell ref="C559:J559"/>
    <mergeCell ref="C561:J561"/>
    <mergeCell ref="C562:E562"/>
    <mergeCell ref="C563:E563"/>
    <mergeCell ref="C564:E564"/>
    <mergeCell ref="C551:E551"/>
    <mergeCell ref="C552:E552"/>
    <mergeCell ref="C553:J553"/>
    <mergeCell ref="C555:J555"/>
    <mergeCell ref="C556:E556"/>
    <mergeCell ref="C557:E557"/>
    <mergeCell ref="C543:J543"/>
    <mergeCell ref="C545:J545"/>
    <mergeCell ref="C546:E546"/>
    <mergeCell ref="C547:E547"/>
    <mergeCell ref="C548:J548"/>
    <mergeCell ref="C550:J550"/>
    <mergeCell ref="C536:E536"/>
    <mergeCell ref="C537:J537"/>
    <mergeCell ref="C539:J539"/>
    <mergeCell ref="C540:J540"/>
    <mergeCell ref="C541:E541"/>
    <mergeCell ref="C542:E542"/>
    <mergeCell ref="C529:E529"/>
    <mergeCell ref="C530:E530"/>
    <mergeCell ref="C531:J531"/>
    <mergeCell ref="C533:J533"/>
    <mergeCell ref="C534:E534"/>
    <mergeCell ref="C535:E535"/>
    <mergeCell ref="C522:E522"/>
    <mergeCell ref="C523:E523"/>
    <mergeCell ref="C524:E524"/>
    <mergeCell ref="C525:J525"/>
    <mergeCell ref="C527:J527"/>
    <mergeCell ref="C528:E528"/>
    <mergeCell ref="C515:J515"/>
    <mergeCell ref="C516:E516"/>
    <mergeCell ref="C517:E517"/>
    <mergeCell ref="C518:J518"/>
    <mergeCell ref="C520:J520"/>
    <mergeCell ref="C521:E521"/>
    <mergeCell ref="C508:J508"/>
    <mergeCell ref="C509:E509"/>
    <mergeCell ref="C510:E510"/>
    <mergeCell ref="C511:E511"/>
    <mergeCell ref="C512:E512"/>
    <mergeCell ref="C513:J513"/>
    <mergeCell ref="C501:E501"/>
    <mergeCell ref="C502:E502"/>
    <mergeCell ref="C503:E503"/>
    <mergeCell ref="C504:E504"/>
    <mergeCell ref="C505:J505"/>
    <mergeCell ref="C507:J507"/>
    <mergeCell ref="C494:E494"/>
    <mergeCell ref="C495:E495"/>
    <mergeCell ref="C496:E496"/>
    <mergeCell ref="C497:E497"/>
    <mergeCell ref="C498:J498"/>
    <mergeCell ref="C500:J500"/>
    <mergeCell ref="C486:J486"/>
    <mergeCell ref="C488:J488"/>
    <mergeCell ref="C489:E489"/>
    <mergeCell ref="C490:E490"/>
    <mergeCell ref="C491:J491"/>
    <mergeCell ref="C493:J493"/>
    <mergeCell ref="C479:E479"/>
    <mergeCell ref="C480:E480"/>
    <mergeCell ref="C481:J481"/>
    <mergeCell ref="C483:J483"/>
    <mergeCell ref="C484:E484"/>
    <mergeCell ref="C485:E485"/>
    <mergeCell ref="C472:E472"/>
    <mergeCell ref="C473:E473"/>
    <mergeCell ref="C474:E474"/>
    <mergeCell ref="C475:J475"/>
    <mergeCell ref="C477:J477"/>
    <mergeCell ref="C478:J478"/>
    <mergeCell ref="C465:E465"/>
    <mergeCell ref="C466:E466"/>
    <mergeCell ref="C467:E467"/>
    <mergeCell ref="C468:J468"/>
    <mergeCell ref="C470:J470"/>
    <mergeCell ref="C471:E471"/>
    <mergeCell ref="C457:J457"/>
    <mergeCell ref="C459:J459"/>
    <mergeCell ref="C460:E460"/>
    <mergeCell ref="C461:E461"/>
    <mergeCell ref="C462:J462"/>
    <mergeCell ref="C464:J464"/>
    <mergeCell ref="C450:E450"/>
    <mergeCell ref="C451:E451"/>
    <mergeCell ref="C452:J452"/>
    <mergeCell ref="C454:J454"/>
    <mergeCell ref="C455:E455"/>
    <mergeCell ref="C456:E456"/>
    <mergeCell ref="C443:E443"/>
    <mergeCell ref="C444:E444"/>
    <mergeCell ref="C445:J445"/>
    <mergeCell ref="C447:J447"/>
    <mergeCell ref="C448:J448"/>
    <mergeCell ref="C449:J449"/>
    <mergeCell ref="C436:E436"/>
    <mergeCell ref="C437:E437"/>
    <mergeCell ref="C438:E438"/>
    <mergeCell ref="C439:J439"/>
    <mergeCell ref="C441:J441"/>
    <mergeCell ref="C442:E442"/>
    <mergeCell ref="C429:J429"/>
    <mergeCell ref="C430:E430"/>
    <mergeCell ref="C431:E431"/>
    <mergeCell ref="C432:E432"/>
    <mergeCell ref="C433:J433"/>
    <mergeCell ref="C435:J435"/>
    <mergeCell ref="C422:E422"/>
    <mergeCell ref="C423:E423"/>
    <mergeCell ref="C424:E424"/>
    <mergeCell ref="C425:E425"/>
    <mergeCell ref="C426:E426"/>
    <mergeCell ref="C427:J427"/>
    <mergeCell ref="C415:E415"/>
    <mergeCell ref="C416:E416"/>
    <mergeCell ref="C417:E417"/>
    <mergeCell ref="C418:J418"/>
    <mergeCell ref="C420:J420"/>
    <mergeCell ref="C421:E421"/>
    <mergeCell ref="C408:E408"/>
    <mergeCell ref="C409:J409"/>
    <mergeCell ref="C411:J411"/>
    <mergeCell ref="C412:E412"/>
    <mergeCell ref="C413:E413"/>
    <mergeCell ref="C414:E414"/>
    <mergeCell ref="C402:J402"/>
    <mergeCell ref="C403:E403"/>
    <mergeCell ref="C404:E404"/>
    <mergeCell ref="C405:E405"/>
    <mergeCell ref="C406:E406"/>
    <mergeCell ref="C407:E407"/>
    <mergeCell ref="C394:J394"/>
    <mergeCell ref="C396:J396"/>
    <mergeCell ref="C397:E397"/>
    <mergeCell ref="C398:E398"/>
    <mergeCell ref="C399:J399"/>
    <mergeCell ref="C401:J401"/>
    <mergeCell ref="C387:E387"/>
    <mergeCell ref="C388:E388"/>
    <mergeCell ref="C389:J389"/>
    <mergeCell ref="C391:J391"/>
    <mergeCell ref="C392:E392"/>
    <mergeCell ref="C393:E393"/>
    <mergeCell ref="C379:J379"/>
    <mergeCell ref="C381:J381"/>
    <mergeCell ref="C382:E382"/>
    <mergeCell ref="C383:E383"/>
    <mergeCell ref="C384:J384"/>
    <mergeCell ref="C386:J386"/>
    <mergeCell ref="C372:E372"/>
    <mergeCell ref="C373:E373"/>
    <mergeCell ref="C374:J374"/>
    <mergeCell ref="C376:J376"/>
    <mergeCell ref="C377:E377"/>
    <mergeCell ref="C378:E378"/>
    <mergeCell ref="C364:J364"/>
    <mergeCell ref="C366:J366"/>
    <mergeCell ref="C367:E367"/>
    <mergeCell ref="C368:E368"/>
    <mergeCell ref="C369:J369"/>
    <mergeCell ref="C371:J371"/>
    <mergeCell ref="C357:E357"/>
    <mergeCell ref="C358:E358"/>
    <mergeCell ref="C359:J359"/>
    <mergeCell ref="C361:J361"/>
    <mergeCell ref="C362:E362"/>
    <mergeCell ref="C363:E363"/>
    <mergeCell ref="C349:J349"/>
    <mergeCell ref="C351:J351"/>
    <mergeCell ref="C352:E352"/>
    <mergeCell ref="C353:E353"/>
    <mergeCell ref="C354:J354"/>
    <mergeCell ref="C356:J356"/>
    <mergeCell ref="C342:E342"/>
    <mergeCell ref="C343:E343"/>
    <mergeCell ref="C344:J344"/>
    <mergeCell ref="C346:J346"/>
    <mergeCell ref="C347:E347"/>
    <mergeCell ref="C348:E348"/>
    <mergeCell ref="C334:J334"/>
    <mergeCell ref="C336:J336"/>
    <mergeCell ref="C337:E337"/>
    <mergeCell ref="C338:E338"/>
    <mergeCell ref="C339:J339"/>
    <mergeCell ref="C341:J341"/>
    <mergeCell ref="C327:E327"/>
    <mergeCell ref="C328:E328"/>
    <mergeCell ref="C329:J329"/>
    <mergeCell ref="C331:J331"/>
    <mergeCell ref="C332:E332"/>
    <mergeCell ref="C333:E333"/>
    <mergeCell ref="C320:J320"/>
    <mergeCell ref="C321:E321"/>
    <mergeCell ref="C322:E322"/>
    <mergeCell ref="C323:J323"/>
    <mergeCell ref="C325:J325"/>
    <mergeCell ref="C326:J326"/>
    <mergeCell ref="C312:E312"/>
    <mergeCell ref="C313:J313"/>
    <mergeCell ref="C315:J315"/>
    <mergeCell ref="C316:E316"/>
    <mergeCell ref="C317:E317"/>
    <mergeCell ref="C318:J318"/>
    <mergeCell ref="C305:J305"/>
    <mergeCell ref="C306:E306"/>
    <mergeCell ref="C307:E307"/>
    <mergeCell ref="C308:J308"/>
    <mergeCell ref="C310:J310"/>
    <mergeCell ref="C311:E311"/>
    <mergeCell ref="C297:E297"/>
    <mergeCell ref="C298:J298"/>
    <mergeCell ref="C300:J300"/>
    <mergeCell ref="C301:E301"/>
    <mergeCell ref="C302:E302"/>
    <mergeCell ref="C303:J303"/>
    <mergeCell ref="C290:J290"/>
    <mergeCell ref="C291:E291"/>
    <mergeCell ref="C292:E292"/>
    <mergeCell ref="C293:J293"/>
    <mergeCell ref="C295:J295"/>
    <mergeCell ref="C296:E296"/>
    <mergeCell ref="C282:E282"/>
    <mergeCell ref="C283:J283"/>
    <mergeCell ref="C285:J285"/>
    <mergeCell ref="C286:E286"/>
    <mergeCell ref="C287:E287"/>
    <mergeCell ref="C288:J288"/>
    <mergeCell ref="C275:J275"/>
    <mergeCell ref="C276:E276"/>
    <mergeCell ref="C277:E277"/>
    <mergeCell ref="C278:J278"/>
    <mergeCell ref="C280:J280"/>
    <mergeCell ref="C281:E281"/>
    <mergeCell ref="C267:J267"/>
    <mergeCell ref="C269:J269"/>
    <mergeCell ref="C270:E270"/>
    <mergeCell ref="C271:J271"/>
    <mergeCell ref="C272:E272"/>
    <mergeCell ref="C273:J273"/>
    <mergeCell ref="C260:E260"/>
    <mergeCell ref="C261:E261"/>
    <mergeCell ref="C262:J262"/>
    <mergeCell ref="C264:J264"/>
    <mergeCell ref="C265:E265"/>
    <mergeCell ref="C266:E266"/>
    <mergeCell ref="C238:J238"/>
    <mergeCell ref="C254:E254"/>
    <mergeCell ref="C255:E255"/>
    <mergeCell ref="C256:J256"/>
    <mergeCell ref="C257:E257"/>
    <mergeCell ref="C258:E258"/>
    <mergeCell ref="C259:J259"/>
    <mergeCell ref="C246:J246"/>
    <mergeCell ref="C248:J248"/>
    <mergeCell ref="C250:E250"/>
    <mergeCell ref="C251:E251"/>
    <mergeCell ref="C252:E252"/>
    <mergeCell ref="C253:E253"/>
    <mergeCell ref="C222:E222"/>
    <mergeCell ref="C223:E223"/>
    <mergeCell ref="C224:J224"/>
    <mergeCell ref="C206:J206"/>
    <mergeCell ref="C207:E207"/>
    <mergeCell ref="C208:E208"/>
    <mergeCell ref="C209:J209"/>
    <mergeCell ref="C221:J221"/>
    <mergeCell ref="C211:J211"/>
    <mergeCell ref="C212:E212"/>
    <mergeCell ref="C216:E216"/>
    <mergeCell ref="C217:E217"/>
    <mergeCell ref="C218:J218"/>
    <mergeCell ref="C213:E213"/>
    <mergeCell ref="C214:E214"/>
    <mergeCell ref="C215:E215"/>
    <mergeCell ref="C187:J187"/>
    <mergeCell ref="C189:J189"/>
    <mergeCell ref="C201:J201"/>
    <mergeCell ref="C202:E202"/>
    <mergeCell ref="C203:E203"/>
    <mergeCell ref="C204:J204"/>
    <mergeCell ref="C181:J181"/>
    <mergeCell ref="C182:J182"/>
    <mergeCell ref="C183:E183"/>
    <mergeCell ref="C184:E184"/>
    <mergeCell ref="C185:E185"/>
    <mergeCell ref="C186:E186"/>
    <mergeCell ref="C191:J191"/>
    <mergeCell ref="C192:E192"/>
    <mergeCell ref="C193:E193"/>
    <mergeCell ref="C194:J194"/>
    <mergeCell ref="C196:J196"/>
    <mergeCell ref="C197:E197"/>
    <mergeCell ref="C198:E198"/>
    <mergeCell ref="C199:J199"/>
    <mergeCell ref="C173:E173"/>
    <mergeCell ref="C174:J174"/>
    <mergeCell ref="C176:J176"/>
    <mergeCell ref="C177:E177"/>
    <mergeCell ref="C178:E178"/>
    <mergeCell ref="C179:J179"/>
    <mergeCell ref="C166:J166"/>
    <mergeCell ref="C167:E167"/>
    <mergeCell ref="C168:E168"/>
    <mergeCell ref="C169:J169"/>
    <mergeCell ref="C171:J171"/>
    <mergeCell ref="C172:E172"/>
    <mergeCell ref="C158:E158"/>
    <mergeCell ref="C159:J159"/>
    <mergeCell ref="C161:J161"/>
    <mergeCell ref="C162:E162"/>
    <mergeCell ref="C163:E163"/>
    <mergeCell ref="C164:J164"/>
    <mergeCell ref="C151:E151"/>
    <mergeCell ref="C152:E152"/>
    <mergeCell ref="C153:E153"/>
    <mergeCell ref="C154:J154"/>
    <mergeCell ref="C156:J156"/>
    <mergeCell ref="C157:E157"/>
    <mergeCell ref="C144:J144"/>
    <mergeCell ref="C145:E145"/>
    <mergeCell ref="C146:E146"/>
    <mergeCell ref="C147:E147"/>
    <mergeCell ref="C148:J148"/>
    <mergeCell ref="C150:J150"/>
    <mergeCell ref="C136:J136"/>
    <mergeCell ref="C138:J138"/>
    <mergeCell ref="C139:E139"/>
    <mergeCell ref="C140:E140"/>
    <mergeCell ref="C141:E141"/>
    <mergeCell ref="C142:J142"/>
    <mergeCell ref="C129:J129"/>
    <mergeCell ref="C131:J131"/>
    <mergeCell ref="C132:E132"/>
    <mergeCell ref="C133:E133"/>
    <mergeCell ref="C134:E134"/>
    <mergeCell ref="C135:E135"/>
    <mergeCell ref="C123:E123"/>
    <mergeCell ref="C124:E124"/>
    <mergeCell ref="C125:E125"/>
    <mergeCell ref="C126:E126"/>
    <mergeCell ref="C127:E127"/>
    <mergeCell ref="C128:E128"/>
    <mergeCell ref="C116:E116"/>
    <mergeCell ref="C117:E117"/>
    <mergeCell ref="C118:E118"/>
    <mergeCell ref="C119:E119"/>
    <mergeCell ref="C120:J120"/>
    <mergeCell ref="C122:J122"/>
    <mergeCell ref="C109:E109"/>
    <mergeCell ref="C110:E110"/>
    <mergeCell ref="C111:J111"/>
    <mergeCell ref="C113:J113"/>
    <mergeCell ref="C114:E114"/>
    <mergeCell ref="C115:E115"/>
    <mergeCell ref="C102:E102"/>
    <mergeCell ref="C103:E103"/>
    <mergeCell ref="C104:J104"/>
    <mergeCell ref="C106:J106"/>
    <mergeCell ref="C107:E107"/>
    <mergeCell ref="C108:E108"/>
    <mergeCell ref="C95:J95"/>
    <mergeCell ref="C96:E96"/>
    <mergeCell ref="C97:E97"/>
    <mergeCell ref="C98:J98"/>
    <mergeCell ref="C100:J100"/>
    <mergeCell ref="C101:J101"/>
    <mergeCell ref="C87:E87"/>
    <mergeCell ref="C88:J88"/>
    <mergeCell ref="C90:J90"/>
    <mergeCell ref="C91:E91"/>
    <mergeCell ref="C92:E92"/>
    <mergeCell ref="C93:J93"/>
    <mergeCell ref="C80:E80"/>
    <mergeCell ref="C81:E81"/>
    <mergeCell ref="C82:E82"/>
    <mergeCell ref="C83:J83"/>
    <mergeCell ref="C85:J85"/>
    <mergeCell ref="C86:E86"/>
    <mergeCell ref="C73:E73"/>
    <mergeCell ref="C74:J74"/>
    <mergeCell ref="C76:J76"/>
    <mergeCell ref="C77:E77"/>
    <mergeCell ref="C78:E78"/>
    <mergeCell ref="C79:E79"/>
    <mergeCell ref="C67:J67"/>
    <mergeCell ref="C68:E68"/>
    <mergeCell ref="C69:E69"/>
    <mergeCell ref="C70:E70"/>
    <mergeCell ref="C71:E71"/>
    <mergeCell ref="C72:E72"/>
    <mergeCell ref="C60:E60"/>
    <mergeCell ref="C61:E61"/>
    <mergeCell ref="C62:E62"/>
    <mergeCell ref="C63:E63"/>
    <mergeCell ref="C64:E64"/>
    <mergeCell ref="C65:J65"/>
    <mergeCell ref="C53:E53"/>
    <mergeCell ref="C54:J54"/>
    <mergeCell ref="C56:J56"/>
    <mergeCell ref="C57:J57"/>
    <mergeCell ref="C58:E58"/>
    <mergeCell ref="C59:E59"/>
    <mergeCell ref="C46:E46"/>
    <mergeCell ref="C47:E47"/>
    <mergeCell ref="C48:E48"/>
    <mergeCell ref="C49:J49"/>
    <mergeCell ref="C51:J51"/>
    <mergeCell ref="C52:E52"/>
    <mergeCell ref="C39:J39"/>
    <mergeCell ref="C41:J41"/>
    <mergeCell ref="C42:E42"/>
    <mergeCell ref="C43:E43"/>
    <mergeCell ref="C44:E44"/>
    <mergeCell ref="C45:E45"/>
    <mergeCell ref="C32:E32"/>
    <mergeCell ref="C33:J33"/>
    <mergeCell ref="C35:J35"/>
    <mergeCell ref="C36:J36"/>
    <mergeCell ref="C37:E37"/>
    <mergeCell ref="C38:E38"/>
    <mergeCell ref="C25:E25"/>
    <mergeCell ref="C26:E26"/>
    <mergeCell ref="C27:J27"/>
    <mergeCell ref="C29:J29"/>
    <mergeCell ref="C30:J30"/>
    <mergeCell ref="C31:E31"/>
    <mergeCell ref="C21:J21"/>
    <mergeCell ref="C23:J23"/>
    <mergeCell ref="C24:E24"/>
    <mergeCell ref="C8:D8"/>
    <mergeCell ref="C12:J12"/>
    <mergeCell ref="C13:J13"/>
    <mergeCell ref="C14:E14"/>
    <mergeCell ref="C15:E15"/>
    <mergeCell ref="C16:J16"/>
    <mergeCell ref="B2:C5"/>
    <mergeCell ref="D2:I2"/>
    <mergeCell ref="J2:L5"/>
    <mergeCell ref="D3:I3"/>
    <mergeCell ref="D4:I5"/>
    <mergeCell ref="B7:C7"/>
    <mergeCell ref="C18:J18"/>
    <mergeCell ref="C19:E19"/>
    <mergeCell ref="C20:E20"/>
    <mergeCell ref="C226:J226"/>
    <mergeCell ref="C228:J228"/>
    <mergeCell ref="C229:E229"/>
    <mergeCell ref="C230:E230"/>
    <mergeCell ref="C231:J231"/>
    <mergeCell ref="C870:J870"/>
    <mergeCell ref="C871:J871"/>
    <mergeCell ref="C872:E872"/>
    <mergeCell ref="C873:E873"/>
    <mergeCell ref="C759:J759"/>
    <mergeCell ref="C760:E760"/>
    <mergeCell ref="C761:E761"/>
    <mergeCell ref="C762:J762"/>
    <mergeCell ref="C240:J240"/>
    <mergeCell ref="C241:E241"/>
    <mergeCell ref="C242:E242"/>
    <mergeCell ref="C243:E243"/>
    <mergeCell ref="C244:E244"/>
    <mergeCell ref="C245:E245"/>
    <mergeCell ref="C233:E233"/>
    <mergeCell ref="C234:E234"/>
    <mergeCell ref="C235:E235"/>
    <mergeCell ref="C236:E236"/>
    <mergeCell ref="C237:E237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44" orientation="portrait" horizontalDpi="360" verticalDpi="360" r:id="rId1"/>
  <headerFooter>
    <oddFooter>Página &amp;P de &amp;N</oddFooter>
  </headerFooter>
  <rowBreaks count="3" manualBreakCount="3">
    <brk id="651" min="1" max="11" man="1"/>
    <brk id="741" min="1" max="11" man="1"/>
    <brk id="820" min="1" max="11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1"/>
  <sheetViews>
    <sheetView view="pageBreakPreview" zoomScale="85" zoomScaleNormal="100" zoomScaleSheetLayoutView="85" workbookViewId="0">
      <selection activeCell="F69" sqref="F69"/>
    </sheetView>
  </sheetViews>
  <sheetFormatPr defaultRowHeight="15"/>
  <cols>
    <col min="1" max="1" width="17.42578125" style="26" bestFit="1" customWidth="1"/>
    <col min="2" max="2" width="17.140625" style="27" customWidth="1"/>
    <col min="3" max="3" width="46" style="27" customWidth="1"/>
    <col min="4" max="4" width="6.85546875" style="27" customWidth="1"/>
    <col min="5" max="5" width="8.85546875" style="28" bestFit="1" customWidth="1"/>
    <col min="6" max="6" width="11.28515625" style="29" bestFit="1" customWidth="1"/>
    <col min="7" max="7" width="13.5703125" style="29" bestFit="1" customWidth="1"/>
    <col min="8" max="8" width="23.5703125" style="29" customWidth="1"/>
    <col min="257" max="257" width="17.42578125" bestFit="1" customWidth="1"/>
    <col min="258" max="258" width="8.7109375" customWidth="1"/>
    <col min="259" max="259" width="58.85546875" customWidth="1"/>
    <col min="260" max="260" width="6.85546875" customWidth="1"/>
    <col min="261" max="261" width="8.42578125" bestFit="1" customWidth="1"/>
    <col min="262" max="262" width="11.28515625" bestFit="1" customWidth="1"/>
    <col min="263" max="264" width="13.5703125" bestFit="1" customWidth="1"/>
    <col min="513" max="513" width="17.42578125" bestFit="1" customWidth="1"/>
    <col min="514" max="514" width="8.7109375" customWidth="1"/>
    <col min="515" max="515" width="58.85546875" customWidth="1"/>
    <col min="516" max="516" width="6.85546875" customWidth="1"/>
    <col min="517" max="517" width="8.42578125" bestFit="1" customWidth="1"/>
    <col min="518" max="518" width="11.28515625" bestFit="1" customWidth="1"/>
    <col min="519" max="520" width="13.5703125" bestFit="1" customWidth="1"/>
    <col min="769" max="769" width="17.42578125" bestFit="1" customWidth="1"/>
    <col min="770" max="770" width="8.7109375" customWidth="1"/>
    <col min="771" max="771" width="58.85546875" customWidth="1"/>
    <col min="772" max="772" width="6.85546875" customWidth="1"/>
    <col min="773" max="773" width="8.42578125" bestFit="1" customWidth="1"/>
    <col min="774" max="774" width="11.28515625" bestFit="1" customWidth="1"/>
    <col min="775" max="776" width="13.5703125" bestFit="1" customWidth="1"/>
    <col min="1025" max="1025" width="17.42578125" bestFit="1" customWidth="1"/>
    <col min="1026" max="1026" width="8.7109375" customWidth="1"/>
    <col min="1027" max="1027" width="58.85546875" customWidth="1"/>
    <col min="1028" max="1028" width="6.85546875" customWidth="1"/>
    <col min="1029" max="1029" width="8.42578125" bestFit="1" customWidth="1"/>
    <col min="1030" max="1030" width="11.28515625" bestFit="1" customWidth="1"/>
    <col min="1031" max="1032" width="13.5703125" bestFit="1" customWidth="1"/>
    <col min="1281" max="1281" width="17.42578125" bestFit="1" customWidth="1"/>
    <col min="1282" max="1282" width="8.7109375" customWidth="1"/>
    <col min="1283" max="1283" width="58.85546875" customWidth="1"/>
    <col min="1284" max="1284" width="6.85546875" customWidth="1"/>
    <col min="1285" max="1285" width="8.42578125" bestFit="1" customWidth="1"/>
    <col min="1286" max="1286" width="11.28515625" bestFit="1" customWidth="1"/>
    <col min="1287" max="1288" width="13.5703125" bestFit="1" customWidth="1"/>
    <col min="1537" max="1537" width="17.42578125" bestFit="1" customWidth="1"/>
    <col min="1538" max="1538" width="8.7109375" customWidth="1"/>
    <col min="1539" max="1539" width="58.85546875" customWidth="1"/>
    <col min="1540" max="1540" width="6.85546875" customWidth="1"/>
    <col min="1541" max="1541" width="8.42578125" bestFit="1" customWidth="1"/>
    <col min="1542" max="1542" width="11.28515625" bestFit="1" customWidth="1"/>
    <col min="1543" max="1544" width="13.5703125" bestFit="1" customWidth="1"/>
    <col min="1793" max="1793" width="17.42578125" bestFit="1" customWidth="1"/>
    <col min="1794" max="1794" width="8.7109375" customWidth="1"/>
    <col min="1795" max="1795" width="58.85546875" customWidth="1"/>
    <col min="1796" max="1796" width="6.85546875" customWidth="1"/>
    <col min="1797" max="1797" width="8.42578125" bestFit="1" customWidth="1"/>
    <col min="1798" max="1798" width="11.28515625" bestFit="1" customWidth="1"/>
    <col min="1799" max="1800" width="13.5703125" bestFit="1" customWidth="1"/>
    <col min="2049" max="2049" width="17.42578125" bestFit="1" customWidth="1"/>
    <col min="2050" max="2050" width="8.7109375" customWidth="1"/>
    <col min="2051" max="2051" width="58.85546875" customWidth="1"/>
    <col min="2052" max="2052" width="6.85546875" customWidth="1"/>
    <col min="2053" max="2053" width="8.42578125" bestFit="1" customWidth="1"/>
    <col min="2054" max="2054" width="11.28515625" bestFit="1" customWidth="1"/>
    <col min="2055" max="2056" width="13.5703125" bestFit="1" customWidth="1"/>
    <col min="2305" max="2305" width="17.42578125" bestFit="1" customWidth="1"/>
    <col min="2306" max="2306" width="8.7109375" customWidth="1"/>
    <col min="2307" max="2307" width="58.85546875" customWidth="1"/>
    <col min="2308" max="2308" width="6.85546875" customWidth="1"/>
    <col min="2309" max="2309" width="8.42578125" bestFit="1" customWidth="1"/>
    <col min="2310" max="2310" width="11.28515625" bestFit="1" customWidth="1"/>
    <col min="2311" max="2312" width="13.5703125" bestFit="1" customWidth="1"/>
    <col min="2561" max="2561" width="17.42578125" bestFit="1" customWidth="1"/>
    <col min="2562" max="2562" width="8.7109375" customWidth="1"/>
    <col min="2563" max="2563" width="58.85546875" customWidth="1"/>
    <col min="2564" max="2564" width="6.85546875" customWidth="1"/>
    <col min="2565" max="2565" width="8.42578125" bestFit="1" customWidth="1"/>
    <col min="2566" max="2566" width="11.28515625" bestFit="1" customWidth="1"/>
    <col min="2567" max="2568" width="13.5703125" bestFit="1" customWidth="1"/>
    <col min="2817" max="2817" width="17.42578125" bestFit="1" customWidth="1"/>
    <col min="2818" max="2818" width="8.7109375" customWidth="1"/>
    <col min="2819" max="2819" width="58.85546875" customWidth="1"/>
    <col min="2820" max="2820" width="6.85546875" customWidth="1"/>
    <col min="2821" max="2821" width="8.42578125" bestFit="1" customWidth="1"/>
    <col min="2822" max="2822" width="11.28515625" bestFit="1" customWidth="1"/>
    <col min="2823" max="2824" width="13.5703125" bestFit="1" customWidth="1"/>
    <col min="3073" max="3073" width="17.42578125" bestFit="1" customWidth="1"/>
    <col min="3074" max="3074" width="8.7109375" customWidth="1"/>
    <col min="3075" max="3075" width="58.85546875" customWidth="1"/>
    <col min="3076" max="3076" width="6.85546875" customWidth="1"/>
    <col min="3077" max="3077" width="8.42578125" bestFit="1" customWidth="1"/>
    <col min="3078" max="3078" width="11.28515625" bestFit="1" customWidth="1"/>
    <col min="3079" max="3080" width="13.5703125" bestFit="1" customWidth="1"/>
    <col min="3329" max="3329" width="17.42578125" bestFit="1" customWidth="1"/>
    <col min="3330" max="3330" width="8.7109375" customWidth="1"/>
    <col min="3331" max="3331" width="58.85546875" customWidth="1"/>
    <col min="3332" max="3332" width="6.85546875" customWidth="1"/>
    <col min="3333" max="3333" width="8.42578125" bestFit="1" customWidth="1"/>
    <col min="3334" max="3334" width="11.28515625" bestFit="1" customWidth="1"/>
    <col min="3335" max="3336" width="13.5703125" bestFit="1" customWidth="1"/>
    <col min="3585" max="3585" width="17.42578125" bestFit="1" customWidth="1"/>
    <col min="3586" max="3586" width="8.7109375" customWidth="1"/>
    <col min="3587" max="3587" width="58.85546875" customWidth="1"/>
    <col min="3588" max="3588" width="6.85546875" customWidth="1"/>
    <col min="3589" max="3589" width="8.42578125" bestFit="1" customWidth="1"/>
    <col min="3590" max="3590" width="11.28515625" bestFit="1" customWidth="1"/>
    <col min="3591" max="3592" width="13.5703125" bestFit="1" customWidth="1"/>
    <col min="3841" max="3841" width="17.42578125" bestFit="1" customWidth="1"/>
    <col min="3842" max="3842" width="8.7109375" customWidth="1"/>
    <col min="3843" max="3843" width="58.85546875" customWidth="1"/>
    <col min="3844" max="3844" width="6.85546875" customWidth="1"/>
    <col min="3845" max="3845" width="8.42578125" bestFit="1" customWidth="1"/>
    <col min="3846" max="3846" width="11.28515625" bestFit="1" customWidth="1"/>
    <col min="3847" max="3848" width="13.5703125" bestFit="1" customWidth="1"/>
    <col min="4097" max="4097" width="17.42578125" bestFit="1" customWidth="1"/>
    <col min="4098" max="4098" width="8.7109375" customWidth="1"/>
    <col min="4099" max="4099" width="58.85546875" customWidth="1"/>
    <col min="4100" max="4100" width="6.85546875" customWidth="1"/>
    <col min="4101" max="4101" width="8.42578125" bestFit="1" customWidth="1"/>
    <col min="4102" max="4102" width="11.28515625" bestFit="1" customWidth="1"/>
    <col min="4103" max="4104" width="13.5703125" bestFit="1" customWidth="1"/>
    <col min="4353" max="4353" width="17.42578125" bestFit="1" customWidth="1"/>
    <col min="4354" max="4354" width="8.7109375" customWidth="1"/>
    <col min="4355" max="4355" width="58.85546875" customWidth="1"/>
    <col min="4356" max="4356" width="6.85546875" customWidth="1"/>
    <col min="4357" max="4357" width="8.42578125" bestFit="1" customWidth="1"/>
    <col min="4358" max="4358" width="11.28515625" bestFit="1" customWidth="1"/>
    <col min="4359" max="4360" width="13.5703125" bestFit="1" customWidth="1"/>
    <col min="4609" max="4609" width="17.42578125" bestFit="1" customWidth="1"/>
    <col min="4610" max="4610" width="8.7109375" customWidth="1"/>
    <col min="4611" max="4611" width="58.85546875" customWidth="1"/>
    <col min="4612" max="4612" width="6.85546875" customWidth="1"/>
    <col min="4613" max="4613" width="8.42578125" bestFit="1" customWidth="1"/>
    <col min="4614" max="4614" width="11.28515625" bestFit="1" customWidth="1"/>
    <col min="4615" max="4616" width="13.5703125" bestFit="1" customWidth="1"/>
    <col min="4865" max="4865" width="17.42578125" bestFit="1" customWidth="1"/>
    <col min="4866" max="4866" width="8.7109375" customWidth="1"/>
    <col min="4867" max="4867" width="58.85546875" customWidth="1"/>
    <col min="4868" max="4868" width="6.85546875" customWidth="1"/>
    <col min="4869" max="4869" width="8.42578125" bestFit="1" customWidth="1"/>
    <col min="4870" max="4870" width="11.28515625" bestFit="1" customWidth="1"/>
    <col min="4871" max="4872" width="13.5703125" bestFit="1" customWidth="1"/>
    <col min="5121" max="5121" width="17.42578125" bestFit="1" customWidth="1"/>
    <col min="5122" max="5122" width="8.7109375" customWidth="1"/>
    <col min="5123" max="5123" width="58.85546875" customWidth="1"/>
    <col min="5124" max="5124" width="6.85546875" customWidth="1"/>
    <col min="5125" max="5125" width="8.42578125" bestFit="1" customWidth="1"/>
    <col min="5126" max="5126" width="11.28515625" bestFit="1" customWidth="1"/>
    <col min="5127" max="5128" width="13.5703125" bestFit="1" customWidth="1"/>
    <col min="5377" max="5377" width="17.42578125" bestFit="1" customWidth="1"/>
    <col min="5378" max="5378" width="8.7109375" customWidth="1"/>
    <col min="5379" max="5379" width="58.85546875" customWidth="1"/>
    <col min="5380" max="5380" width="6.85546875" customWidth="1"/>
    <col min="5381" max="5381" width="8.42578125" bestFit="1" customWidth="1"/>
    <col min="5382" max="5382" width="11.28515625" bestFit="1" customWidth="1"/>
    <col min="5383" max="5384" width="13.5703125" bestFit="1" customWidth="1"/>
    <col min="5633" max="5633" width="17.42578125" bestFit="1" customWidth="1"/>
    <col min="5634" max="5634" width="8.7109375" customWidth="1"/>
    <col min="5635" max="5635" width="58.85546875" customWidth="1"/>
    <col min="5636" max="5636" width="6.85546875" customWidth="1"/>
    <col min="5637" max="5637" width="8.42578125" bestFit="1" customWidth="1"/>
    <col min="5638" max="5638" width="11.28515625" bestFit="1" customWidth="1"/>
    <col min="5639" max="5640" width="13.5703125" bestFit="1" customWidth="1"/>
    <col min="5889" max="5889" width="17.42578125" bestFit="1" customWidth="1"/>
    <col min="5890" max="5890" width="8.7109375" customWidth="1"/>
    <col min="5891" max="5891" width="58.85546875" customWidth="1"/>
    <col min="5892" max="5892" width="6.85546875" customWidth="1"/>
    <col min="5893" max="5893" width="8.42578125" bestFit="1" customWidth="1"/>
    <col min="5894" max="5894" width="11.28515625" bestFit="1" customWidth="1"/>
    <col min="5895" max="5896" width="13.5703125" bestFit="1" customWidth="1"/>
    <col min="6145" max="6145" width="17.42578125" bestFit="1" customWidth="1"/>
    <col min="6146" max="6146" width="8.7109375" customWidth="1"/>
    <col min="6147" max="6147" width="58.85546875" customWidth="1"/>
    <col min="6148" max="6148" width="6.85546875" customWidth="1"/>
    <col min="6149" max="6149" width="8.42578125" bestFit="1" customWidth="1"/>
    <col min="6150" max="6150" width="11.28515625" bestFit="1" customWidth="1"/>
    <col min="6151" max="6152" width="13.5703125" bestFit="1" customWidth="1"/>
    <col min="6401" max="6401" width="17.42578125" bestFit="1" customWidth="1"/>
    <col min="6402" max="6402" width="8.7109375" customWidth="1"/>
    <col min="6403" max="6403" width="58.85546875" customWidth="1"/>
    <col min="6404" max="6404" width="6.85546875" customWidth="1"/>
    <col min="6405" max="6405" width="8.42578125" bestFit="1" customWidth="1"/>
    <col min="6406" max="6406" width="11.28515625" bestFit="1" customWidth="1"/>
    <col min="6407" max="6408" width="13.5703125" bestFit="1" customWidth="1"/>
    <col min="6657" max="6657" width="17.42578125" bestFit="1" customWidth="1"/>
    <col min="6658" max="6658" width="8.7109375" customWidth="1"/>
    <col min="6659" max="6659" width="58.85546875" customWidth="1"/>
    <col min="6660" max="6660" width="6.85546875" customWidth="1"/>
    <col min="6661" max="6661" width="8.42578125" bestFit="1" customWidth="1"/>
    <col min="6662" max="6662" width="11.28515625" bestFit="1" customWidth="1"/>
    <col min="6663" max="6664" width="13.5703125" bestFit="1" customWidth="1"/>
    <col min="6913" max="6913" width="17.42578125" bestFit="1" customWidth="1"/>
    <col min="6914" max="6914" width="8.7109375" customWidth="1"/>
    <col min="6915" max="6915" width="58.85546875" customWidth="1"/>
    <col min="6916" max="6916" width="6.85546875" customWidth="1"/>
    <col min="6917" max="6917" width="8.42578125" bestFit="1" customWidth="1"/>
    <col min="6918" max="6918" width="11.28515625" bestFit="1" customWidth="1"/>
    <col min="6919" max="6920" width="13.5703125" bestFit="1" customWidth="1"/>
    <col min="7169" max="7169" width="17.42578125" bestFit="1" customWidth="1"/>
    <col min="7170" max="7170" width="8.7109375" customWidth="1"/>
    <col min="7171" max="7171" width="58.85546875" customWidth="1"/>
    <col min="7172" max="7172" width="6.85546875" customWidth="1"/>
    <col min="7173" max="7173" width="8.42578125" bestFit="1" customWidth="1"/>
    <col min="7174" max="7174" width="11.28515625" bestFit="1" customWidth="1"/>
    <col min="7175" max="7176" width="13.5703125" bestFit="1" customWidth="1"/>
    <col min="7425" max="7425" width="17.42578125" bestFit="1" customWidth="1"/>
    <col min="7426" max="7426" width="8.7109375" customWidth="1"/>
    <col min="7427" max="7427" width="58.85546875" customWidth="1"/>
    <col min="7428" max="7428" width="6.85546875" customWidth="1"/>
    <col min="7429" max="7429" width="8.42578125" bestFit="1" customWidth="1"/>
    <col min="7430" max="7430" width="11.28515625" bestFit="1" customWidth="1"/>
    <col min="7431" max="7432" width="13.5703125" bestFit="1" customWidth="1"/>
    <col min="7681" max="7681" width="17.42578125" bestFit="1" customWidth="1"/>
    <col min="7682" max="7682" width="8.7109375" customWidth="1"/>
    <col min="7683" max="7683" width="58.85546875" customWidth="1"/>
    <col min="7684" max="7684" width="6.85546875" customWidth="1"/>
    <col min="7685" max="7685" width="8.42578125" bestFit="1" customWidth="1"/>
    <col min="7686" max="7686" width="11.28515625" bestFit="1" customWidth="1"/>
    <col min="7687" max="7688" width="13.5703125" bestFit="1" customWidth="1"/>
    <col min="7937" max="7937" width="17.42578125" bestFit="1" customWidth="1"/>
    <col min="7938" max="7938" width="8.7109375" customWidth="1"/>
    <col min="7939" max="7939" width="58.85546875" customWidth="1"/>
    <col min="7940" max="7940" width="6.85546875" customWidth="1"/>
    <col min="7941" max="7941" width="8.42578125" bestFit="1" customWidth="1"/>
    <col min="7942" max="7942" width="11.28515625" bestFit="1" customWidth="1"/>
    <col min="7943" max="7944" width="13.5703125" bestFit="1" customWidth="1"/>
    <col min="8193" max="8193" width="17.42578125" bestFit="1" customWidth="1"/>
    <col min="8194" max="8194" width="8.7109375" customWidth="1"/>
    <col min="8195" max="8195" width="58.85546875" customWidth="1"/>
    <col min="8196" max="8196" width="6.85546875" customWidth="1"/>
    <col min="8197" max="8197" width="8.42578125" bestFit="1" customWidth="1"/>
    <col min="8198" max="8198" width="11.28515625" bestFit="1" customWidth="1"/>
    <col min="8199" max="8200" width="13.5703125" bestFit="1" customWidth="1"/>
    <col min="8449" max="8449" width="17.42578125" bestFit="1" customWidth="1"/>
    <col min="8450" max="8450" width="8.7109375" customWidth="1"/>
    <col min="8451" max="8451" width="58.85546875" customWidth="1"/>
    <col min="8452" max="8452" width="6.85546875" customWidth="1"/>
    <col min="8453" max="8453" width="8.42578125" bestFit="1" customWidth="1"/>
    <col min="8454" max="8454" width="11.28515625" bestFit="1" customWidth="1"/>
    <col min="8455" max="8456" width="13.5703125" bestFit="1" customWidth="1"/>
    <col min="8705" max="8705" width="17.42578125" bestFit="1" customWidth="1"/>
    <col min="8706" max="8706" width="8.7109375" customWidth="1"/>
    <col min="8707" max="8707" width="58.85546875" customWidth="1"/>
    <col min="8708" max="8708" width="6.85546875" customWidth="1"/>
    <col min="8709" max="8709" width="8.42578125" bestFit="1" customWidth="1"/>
    <col min="8710" max="8710" width="11.28515625" bestFit="1" customWidth="1"/>
    <col min="8711" max="8712" width="13.5703125" bestFit="1" customWidth="1"/>
    <col min="8961" max="8961" width="17.42578125" bestFit="1" customWidth="1"/>
    <col min="8962" max="8962" width="8.7109375" customWidth="1"/>
    <col min="8963" max="8963" width="58.85546875" customWidth="1"/>
    <col min="8964" max="8964" width="6.85546875" customWidth="1"/>
    <col min="8965" max="8965" width="8.42578125" bestFit="1" customWidth="1"/>
    <col min="8966" max="8966" width="11.28515625" bestFit="1" customWidth="1"/>
    <col min="8967" max="8968" width="13.5703125" bestFit="1" customWidth="1"/>
    <col min="9217" max="9217" width="17.42578125" bestFit="1" customWidth="1"/>
    <col min="9218" max="9218" width="8.7109375" customWidth="1"/>
    <col min="9219" max="9219" width="58.85546875" customWidth="1"/>
    <col min="9220" max="9220" width="6.85546875" customWidth="1"/>
    <col min="9221" max="9221" width="8.42578125" bestFit="1" customWidth="1"/>
    <col min="9222" max="9222" width="11.28515625" bestFit="1" customWidth="1"/>
    <col min="9223" max="9224" width="13.5703125" bestFit="1" customWidth="1"/>
    <col min="9473" max="9473" width="17.42578125" bestFit="1" customWidth="1"/>
    <col min="9474" max="9474" width="8.7109375" customWidth="1"/>
    <col min="9475" max="9475" width="58.85546875" customWidth="1"/>
    <col min="9476" max="9476" width="6.85546875" customWidth="1"/>
    <col min="9477" max="9477" width="8.42578125" bestFit="1" customWidth="1"/>
    <col min="9478" max="9478" width="11.28515625" bestFit="1" customWidth="1"/>
    <col min="9479" max="9480" width="13.5703125" bestFit="1" customWidth="1"/>
    <col min="9729" max="9729" width="17.42578125" bestFit="1" customWidth="1"/>
    <col min="9730" max="9730" width="8.7109375" customWidth="1"/>
    <col min="9731" max="9731" width="58.85546875" customWidth="1"/>
    <col min="9732" max="9732" width="6.85546875" customWidth="1"/>
    <col min="9733" max="9733" width="8.42578125" bestFit="1" customWidth="1"/>
    <col min="9734" max="9734" width="11.28515625" bestFit="1" customWidth="1"/>
    <col min="9735" max="9736" width="13.5703125" bestFit="1" customWidth="1"/>
    <col min="9985" max="9985" width="17.42578125" bestFit="1" customWidth="1"/>
    <col min="9986" max="9986" width="8.7109375" customWidth="1"/>
    <col min="9987" max="9987" width="58.85546875" customWidth="1"/>
    <col min="9988" max="9988" width="6.85546875" customWidth="1"/>
    <col min="9989" max="9989" width="8.42578125" bestFit="1" customWidth="1"/>
    <col min="9990" max="9990" width="11.28515625" bestFit="1" customWidth="1"/>
    <col min="9991" max="9992" width="13.5703125" bestFit="1" customWidth="1"/>
    <col min="10241" max="10241" width="17.42578125" bestFit="1" customWidth="1"/>
    <col min="10242" max="10242" width="8.7109375" customWidth="1"/>
    <col min="10243" max="10243" width="58.85546875" customWidth="1"/>
    <col min="10244" max="10244" width="6.85546875" customWidth="1"/>
    <col min="10245" max="10245" width="8.42578125" bestFit="1" customWidth="1"/>
    <col min="10246" max="10246" width="11.28515625" bestFit="1" customWidth="1"/>
    <col min="10247" max="10248" width="13.5703125" bestFit="1" customWidth="1"/>
    <col min="10497" max="10497" width="17.42578125" bestFit="1" customWidth="1"/>
    <col min="10498" max="10498" width="8.7109375" customWidth="1"/>
    <col min="10499" max="10499" width="58.85546875" customWidth="1"/>
    <col min="10500" max="10500" width="6.85546875" customWidth="1"/>
    <col min="10501" max="10501" width="8.42578125" bestFit="1" customWidth="1"/>
    <col min="10502" max="10502" width="11.28515625" bestFit="1" customWidth="1"/>
    <col min="10503" max="10504" width="13.5703125" bestFit="1" customWidth="1"/>
    <col min="10753" max="10753" width="17.42578125" bestFit="1" customWidth="1"/>
    <col min="10754" max="10754" width="8.7109375" customWidth="1"/>
    <col min="10755" max="10755" width="58.85546875" customWidth="1"/>
    <col min="10756" max="10756" width="6.85546875" customWidth="1"/>
    <col min="10757" max="10757" width="8.42578125" bestFit="1" customWidth="1"/>
    <col min="10758" max="10758" width="11.28515625" bestFit="1" customWidth="1"/>
    <col min="10759" max="10760" width="13.5703125" bestFit="1" customWidth="1"/>
    <col min="11009" max="11009" width="17.42578125" bestFit="1" customWidth="1"/>
    <col min="11010" max="11010" width="8.7109375" customWidth="1"/>
    <col min="11011" max="11011" width="58.85546875" customWidth="1"/>
    <col min="11012" max="11012" width="6.85546875" customWidth="1"/>
    <col min="11013" max="11013" width="8.42578125" bestFit="1" customWidth="1"/>
    <col min="11014" max="11014" width="11.28515625" bestFit="1" customWidth="1"/>
    <col min="11015" max="11016" width="13.5703125" bestFit="1" customWidth="1"/>
    <col min="11265" max="11265" width="17.42578125" bestFit="1" customWidth="1"/>
    <col min="11266" max="11266" width="8.7109375" customWidth="1"/>
    <col min="11267" max="11267" width="58.85546875" customWidth="1"/>
    <col min="11268" max="11268" width="6.85546875" customWidth="1"/>
    <col min="11269" max="11269" width="8.42578125" bestFit="1" customWidth="1"/>
    <col min="11270" max="11270" width="11.28515625" bestFit="1" customWidth="1"/>
    <col min="11271" max="11272" width="13.5703125" bestFit="1" customWidth="1"/>
    <col min="11521" max="11521" width="17.42578125" bestFit="1" customWidth="1"/>
    <col min="11522" max="11522" width="8.7109375" customWidth="1"/>
    <col min="11523" max="11523" width="58.85546875" customWidth="1"/>
    <col min="11524" max="11524" width="6.85546875" customWidth="1"/>
    <col min="11525" max="11525" width="8.42578125" bestFit="1" customWidth="1"/>
    <col min="11526" max="11526" width="11.28515625" bestFit="1" customWidth="1"/>
    <col min="11527" max="11528" width="13.5703125" bestFit="1" customWidth="1"/>
    <col min="11777" max="11777" width="17.42578125" bestFit="1" customWidth="1"/>
    <col min="11778" max="11778" width="8.7109375" customWidth="1"/>
    <col min="11779" max="11779" width="58.85546875" customWidth="1"/>
    <col min="11780" max="11780" width="6.85546875" customWidth="1"/>
    <col min="11781" max="11781" width="8.42578125" bestFit="1" customWidth="1"/>
    <col min="11782" max="11782" width="11.28515625" bestFit="1" customWidth="1"/>
    <col min="11783" max="11784" width="13.5703125" bestFit="1" customWidth="1"/>
    <col min="12033" max="12033" width="17.42578125" bestFit="1" customWidth="1"/>
    <col min="12034" max="12034" width="8.7109375" customWidth="1"/>
    <col min="12035" max="12035" width="58.85546875" customWidth="1"/>
    <col min="12036" max="12036" width="6.85546875" customWidth="1"/>
    <col min="12037" max="12037" width="8.42578125" bestFit="1" customWidth="1"/>
    <col min="12038" max="12038" width="11.28515625" bestFit="1" customWidth="1"/>
    <col min="12039" max="12040" width="13.5703125" bestFit="1" customWidth="1"/>
    <col min="12289" max="12289" width="17.42578125" bestFit="1" customWidth="1"/>
    <col min="12290" max="12290" width="8.7109375" customWidth="1"/>
    <col min="12291" max="12291" width="58.85546875" customWidth="1"/>
    <col min="12292" max="12292" width="6.85546875" customWidth="1"/>
    <col min="12293" max="12293" width="8.42578125" bestFit="1" customWidth="1"/>
    <col min="12294" max="12294" width="11.28515625" bestFit="1" customWidth="1"/>
    <col min="12295" max="12296" width="13.5703125" bestFit="1" customWidth="1"/>
    <col min="12545" max="12545" width="17.42578125" bestFit="1" customWidth="1"/>
    <col min="12546" max="12546" width="8.7109375" customWidth="1"/>
    <col min="12547" max="12547" width="58.85546875" customWidth="1"/>
    <col min="12548" max="12548" width="6.85546875" customWidth="1"/>
    <col min="12549" max="12549" width="8.42578125" bestFit="1" customWidth="1"/>
    <col min="12550" max="12550" width="11.28515625" bestFit="1" customWidth="1"/>
    <col min="12551" max="12552" width="13.5703125" bestFit="1" customWidth="1"/>
    <col min="12801" max="12801" width="17.42578125" bestFit="1" customWidth="1"/>
    <col min="12802" max="12802" width="8.7109375" customWidth="1"/>
    <col min="12803" max="12803" width="58.85546875" customWidth="1"/>
    <col min="12804" max="12804" width="6.85546875" customWidth="1"/>
    <col min="12805" max="12805" width="8.42578125" bestFit="1" customWidth="1"/>
    <col min="12806" max="12806" width="11.28515625" bestFit="1" customWidth="1"/>
    <col min="12807" max="12808" width="13.5703125" bestFit="1" customWidth="1"/>
    <col min="13057" max="13057" width="17.42578125" bestFit="1" customWidth="1"/>
    <col min="13058" max="13058" width="8.7109375" customWidth="1"/>
    <col min="13059" max="13059" width="58.85546875" customWidth="1"/>
    <col min="13060" max="13060" width="6.85546875" customWidth="1"/>
    <col min="13061" max="13061" width="8.42578125" bestFit="1" customWidth="1"/>
    <col min="13062" max="13062" width="11.28515625" bestFit="1" customWidth="1"/>
    <col min="13063" max="13064" width="13.5703125" bestFit="1" customWidth="1"/>
    <col min="13313" max="13313" width="17.42578125" bestFit="1" customWidth="1"/>
    <col min="13314" max="13314" width="8.7109375" customWidth="1"/>
    <col min="13315" max="13315" width="58.85546875" customWidth="1"/>
    <col min="13316" max="13316" width="6.85546875" customWidth="1"/>
    <col min="13317" max="13317" width="8.42578125" bestFit="1" customWidth="1"/>
    <col min="13318" max="13318" width="11.28515625" bestFit="1" customWidth="1"/>
    <col min="13319" max="13320" width="13.5703125" bestFit="1" customWidth="1"/>
    <col min="13569" max="13569" width="17.42578125" bestFit="1" customWidth="1"/>
    <col min="13570" max="13570" width="8.7109375" customWidth="1"/>
    <col min="13571" max="13571" width="58.85546875" customWidth="1"/>
    <col min="13572" max="13572" width="6.85546875" customWidth="1"/>
    <col min="13573" max="13573" width="8.42578125" bestFit="1" customWidth="1"/>
    <col min="13574" max="13574" width="11.28515625" bestFit="1" customWidth="1"/>
    <col min="13575" max="13576" width="13.5703125" bestFit="1" customWidth="1"/>
    <col min="13825" max="13825" width="17.42578125" bestFit="1" customWidth="1"/>
    <col min="13826" max="13826" width="8.7109375" customWidth="1"/>
    <col min="13827" max="13827" width="58.85546875" customWidth="1"/>
    <col min="13828" max="13828" width="6.85546875" customWidth="1"/>
    <col min="13829" max="13829" width="8.42578125" bestFit="1" customWidth="1"/>
    <col min="13830" max="13830" width="11.28515625" bestFit="1" customWidth="1"/>
    <col min="13831" max="13832" width="13.5703125" bestFit="1" customWidth="1"/>
    <col min="14081" max="14081" width="17.42578125" bestFit="1" customWidth="1"/>
    <col min="14082" max="14082" width="8.7109375" customWidth="1"/>
    <col min="14083" max="14083" width="58.85546875" customWidth="1"/>
    <col min="14084" max="14084" width="6.85546875" customWidth="1"/>
    <col min="14085" max="14085" width="8.42578125" bestFit="1" customWidth="1"/>
    <col min="14086" max="14086" width="11.28515625" bestFit="1" customWidth="1"/>
    <col min="14087" max="14088" width="13.5703125" bestFit="1" customWidth="1"/>
    <col min="14337" max="14337" width="17.42578125" bestFit="1" customWidth="1"/>
    <col min="14338" max="14338" width="8.7109375" customWidth="1"/>
    <col min="14339" max="14339" width="58.85546875" customWidth="1"/>
    <col min="14340" max="14340" width="6.85546875" customWidth="1"/>
    <col min="14341" max="14341" width="8.42578125" bestFit="1" customWidth="1"/>
    <col min="14342" max="14342" width="11.28515625" bestFit="1" customWidth="1"/>
    <col min="14343" max="14344" width="13.5703125" bestFit="1" customWidth="1"/>
    <col min="14593" max="14593" width="17.42578125" bestFit="1" customWidth="1"/>
    <col min="14594" max="14594" width="8.7109375" customWidth="1"/>
    <col min="14595" max="14595" width="58.85546875" customWidth="1"/>
    <col min="14596" max="14596" width="6.85546875" customWidth="1"/>
    <col min="14597" max="14597" width="8.42578125" bestFit="1" customWidth="1"/>
    <col min="14598" max="14598" width="11.28515625" bestFit="1" customWidth="1"/>
    <col min="14599" max="14600" width="13.5703125" bestFit="1" customWidth="1"/>
    <col min="14849" max="14849" width="17.42578125" bestFit="1" customWidth="1"/>
    <col min="14850" max="14850" width="8.7109375" customWidth="1"/>
    <col min="14851" max="14851" width="58.85546875" customWidth="1"/>
    <col min="14852" max="14852" width="6.85546875" customWidth="1"/>
    <col min="14853" max="14853" width="8.42578125" bestFit="1" customWidth="1"/>
    <col min="14854" max="14854" width="11.28515625" bestFit="1" customWidth="1"/>
    <col min="14855" max="14856" width="13.5703125" bestFit="1" customWidth="1"/>
    <col min="15105" max="15105" width="17.42578125" bestFit="1" customWidth="1"/>
    <col min="15106" max="15106" width="8.7109375" customWidth="1"/>
    <col min="15107" max="15107" width="58.85546875" customWidth="1"/>
    <col min="15108" max="15108" width="6.85546875" customWidth="1"/>
    <col min="15109" max="15109" width="8.42578125" bestFit="1" customWidth="1"/>
    <col min="15110" max="15110" width="11.28515625" bestFit="1" customWidth="1"/>
    <col min="15111" max="15112" width="13.5703125" bestFit="1" customWidth="1"/>
    <col min="15361" max="15361" width="17.42578125" bestFit="1" customWidth="1"/>
    <col min="15362" max="15362" width="8.7109375" customWidth="1"/>
    <col min="15363" max="15363" width="58.85546875" customWidth="1"/>
    <col min="15364" max="15364" width="6.85546875" customWidth="1"/>
    <col min="15365" max="15365" width="8.42578125" bestFit="1" customWidth="1"/>
    <col min="15366" max="15366" width="11.28515625" bestFit="1" customWidth="1"/>
    <col min="15367" max="15368" width="13.5703125" bestFit="1" customWidth="1"/>
    <col min="15617" max="15617" width="17.42578125" bestFit="1" customWidth="1"/>
    <col min="15618" max="15618" width="8.7109375" customWidth="1"/>
    <col min="15619" max="15619" width="58.85546875" customWidth="1"/>
    <col min="15620" max="15620" width="6.85546875" customWidth="1"/>
    <col min="15621" max="15621" width="8.42578125" bestFit="1" customWidth="1"/>
    <col min="15622" max="15622" width="11.28515625" bestFit="1" customWidth="1"/>
    <col min="15623" max="15624" width="13.5703125" bestFit="1" customWidth="1"/>
    <col min="15873" max="15873" width="17.42578125" bestFit="1" customWidth="1"/>
    <col min="15874" max="15874" width="8.7109375" customWidth="1"/>
    <col min="15875" max="15875" width="58.85546875" customWidth="1"/>
    <col min="15876" max="15876" width="6.85546875" customWidth="1"/>
    <col min="15877" max="15877" width="8.42578125" bestFit="1" customWidth="1"/>
    <col min="15878" max="15878" width="11.28515625" bestFit="1" customWidth="1"/>
    <col min="15879" max="15880" width="13.5703125" bestFit="1" customWidth="1"/>
    <col min="16129" max="16129" width="17.42578125" bestFit="1" customWidth="1"/>
    <col min="16130" max="16130" width="8.7109375" customWidth="1"/>
    <col min="16131" max="16131" width="58.85546875" customWidth="1"/>
    <col min="16132" max="16132" width="6.85546875" customWidth="1"/>
    <col min="16133" max="16133" width="8.42578125" bestFit="1" customWidth="1"/>
    <col min="16134" max="16134" width="11.28515625" bestFit="1" customWidth="1"/>
    <col min="16135" max="16136" width="13.5703125" bestFit="1" customWidth="1"/>
  </cols>
  <sheetData>
    <row r="1" spans="1:13">
      <c r="A1" s="961"/>
      <c r="B1" s="962"/>
      <c r="C1" s="963" t="s">
        <v>17</v>
      </c>
      <c r="D1" s="963"/>
      <c r="E1" s="963"/>
      <c r="F1" s="963"/>
      <c r="G1" s="963"/>
      <c r="H1" s="963"/>
    </row>
    <row r="2" spans="1:13">
      <c r="A2" s="962"/>
      <c r="B2" s="962"/>
      <c r="C2" s="963"/>
      <c r="D2" s="963"/>
      <c r="E2" s="963"/>
      <c r="F2" s="963"/>
      <c r="G2" s="963"/>
      <c r="H2" s="963"/>
    </row>
    <row r="3" spans="1:13">
      <c r="A3" s="962"/>
      <c r="B3" s="962"/>
      <c r="C3" s="963"/>
      <c r="D3" s="963"/>
      <c r="E3" s="963"/>
      <c r="F3" s="963"/>
      <c r="G3" s="963"/>
      <c r="H3" s="963"/>
    </row>
    <row r="4" spans="1:13">
      <c r="A4" s="962"/>
      <c r="B4" s="962"/>
      <c r="C4" s="963"/>
      <c r="D4" s="963"/>
      <c r="E4" s="963"/>
      <c r="F4" s="963"/>
      <c r="G4" s="963"/>
      <c r="H4" s="963"/>
    </row>
    <row r="5" spans="1:13">
      <c r="A5" s="962"/>
      <c r="B5" s="962"/>
      <c r="C5" s="963"/>
      <c r="D5" s="963"/>
      <c r="E5" s="963"/>
      <c r="F5" s="963"/>
      <c r="G5" s="963"/>
      <c r="H5" s="963"/>
    </row>
    <row r="6" spans="1:13">
      <c r="A6" s="963" t="s">
        <v>80</v>
      </c>
      <c r="B6" s="967"/>
      <c r="C6" s="963" t="s">
        <v>1589</v>
      </c>
      <c r="D6" s="963"/>
      <c r="E6" s="963"/>
      <c r="F6" s="963"/>
      <c r="G6" s="963"/>
      <c r="H6" s="963"/>
    </row>
    <row r="7" spans="1:13">
      <c r="A7" s="967"/>
      <c r="B7" s="967"/>
      <c r="C7" s="963"/>
      <c r="D7" s="963"/>
      <c r="E7" s="963"/>
      <c r="F7" s="963"/>
      <c r="G7" s="963"/>
      <c r="H7" s="963"/>
    </row>
    <row r="8" spans="1:13" ht="15.75" customHeight="1">
      <c r="A8" s="963" t="s">
        <v>1521</v>
      </c>
      <c r="B8" s="963"/>
      <c r="C8" s="963" t="s">
        <v>1034</v>
      </c>
      <c r="D8" s="963"/>
      <c r="E8" s="963"/>
      <c r="F8" s="963"/>
      <c r="G8" s="963"/>
      <c r="H8" s="963"/>
    </row>
    <row r="9" spans="1:13">
      <c r="A9" s="963"/>
      <c r="B9" s="963"/>
      <c r="C9" s="963"/>
      <c r="D9" s="963"/>
      <c r="E9" s="963"/>
      <c r="F9" s="963"/>
      <c r="G9" s="963"/>
      <c r="H9" s="963"/>
    </row>
    <row r="10" spans="1:13" ht="17.25" customHeight="1">
      <c r="A10" s="958" t="s">
        <v>220</v>
      </c>
      <c r="B10" s="958"/>
      <c r="C10" s="102" t="s">
        <v>221</v>
      </c>
      <c r="D10" s="945"/>
      <c r="E10" s="946"/>
      <c r="F10" s="946"/>
      <c r="G10" s="946"/>
      <c r="H10" s="947"/>
    </row>
    <row r="11" spans="1:13">
      <c r="A11" s="964" t="s">
        <v>1124</v>
      </c>
      <c r="B11" s="964"/>
      <c r="C11" s="964"/>
      <c r="D11" s="964"/>
      <c r="E11" s="964"/>
      <c r="F11" s="964"/>
      <c r="G11" s="965" t="s">
        <v>2</v>
      </c>
      <c r="H11" s="966">
        <f>[5]BDI!O29</f>
        <v>0.25215503759149449</v>
      </c>
    </row>
    <row r="12" spans="1:13">
      <c r="A12" s="964" t="s">
        <v>1033</v>
      </c>
      <c r="B12" s="964"/>
      <c r="C12" s="964"/>
      <c r="D12" s="964"/>
      <c r="E12" s="964"/>
      <c r="F12" s="964"/>
      <c r="G12" s="965"/>
      <c r="H12" s="966"/>
    </row>
    <row r="13" spans="1:13">
      <c r="A13" s="968" t="s">
        <v>18</v>
      </c>
      <c r="B13" s="968" t="s">
        <v>19</v>
      </c>
      <c r="C13" s="968" t="s">
        <v>20</v>
      </c>
      <c r="D13" s="972"/>
      <c r="E13" s="972"/>
      <c r="F13" s="972"/>
      <c r="G13" s="972"/>
      <c r="H13" s="972"/>
    </row>
    <row r="14" spans="1:13">
      <c r="A14" s="969"/>
      <c r="B14" s="968"/>
      <c r="C14" s="968"/>
      <c r="D14" s="1" t="s">
        <v>21</v>
      </c>
      <c r="E14" s="2" t="s">
        <v>22</v>
      </c>
      <c r="F14" s="3" t="s">
        <v>23</v>
      </c>
      <c r="G14" s="3" t="s">
        <v>24</v>
      </c>
      <c r="H14" s="3" t="s">
        <v>25</v>
      </c>
    </row>
    <row r="15" spans="1:13" ht="26.25" customHeight="1">
      <c r="A15" s="4"/>
      <c r="B15" s="4" t="s">
        <v>26</v>
      </c>
      <c r="C15" s="305" t="s">
        <v>5</v>
      </c>
      <c r="D15" s="4"/>
      <c r="E15" s="306"/>
      <c r="F15" s="291"/>
      <c r="G15" s="291"/>
      <c r="H15" s="291">
        <f>SUM(H16:H19)</f>
        <v>3611.5326599055434</v>
      </c>
    </row>
    <row r="16" spans="1:13" s="11" customFormat="1" ht="30" customHeight="1">
      <c r="A16" s="1" t="s">
        <v>16</v>
      </c>
      <c r="B16" s="1" t="s">
        <v>6</v>
      </c>
      <c r="C16" s="310" t="s">
        <v>27</v>
      </c>
      <c r="D16" s="1" t="s">
        <v>7</v>
      </c>
      <c r="E16" s="99">
        <v>150</v>
      </c>
      <c r="F16" s="32">
        <v>2.62</v>
      </c>
      <c r="G16" s="101">
        <f t="shared" ref="G16:G60" si="0">F16+F16*$H$11</f>
        <v>3.2806461984897157</v>
      </c>
      <c r="H16" s="32">
        <f>G16*E16</f>
        <v>492.09692977345736</v>
      </c>
      <c r="I16" s="1091" t="s">
        <v>445</v>
      </c>
      <c r="J16" s="1092"/>
      <c r="K16" s="1092"/>
      <c r="L16" s="1092"/>
      <c r="M16" s="1092"/>
    </row>
    <row r="17" spans="1:13" s="11" customFormat="1" ht="36">
      <c r="A17" s="1" t="s">
        <v>28</v>
      </c>
      <c r="B17" s="865" t="s">
        <v>29</v>
      </c>
      <c r="C17" s="310" t="s">
        <v>8</v>
      </c>
      <c r="D17" s="1" t="s">
        <v>7</v>
      </c>
      <c r="E17" s="99">
        <v>75</v>
      </c>
      <c r="F17" s="32">
        <v>18.8</v>
      </c>
      <c r="G17" s="101">
        <f t="shared" si="0"/>
        <v>23.540514706720096</v>
      </c>
      <c r="H17" s="32">
        <f>G17*E17</f>
        <v>1765.5386030040072</v>
      </c>
      <c r="I17" s="1070" t="s">
        <v>445</v>
      </c>
      <c r="J17" s="1071"/>
      <c r="K17" s="1071"/>
      <c r="L17" s="1071"/>
      <c r="M17" s="1071"/>
    </row>
    <row r="18" spans="1:13" s="11" customFormat="1">
      <c r="A18" s="1" t="str">
        <f>COMPOSIÇÕES!B133</f>
        <v>COMPOSIÇÃO 12</v>
      </c>
      <c r="B18" s="865" t="s">
        <v>31</v>
      </c>
      <c r="C18" s="310" t="str">
        <f>COMPOSIÇÕES!C133</f>
        <v>DEMOLIÇÃO DE FORROS</v>
      </c>
      <c r="D18" s="1" t="s">
        <v>7</v>
      </c>
      <c r="E18" s="99">
        <v>75.31</v>
      </c>
      <c r="F18" s="32">
        <f>COMPOSIÇÕES!G139</f>
        <v>3.9748000000000001</v>
      </c>
      <c r="G18" s="101">
        <f t="shared" si="0"/>
        <v>4.9770658434186723</v>
      </c>
      <c r="H18" s="32">
        <f>G18*E18</f>
        <v>374.82282866786022</v>
      </c>
      <c r="I18" s="1097" t="s">
        <v>593</v>
      </c>
      <c r="J18" s="1070"/>
      <c r="K18" s="1070"/>
      <c r="L18" s="1070"/>
      <c r="M18" s="328"/>
    </row>
    <row r="19" spans="1:13" s="11" customFormat="1">
      <c r="A19" s="1" t="str">
        <f>COMPOSIÇÕES!B95</f>
        <v>COMPOSIÇÃO 08</v>
      </c>
      <c r="B19" s="865" t="s">
        <v>79</v>
      </c>
      <c r="C19" s="310" t="str">
        <f>COMPOSIÇÕES!C95</f>
        <v>DEMOLIÇAO DE REBOCO</v>
      </c>
      <c r="D19" s="1" t="s">
        <v>7</v>
      </c>
      <c r="E19" s="99">
        <v>90.29</v>
      </c>
      <c r="F19" s="32">
        <f>COMPOSIÇÕES!G100</f>
        <v>8.66</v>
      </c>
      <c r="G19" s="101">
        <f t="shared" si="0"/>
        <v>10.843662625542343</v>
      </c>
      <c r="H19" s="32">
        <f>G19*E19</f>
        <v>979.0742984602183</v>
      </c>
      <c r="I19" s="1070" t="s">
        <v>448</v>
      </c>
      <c r="J19" s="1070"/>
      <c r="K19" s="1070"/>
      <c r="L19" s="1070"/>
      <c r="M19" s="328"/>
    </row>
    <row r="20" spans="1:13" s="11" customFormat="1" ht="16.5" customHeight="1">
      <c r="A20" s="951"/>
      <c r="B20" s="952"/>
      <c r="C20" s="952"/>
      <c r="D20" s="952"/>
      <c r="E20" s="952"/>
      <c r="F20" s="952"/>
      <c r="G20" s="952"/>
      <c r="H20" s="953"/>
      <c r="I20" s="326"/>
      <c r="J20" s="326"/>
      <c r="K20" s="326"/>
      <c r="L20" s="326"/>
      <c r="M20" s="328"/>
    </row>
    <row r="21" spans="1:13" s="11" customFormat="1" ht="37.5" customHeight="1">
      <c r="A21" s="4"/>
      <c r="B21" s="4" t="s">
        <v>32</v>
      </c>
      <c r="C21" s="311" t="s">
        <v>624</v>
      </c>
      <c r="D21" s="4"/>
      <c r="E21" s="306"/>
      <c r="F21" s="291"/>
      <c r="G21" s="291"/>
      <c r="H21" s="291">
        <f>SUM(H22)</f>
        <v>2128.5633915025332</v>
      </c>
      <c r="I21" s="326"/>
      <c r="J21" s="326"/>
      <c r="K21" s="326"/>
      <c r="L21" s="326"/>
      <c r="M21" s="328"/>
    </row>
    <row r="22" spans="1:13" s="11" customFormat="1" ht="64.5" customHeight="1">
      <c r="A22" s="337" t="s">
        <v>625</v>
      </c>
      <c r="B22" s="337" t="s">
        <v>12</v>
      </c>
      <c r="C22" s="344" t="s">
        <v>635</v>
      </c>
      <c r="D22" s="337" t="s">
        <v>7</v>
      </c>
      <c r="E22" s="99">
        <v>24</v>
      </c>
      <c r="F22" s="32">
        <v>70.83</v>
      </c>
      <c r="G22" s="329">
        <f t="shared" si="0"/>
        <v>88.690141312605547</v>
      </c>
      <c r="H22" s="32">
        <f>G22*E22</f>
        <v>2128.5633915025332</v>
      </c>
      <c r="I22" s="1070" t="s">
        <v>634</v>
      </c>
      <c r="J22" s="1070"/>
      <c r="K22" s="1070"/>
      <c r="L22" s="1070"/>
      <c r="M22" s="328"/>
    </row>
    <row r="23" spans="1:13">
      <c r="A23" s="1090"/>
      <c r="B23" s="1090"/>
      <c r="C23" s="1090"/>
      <c r="D23" s="1090"/>
      <c r="E23" s="1090"/>
      <c r="F23" s="1090"/>
      <c r="G23" s="1090"/>
      <c r="H23" s="1090"/>
      <c r="I23" s="218"/>
      <c r="J23" s="219"/>
      <c r="K23" s="219"/>
      <c r="L23" s="219"/>
      <c r="M23" s="219"/>
    </row>
    <row r="24" spans="1:13">
      <c r="A24" s="4"/>
      <c r="B24" s="4" t="s">
        <v>33</v>
      </c>
      <c r="C24" s="311" t="s">
        <v>34</v>
      </c>
      <c r="D24" s="4"/>
      <c r="E24" s="306"/>
      <c r="F24" s="291"/>
      <c r="G24" s="291"/>
      <c r="H24" s="291">
        <f>SUM(H25:H30)</f>
        <v>49433.038890913434</v>
      </c>
      <c r="I24" s="218"/>
      <c r="J24" s="218"/>
      <c r="K24" s="218"/>
      <c r="L24" s="219"/>
      <c r="M24" s="219"/>
    </row>
    <row r="25" spans="1:13" ht="27.75" customHeight="1">
      <c r="A25" s="270" t="s">
        <v>36</v>
      </c>
      <c r="B25" s="270" t="s">
        <v>14</v>
      </c>
      <c r="C25" s="195" t="s">
        <v>839</v>
      </c>
      <c r="D25" s="271" t="s">
        <v>7</v>
      </c>
      <c r="E25" s="34">
        <f>'MEMORIA LAFAYETE'!K675</f>
        <v>1053.4848</v>
      </c>
      <c r="F25" s="346">
        <v>13.67</v>
      </c>
      <c r="G25" s="273">
        <f t="shared" si="0"/>
        <v>17.116959363875729</v>
      </c>
      <c r="H25" s="346">
        <f t="shared" ref="H25:H30" si="1">G25*E25</f>
        <v>18032.456512060748</v>
      </c>
      <c r="I25" s="1070"/>
      <c r="J25" s="1071"/>
      <c r="K25" s="1071"/>
      <c r="L25" s="1071"/>
      <c r="M25" s="1071"/>
    </row>
    <row r="26" spans="1:13" ht="42" customHeight="1">
      <c r="A26" s="270" t="s">
        <v>1285</v>
      </c>
      <c r="B26" s="270" t="s">
        <v>35</v>
      </c>
      <c r="C26" s="195" t="s">
        <v>841</v>
      </c>
      <c r="D26" s="271" t="s">
        <v>7</v>
      </c>
      <c r="E26" s="34">
        <f>'MEMORIA LAFAYETE'!K720</f>
        <v>836.67599999999993</v>
      </c>
      <c r="F26" s="346">
        <v>14.2</v>
      </c>
      <c r="G26" s="273">
        <f t="shared" si="0"/>
        <v>17.780601533799221</v>
      </c>
      <c r="H26" s="346">
        <f t="shared" si="1"/>
        <v>14876.602568892995</v>
      </c>
      <c r="I26" s="1070"/>
      <c r="J26" s="1071"/>
      <c r="K26" s="1071"/>
      <c r="L26" s="1071"/>
      <c r="M26" s="1071"/>
    </row>
    <row r="27" spans="1:13" ht="43.5" customHeight="1">
      <c r="A27" s="370" t="str">
        <f>COMPOSIÇÕES!B188</f>
        <v>COMPOSIÇÃO 18</v>
      </c>
      <c r="B27" s="270" t="s">
        <v>37</v>
      </c>
      <c r="C27" s="386" t="str">
        <f>COMPOSIÇÕES!C188</f>
        <v>PINTURA DE ACABAMENTO COM APLICAÇÃO DE 02 DEMÃOS DE ESMALTE SOBRE PAREDE (EXTERNO E INTERNO)</v>
      </c>
      <c r="D27" s="13" t="s">
        <v>7</v>
      </c>
      <c r="E27" s="9">
        <f>'MEMORIA LAFAYETE'!L722</f>
        <v>418.33799999999997</v>
      </c>
      <c r="F27" s="32">
        <f>COMPOSIÇÕES!G195</f>
        <v>15.700000000000001</v>
      </c>
      <c r="G27" s="364">
        <f t="shared" si="0"/>
        <v>19.658834090186463</v>
      </c>
      <c r="H27" s="346">
        <f t="shared" si="1"/>
        <v>8224.0373356204236</v>
      </c>
      <c r="I27" s="362"/>
      <c r="J27" s="363"/>
      <c r="K27" s="363"/>
      <c r="L27" s="363"/>
      <c r="M27" s="363"/>
    </row>
    <row r="28" spans="1:13" ht="29.25" customHeight="1">
      <c r="A28" s="270" t="str">
        <f>COMPOSIÇÕES!B622</f>
        <v>COMPOSIÇÃO 29</v>
      </c>
      <c r="B28" s="270" t="s">
        <v>39</v>
      </c>
      <c r="C28" s="344" t="str">
        <f>COMPOSIÇÕES!C622</f>
        <v>APLICAÇÃO MECÂNICA DE PINTURA COM TINTA LÁTEX PVA EM TETO, DUAS DEMÃOS</v>
      </c>
      <c r="D28" s="271" t="s">
        <v>7</v>
      </c>
      <c r="E28" s="34">
        <f>'MEMORIA LAFAYETE'!K771</f>
        <v>52.08</v>
      </c>
      <c r="F28" s="346">
        <f>COMPOSIÇÕES!G630</f>
        <v>10.499575999999999</v>
      </c>
      <c r="G28" s="273">
        <f t="shared" si="0"/>
        <v>13.147096980974752</v>
      </c>
      <c r="H28" s="346">
        <f t="shared" si="1"/>
        <v>684.70081076916506</v>
      </c>
      <c r="I28" s="1070"/>
      <c r="J28" s="1071"/>
      <c r="K28" s="1071"/>
      <c r="L28" s="1071"/>
      <c r="M28" s="1071"/>
    </row>
    <row r="29" spans="1:13" ht="27.75" customHeight="1">
      <c r="A29" s="270" t="str">
        <f>COMPOSIÇÕES!B74</f>
        <v>COMPOSIÇÃO 07</v>
      </c>
      <c r="B29" s="270" t="s">
        <v>627</v>
      </c>
      <c r="C29" s="910" t="str">
        <f>COMPOSIÇÕES!C74</f>
        <v>PREPARO DE SUPERFICIE COM LIXAMENO DE PAREDES E TETOS</v>
      </c>
      <c r="D29" s="271" t="s">
        <v>7</v>
      </c>
      <c r="E29" s="34">
        <f>SUM(E25,E27)</f>
        <v>1471.8227999999999</v>
      </c>
      <c r="F29" s="346">
        <f>COMPOSIÇÕES!G80</f>
        <v>3.2896000000000005</v>
      </c>
      <c r="G29" s="273">
        <f t="shared" si="0"/>
        <v>4.119089211660981</v>
      </c>
      <c r="H29" s="346">
        <f t="shared" si="1"/>
        <v>6062.5694169566577</v>
      </c>
      <c r="I29" s="1070"/>
      <c r="J29" s="1070"/>
      <c r="K29" s="1070"/>
      <c r="L29" s="1070"/>
      <c r="M29" s="1070"/>
    </row>
    <row r="30" spans="1:13" ht="39.75" customHeight="1">
      <c r="A30" s="270" t="s">
        <v>618</v>
      </c>
      <c r="B30" s="270" t="s">
        <v>639</v>
      </c>
      <c r="C30" s="231" t="s">
        <v>619</v>
      </c>
      <c r="D30" s="271" t="s">
        <v>7</v>
      </c>
      <c r="E30" s="34">
        <v>100</v>
      </c>
      <c r="F30" s="346">
        <v>12.4</v>
      </c>
      <c r="G30" s="273">
        <f t="shared" si="0"/>
        <v>15.526722466134533</v>
      </c>
      <c r="H30" s="346">
        <f t="shared" si="1"/>
        <v>1552.6722466134534</v>
      </c>
      <c r="I30" s="260"/>
      <c r="J30" s="260"/>
      <c r="K30" s="260"/>
      <c r="L30" s="260"/>
      <c r="M30" s="260"/>
    </row>
    <row r="31" spans="1:13">
      <c r="A31" s="968"/>
      <c r="B31" s="968"/>
      <c r="C31" s="968"/>
      <c r="D31" s="968"/>
      <c r="E31" s="968"/>
      <c r="F31" s="968"/>
      <c r="G31" s="968"/>
      <c r="H31" s="968"/>
      <c r="I31" s="218"/>
      <c r="J31" s="218"/>
      <c r="K31" s="218"/>
      <c r="L31" s="219"/>
      <c r="M31" s="219"/>
    </row>
    <row r="32" spans="1:13">
      <c r="A32" s="4"/>
      <c r="B32" s="4" t="s">
        <v>42</v>
      </c>
      <c r="C32" s="311" t="s">
        <v>43</v>
      </c>
      <c r="D32" s="4"/>
      <c r="E32" s="306"/>
      <c r="F32" s="291"/>
      <c r="G32" s="291"/>
      <c r="H32" s="291">
        <f>SUM(H33:H35)</f>
        <v>5602.224530847835</v>
      </c>
      <c r="I32" s="218"/>
      <c r="J32" s="218"/>
      <c r="K32" s="218"/>
      <c r="L32" s="219"/>
      <c r="M32" s="219"/>
    </row>
    <row r="33" spans="1:13" s="11" customFormat="1" ht="54" customHeight="1">
      <c r="A33" s="1" t="s">
        <v>1339</v>
      </c>
      <c r="B33" s="1" t="s">
        <v>45</v>
      </c>
      <c r="C33" s="344" t="s">
        <v>915</v>
      </c>
      <c r="D33" s="13" t="s">
        <v>7</v>
      </c>
      <c r="E33" s="31">
        <v>90.29</v>
      </c>
      <c r="F33" s="32">
        <v>3.85</v>
      </c>
      <c r="G33" s="101">
        <f t="shared" si="0"/>
        <v>4.8207968947272537</v>
      </c>
      <c r="H33" s="32">
        <f>E33*G33</f>
        <v>435.26975162492374</v>
      </c>
      <c r="I33" s="1091" t="s">
        <v>471</v>
      </c>
      <c r="J33" s="1091"/>
      <c r="K33" s="1091"/>
      <c r="L33" s="1091"/>
      <c r="M33" s="218"/>
    </row>
    <row r="34" spans="1:13" s="11" customFormat="1" ht="66" customHeight="1">
      <c r="A34" s="1" t="s">
        <v>47</v>
      </c>
      <c r="B34" s="337" t="s">
        <v>198</v>
      </c>
      <c r="C34" s="310" t="s">
        <v>48</v>
      </c>
      <c r="D34" s="13" t="s">
        <v>7</v>
      </c>
      <c r="E34" s="31">
        <v>90.29</v>
      </c>
      <c r="F34" s="32">
        <v>32.93</v>
      </c>
      <c r="G34" s="101">
        <f t="shared" si="0"/>
        <v>41.233465387887911</v>
      </c>
      <c r="H34" s="32">
        <f>E34*G34</f>
        <v>3722.9695898723999</v>
      </c>
      <c r="I34" s="1091" t="s">
        <v>471</v>
      </c>
      <c r="J34" s="1091"/>
      <c r="K34" s="1091"/>
      <c r="L34" s="1091"/>
      <c r="M34" s="218"/>
    </row>
    <row r="35" spans="1:13" s="11" customFormat="1" ht="60">
      <c r="A35" s="1" t="s">
        <v>49</v>
      </c>
      <c r="B35" s="337" t="s">
        <v>50</v>
      </c>
      <c r="C35" s="310" t="s">
        <v>51</v>
      </c>
      <c r="D35" s="13" t="s">
        <v>30</v>
      </c>
      <c r="E35" s="31">
        <v>15</v>
      </c>
      <c r="F35" s="32">
        <v>76.88</v>
      </c>
      <c r="G35" s="101">
        <f t="shared" si="0"/>
        <v>96.265679290034086</v>
      </c>
      <c r="H35" s="32">
        <f>E35*G35</f>
        <v>1443.9851893505113</v>
      </c>
      <c r="I35" s="1091" t="s">
        <v>237</v>
      </c>
      <c r="J35" s="1091"/>
      <c r="K35" s="1091"/>
      <c r="L35" s="1091"/>
      <c r="M35" s="218"/>
    </row>
    <row r="36" spans="1:13">
      <c r="A36" s="1090"/>
      <c r="B36" s="1090"/>
      <c r="C36" s="1090"/>
      <c r="D36" s="1090"/>
      <c r="E36" s="1090"/>
      <c r="F36" s="1090"/>
      <c r="G36" s="1090"/>
      <c r="H36" s="1090"/>
      <c r="I36" s="218"/>
      <c r="J36" s="218"/>
      <c r="K36" s="218"/>
      <c r="L36" s="219"/>
      <c r="M36" s="219"/>
    </row>
    <row r="37" spans="1:13">
      <c r="A37" s="4"/>
      <c r="B37" s="4" t="s">
        <v>52</v>
      </c>
      <c r="C37" s="311" t="s">
        <v>53</v>
      </c>
      <c r="D37" s="4"/>
      <c r="E37" s="306"/>
      <c r="F37" s="291"/>
      <c r="G37" s="291"/>
      <c r="H37" s="291">
        <f>SUM(H38:H42)</f>
        <v>14376.597528764129</v>
      </c>
      <c r="I37" s="218"/>
      <c r="J37" s="218"/>
      <c r="K37" s="218"/>
      <c r="L37" s="219"/>
      <c r="M37" s="219"/>
    </row>
    <row r="38" spans="1:13" ht="54.75" customHeight="1">
      <c r="A38" s="1" t="str">
        <f>COMPOSIÇÕES!B24</f>
        <v>COMPOSIÇÃO 03</v>
      </c>
      <c r="B38" s="1" t="s">
        <v>54</v>
      </c>
      <c r="C38" s="310" t="str">
        <f>COMPOSIÇÕES!C24</f>
        <v>FORNECIMENTO E ASSENTAMENTO DE FERROLHO / FECHO CHATO, DE SOBREPOR, EM FERRO ZINCADO, REFORCADO, 6", COM PORTA CADEADO, PARA PORTAO, PORTA E JANELA</v>
      </c>
      <c r="D38" s="13" t="s">
        <v>21</v>
      </c>
      <c r="E38" s="31">
        <v>1</v>
      </c>
      <c r="F38" s="844">
        <f>COMPOSIÇÕES!G30</f>
        <v>18.646000000000001</v>
      </c>
      <c r="G38" s="101">
        <f>F38+F38*$H$11</f>
        <v>23.347682830931006</v>
      </c>
      <c r="H38" s="32">
        <f>E38*G38</f>
        <v>23.347682830931006</v>
      </c>
      <c r="I38" s="1070" t="s">
        <v>461</v>
      </c>
      <c r="J38" s="1071"/>
      <c r="K38" s="1071"/>
      <c r="L38" s="1071"/>
      <c r="M38" s="219"/>
    </row>
    <row r="39" spans="1:13" s="11" customFormat="1" ht="52.5" customHeight="1">
      <c r="A39" s="1" t="s">
        <v>87</v>
      </c>
      <c r="B39" s="843" t="s">
        <v>55</v>
      </c>
      <c r="C39" s="258" t="s">
        <v>88</v>
      </c>
      <c r="D39" s="13" t="s">
        <v>21</v>
      </c>
      <c r="E39" s="31">
        <v>8</v>
      </c>
      <c r="F39" s="216">
        <v>267.08</v>
      </c>
      <c r="G39" s="101">
        <f t="shared" si="0"/>
        <v>334.42556743993634</v>
      </c>
      <c r="H39" s="32">
        <f>E39*G39</f>
        <v>2675.4045395194908</v>
      </c>
      <c r="I39" s="1098" t="s">
        <v>449</v>
      </c>
      <c r="J39" s="1099"/>
      <c r="K39" s="1099"/>
      <c r="L39" s="1099"/>
      <c r="M39" s="218"/>
    </row>
    <row r="40" spans="1:13" s="11" customFormat="1" ht="42.75" customHeight="1">
      <c r="A40" s="1" t="str">
        <f>COMPOSIÇÕES!B102</f>
        <v>COMPOSIÇÃO 09</v>
      </c>
      <c r="B40" s="843" t="s">
        <v>85</v>
      </c>
      <c r="C40" s="176" t="str">
        <f>COMPOSIÇÕES!C102</f>
        <v>BASCLANTE EM ALUMINIO, COR N/P/B, MOLDURA-VIDRO, TIPO COVENCIONAL OU PIVOTANTE, EXCLUSIVE VIDRO</v>
      </c>
      <c r="D40" s="1" t="s">
        <v>7</v>
      </c>
      <c r="E40" s="1">
        <v>10</v>
      </c>
      <c r="F40" s="32">
        <f>COMPOSIÇÕES!G110</f>
        <v>607.38675999999998</v>
      </c>
      <c r="G40" s="101">
        <f t="shared" si="0"/>
        <v>760.54239130037604</v>
      </c>
      <c r="H40" s="32">
        <f>E40*G40</f>
        <v>7605.4239130037604</v>
      </c>
      <c r="I40" s="1098" t="s">
        <v>338</v>
      </c>
      <c r="J40" s="1099"/>
      <c r="K40" s="1099"/>
      <c r="L40" s="1099"/>
      <c r="M40" s="218"/>
    </row>
    <row r="41" spans="1:13" s="14" customFormat="1">
      <c r="A41" s="38" t="str">
        <f>COMPOSIÇÕES!B59</f>
        <v>COMPOSIÇÃO 06</v>
      </c>
      <c r="B41" s="843" t="s">
        <v>200</v>
      </c>
      <c r="C41" s="312" t="str">
        <f>COMPOSIÇÕES!C59</f>
        <v>REVISÃO DE ESQUADRIA DE MADEIRA</v>
      </c>
      <c r="D41" s="1" t="s">
        <v>30</v>
      </c>
      <c r="E41" s="34">
        <v>40.200000000000003</v>
      </c>
      <c r="F41" s="32">
        <f>COMPOSIÇÕES!G70</f>
        <v>52.650000000000006</v>
      </c>
      <c r="G41" s="101">
        <f t="shared" si="0"/>
        <v>65.925962729192193</v>
      </c>
      <c r="H41" s="32">
        <f>E41*G41</f>
        <v>2650.2237017135262</v>
      </c>
      <c r="I41" s="1068"/>
      <c r="J41" s="1069"/>
      <c r="K41" s="1069"/>
      <c r="L41" s="1069"/>
      <c r="M41" s="219"/>
    </row>
    <row r="42" spans="1:13" s="14" customFormat="1" ht="51.75" customHeight="1">
      <c r="A42" s="216" t="s">
        <v>433</v>
      </c>
      <c r="B42" s="843" t="s">
        <v>536</v>
      </c>
      <c r="C42" s="258" t="s">
        <v>434</v>
      </c>
      <c r="D42" s="1" t="s">
        <v>21</v>
      </c>
      <c r="E42" s="34">
        <v>9</v>
      </c>
      <c r="F42" s="32">
        <v>126.2</v>
      </c>
      <c r="G42" s="101">
        <f t="shared" si="0"/>
        <v>158.02196574404661</v>
      </c>
      <c r="H42" s="32">
        <f>E42*G42</f>
        <v>1422.1976916964195</v>
      </c>
      <c r="I42" s="1070" t="s">
        <v>462</v>
      </c>
      <c r="J42" s="1070"/>
      <c r="K42" s="1070"/>
      <c r="L42" s="1070"/>
      <c r="M42" s="219"/>
    </row>
    <row r="43" spans="1:13">
      <c r="A43" s="948"/>
      <c r="B43" s="949"/>
      <c r="C43" s="949"/>
      <c r="D43" s="949"/>
      <c r="E43" s="949"/>
      <c r="F43" s="949"/>
      <c r="G43" s="949"/>
      <c r="H43" s="950"/>
      <c r="I43" s="218"/>
      <c r="J43" s="218"/>
      <c r="K43" s="218"/>
      <c r="L43" s="219"/>
      <c r="M43" s="219"/>
    </row>
    <row r="44" spans="1:13">
      <c r="A44" s="4"/>
      <c r="B44" s="4" t="s">
        <v>56</v>
      </c>
      <c r="C44" s="311" t="s">
        <v>57</v>
      </c>
      <c r="D44" s="4"/>
      <c r="E44" s="306"/>
      <c r="F44" s="291"/>
      <c r="G44" s="291"/>
      <c r="H44" s="291">
        <f>SUM(H45:H47)</f>
        <v>36479.213020478419</v>
      </c>
      <c r="I44" s="218"/>
      <c r="J44" s="218"/>
      <c r="K44" s="218"/>
      <c r="L44" s="219"/>
      <c r="M44" s="219"/>
    </row>
    <row r="45" spans="1:13" ht="36">
      <c r="A45" s="1" t="s">
        <v>1544</v>
      </c>
      <c r="B45" s="1" t="s">
        <v>59</v>
      </c>
      <c r="C45" s="310" t="s">
        <v>1545</v>
      </c>
      <c r="D45" s="13" t="s">
        <v>482</v>
      </c>
      <c r="E45" s="31">
        <v>25.1</v>
      </c>
      <c r="F45" s="32">
        <v>86.94</v>
      </c>
      <c r="G45" s="101">
        <f t="shared" si="0"/>
        <v>108.86235896820453</v>
      </c>
      <c r="H45" s="32">
        <f>E45*G45</f>
        <v>2732.4452101019338</v>
      </c>
      <c r="I45" s="1097" t="s">
        <v>699</v>
      </c>
      <c r="J45" s="1071"/>
      <c r="K45" s="1071"/>
      <c r="L45" s="1071"/>
      <c r="M45" s="387"/>
    </row>
    <row r="46" spans="1:13" ht="28.5" customHeight="1">
      <c r="A46" s="840" t="s">
        <v>520</v>
      </c>
      <c r="B46" s="840" t="s">
        <v>61</v>
      </c>
      <c r="C46" s="310" t="s">
        <v>521</v>
      </c>
      <c r="D46" s="13" t="s">
        <v>7</v>
      </c>
      <c r="E46" s="31">
        <f>'MEMORIA LAFAYETE'!L846</f>
        <v>400</v>
      </c>
      <c r="F46" s="32">
        <v>35.130000000000003</v>
      </c>
      <c r="G46" s="839">
        <f t="shared" ref="G46" si="2">F46+F46*$H$11</f>
        <v>43.988206470589205</v>
      </c>
      <c r="H46" s="32">
        <f>E46*G46</f>
        <v>17595.282588235681</v>
      </c>
      <c r="I46" s="837"/>
      <c r="J46" s="838"/>
      <c r="K46" s="838"/>
      <c r="L46" s="838"/>
      <c r="M46" s="387"/>
    </row>
    <row r="47" spans="1:13" s="11" customFormat="1" ht="39.75" customHeight="1">
      <c r="A47" s="1" t="s">
        <v>58</v>
      </c>
      <c r="B47" s="840" t="s">
        <v>469</v>
      </c>
      <c r="C47" s="310" t="s">
        <v>60</v>
      </c>
      <c r="D47" s="13" t="s">
        <v>7</v>
      </c>
      <c r="E47" s="31">
        <v>761</v>
      </c>
      <c r="F47" s="32">
        <v>16.95</v>
      </c>
      <c r="G47" s="101">
        <f t="shared" si="0"/>
        <v>21.224027887175829</v>
      </c>
      <c r="H47" s="32">
        <f>E47*G47</f>
        <v>16151.485222140805</v>
      </c>
      <c r="I47" s="1070" t="s">
        <v>466</v>
      </c>
      <c r="J47" s="1071"/>
      <c r="K47" s="1071"/>
      <c r="L47" s="1071"/>
      <c r="M47" s="1071"/>
    </row>
    <row r="48" spans="1:13">
      <c r="A48" s="948"/>
      <c r="B48" s="949"/>
      <c r="C48" s="949"/>
      <c r="D48" s="949"/>
      <c r="E48" s="949"/>
      <c r="F48" s="949"/>
      <c r="G48" s="949"/>
      <c r="H48" s="950"/>
      <c r="I48" s="218"/>
      <c r="J48" s="218"/>
      <c r="K48" s="218"/>
      <c r="L48" s="219"/>
      <c r="M48" s="219"/>
    </row>
    <row r="49" spans="1:13" ht="23.25" customHeight="1">
      <c r="A49" s="4"/>
      <c r="B49" s="4" t="s">
        <v>62</v>
      </c>
      <c r="C49" s="311" t="s">
        <v>63</v>
      </c>
      <c r="D49" s="4"/>
      <c r="E49" s="306"/>
      <c r="F49" s="291"/>
      <c r="G49" s="291"/>
      <c r="H49" s="291">
        <f>SUM(H50:H54)</f>
        <v>7922.0510670044878</v>
      </c>
      <c r="I49" s="218"/>
      <c r="J49" s="218"/>
      <c r="K49" s="218"/>
      <c r="L49" s="219"/>
      <c r="M49" s="219"/>
    </row>
    <row r="50" spans="1:13" ht="60">
      <c r="A50" s="216" t="s">
        <v>484</v>
      </c>
      <c r="B50" s="15" t="s">
        <v>64</v>
      </c>
      <c r="C50" s="258" t="s">
        <v>486</v>
      </c>
      <c r="D50" s="16" t="s">
        <v>77</v>
      </c>
      <c r="E50" s="308">
        <v>87</v>
      </c>
      <c r="F50" s="32">
        <v>61.45</v>
      </c>
      <c r="G50" s="101">
        <f t="shared" si="0"/>
        <v>76.94492705999734</v>
      </c>
      <c r="H50" s="32">
        <f>E50*G50</f>
        <v>6694.2086542197685</v>
      </c>
      <c r="I50" s="1070" t="s">
        <v>524</v>
      </c>
      <c r="J50" s="1071"/>
      <c r="K50" s="1071"/>
      <c r="L50" s="1071"/>
      <c r="M50" s="219"/>
    </row>
    <row r="51" spans="1:13" ht="36">
      <c r="A51" s="216" t="str">
        <f>COMPOSIÇÕES!B168</f>
        <v>COMPOSIÇÃO 16</v>
      </c>
      <c r="B51" s="15" t="s">
        <v>101</v>
      </c>
      <c r="C51" s="258" t="str">
        <f>COMPOSIÇÕES!C168</f>
        <v>TUBO PVP RIÍDO COM PVP DE BORRACHA, SERIE REFORÇADA, P/ ESGOTO E ÁGUAS PLUVIAIS, D = 100MM</v>
      </c>
      <c r="D51" s="16" t="s">
        <v>77</v>
      </c>
      <c r="E51" s="308">
        <v>14.5</v>
      </c>
      <c r="F51" s="32">
        <f>COMPOSIÇÕES!G177</f>
        <v>28.876190000000001</v>
      </c>
      <c r="G51" s="329">
        <f>F51+F51*$H$11</f>
        <v>36.157466774949143</v>
      </c>
      <c r="H51" s="32">
        <f>E51*G51</f>
        <v>524.28326823676252</v>
      </c>
      <c r="I51" s="1097" t="s">
        <v>700</v>
      </c>
      <c r="J51" s="1070"/>
      <c r="K51" s="1070"/>
      <c r="L51" s="1070"/>
      <c r="M51" s="1070"/>
    </row>
    <row r="52" spans="1:13" ht="26.25" customHeight="1">
      <c r="A52" s="1" t="s">
        <v>468</v>
      </c>
      <c r="B52" s="15" t="s">
        <v>429</v>
      </c>
      <c r="C52" s="310" t="s">
        <v>470</v>
      </c>
      <c r="D52" s="16" t="s">
        <v>21</v>
      </c>
      <c r="E52" s="308">
        <v>5</v>
      </c>
      <c r="F52" s="32">
        <v>12.25</v>
      </c>
      <c r="G52" s="101">
        <f t="shared" si="0"/>
        <v>15.338899210495807</v>
      </c>
      <c r="H52" s="32">
        <f>E52*G52</f>
        <v>76.694496052479039</v>
      </c>
      <c r="I52" s="1070" t="s">
        <v>473</v>
      </c>
      <c r="J52" s="1071"/>
      <c r="K52" s="1071"/>
      <c r="L52" s="1071"/>
      <c r="M52" s="219"/>
    </row>
    <row r="53" spans="1:13" s="11" customFormat="1">
      <c r="A53" s="38" t="str">
        <f>COMPOSIÇÕES!B32</f>
        <v>COMPOSIÇÃO 04</v>
      </c>
      <c r="B53" s="15" t="s">
        <v>546</v>
      </c>
      <c r="C53" s="258" t="str">
        <f>COMPOSIÇÕES!C32</f>
        <v>REVISÃO DE PONTO DE ESGOTO</v>
      </c>
      <c r="D53" s="16" t="s">
        <v>21</v>
      </c>
      <c r="E53" s="308">
        <v>7</v>
      </c>
      <c r="F53" s="32">
        <f>COMPOSIÇÕES!G41</f>
        <v>35.792659999999998</v>
      </c>
      <c r="G53" s="101">
        <f t="shared" si="0"/>
        <v>44.81795952779958</v>
      </c>
      <c r="H53" s="32">
        <f>E53*G53</f>
        <v>313.72571669459705</v>
      </c>
      <c r="I53" s="1070" t="s">
        <v>467</v>
      </c>
      <c r="J53" s="1071"/>
      <c r="K53" s="1071"/>
      <c r="L53" s="1071"/>
      <c r="M53" s="218"/>
    </row>
    <row r="54" spans="1:13" s="11" customFormat="1" ht="45" customHeight="1">
      <c r="A54" s="1" t="s">
        <v>430</v>
      </c>
      <c r="B54" s="15" t="s">
        <v>547</v>
      </c>
      <c r="C54" s="258" t="s">
        <v>431</v>
      </c>
      <c r="D54" s="16" t="s">
        <v>21</v>
      </c>
      <c r="E54" s="308">
        <v>4</v>
      </c>
      <c r="F54" s="32">
        <v>62.52</v>
      </c>
      <c r="G54" s="101">
        <f t="shared" si="0"/>
        <v>78.284732950220246</v>
      </c>
      <c r="H54" s="32">
        <f>E54*G54</f>
        <v>313.13893180088098</v>
      </c>
      <c r="I54" s="1070" t="s">
        <v>472</v>
      </c>
      <c r="J54" s="1071"/>
      <c r="K54" s="1071"/>
      <c r="L54" s="1071"/>
      <c r="M54" s="218"/>
    </row>
    <row r="55" spans="1:13" s="11" customFormat="1">
      <c r="A55" s="948"/>
      <c r="B55" s="949"/>
      <c r="C55" s="949"/>
      <c r="D55" s="949"/>
      <c r="E55" s="949"/>
      <c r="F55" s="949"/>
      <c r="G55" s="949"/>
      <c r="H55" s="950"/>
      <c r="I55" s="218"/>
      <c r="J55" s="218"/>
      <c r="K55" s="218"/>
      <c r="L55" s="218"/>
      <c r="M55" s="218"/>
    </row>
    <row r="56" spans="1:13" s="11" customFormat="1" ht="35.25" customHeight="1">
      <c r="A56" s="4"/>
      <c r="B56" s="4" t="s">
        <v>65</v>
      </c>
      <c r="C56" s="311" t="s">
        <v>66</v>
      </c>
      <c r="D56" s="4"/>
      <c r="E56" s="306"/>
      <c r="F56" s="291"/>
      <c r="G56" s="194"/>
      <c r="H56" s="291">
        <f>SUM(H57:H60)</f>
        <v>19966.388410519685</v>
      </c>
      <c r="I56" s="218"/>
      <c r="J56" s="218"/>
      <c r="K56" s="218"/>
      <c r="L56" s="218"/>
      <c r="M56" s="218"/>
    </row>
    <row r="57" spans="1:13" s="11" customFormat="1" ht="25.5" customHeight="1">
      <c r="A57" s="216" t="str">
        <f>COMPOSIÇÕES!B153</f>
        <v>COMPOSIÇÃO 14</v>
      </c>
      <c r="B57" s="15" t="s">
        <v>68</v>
      </c>
      <c r="C57" s="258" t="str">
        <f>COMPOSIÇÕES!C153</f>
        <v>INSTALAÇÃO DE AR CONDICIONADO  DE AR TIPO SPLIT HIGHT WALL, 12000 BTU</v>
      </c>
      <c r="D57" s="16" t="s">
        <v>21</v>
      </c>
      <c r="E57" s="308">
        <f>'MEMORIA LAFAYETE'!L885</f>
        <v>15</v>
      </c>
      <c r="F57" s="32">
        <f>COMPOSIÇÕES!G158</f>
        <v>900</v>
      </c>
      <c r="G57" s="329">
        <f t="shared" si="0"/>
        <v>1126.939533832345</v>
      </c>
      <c r="H57" s="32">
        <f t="shared" ref="H57:H60" si="3">E57*G57</f>
        <v>16904.093007485175</v>
      </c>
      <c r="I57" s="218"/>
      <c r="J57" s="218"/>
      <c r="K57" s="218"/>
      <c r="L57" s="218"/>
      <c r="M57" s="218"/>
    </row>
    <row r="58" spans="1:13" ht="39.75" customHeight="1">
      <c r="A58" s="216" t="s">
        <v>427</v>
      </c>
      <c r="B58" s="15" t="s">
        <v>202</v>
      </c>
      <c r="C58" s="258" t="s">
        <v>428</v>
      </c>
      <c r="D58" s="16" t="s">
        <v>21</v>
      </c>
      <c r="E58" s="308">
        <v>4</v>
      </c>
      <c r="F58" s="32">
        <v>21.14</v>
      </c>
      <c r="G58" s="101">
        <f t="shared" si="0"/>
        <v>26.470557494684194</v>
      </c>
      <c r="H58" s="32">
        <f t="shared" si="3"/>
        <v>105.88222997873677</v>
      </c>
      <c r="I58" s="1070" t="s">
        <v>465</v>
      </c>
      <c r="J58" s="1071"/>
      <c r="K58" s="1071"/>
      <c r="L58" s="1071"/>
      <c r="M58" s="219"/>
    </row>
    <row r="59" spans="1:13" ht="27.75" customHeight="1">
      <c r="A59" s="1" t="s">
        <v>423</v>
      </c>
      <c r="B59" s="15" t="s">
        <v>525</v>
      </c>
      <c r="C59" s="258" t="s">
        <v>424</v>
      </c>
      <c r="D59" s="13" t="s">
        <v>21</v>
      </c>
      <c r="E59" s="309">
        <v>68</v>
      </c>
      <c r="F59" s="32">
        <v>33.799999999999997</v>
      </c>
      <c r="G59" s="101">
        <f t="shared" si="0"/>
        <v>42.322840270592508</v>
      </c>
      <c r="H59" s="32">
        <f t="shared" si="3"/>
        <v>2877.9531384002903</v>
      </c>
      <c r="I59" s="1070" t="s">
        <v>475</v>
      </c>
      <c r="J59" s="1071"/>
      <c r="K59" s="1071"/>
      <c r="L59" s="1071"/>
      <c r="M59" s="219"/>
    </row>
    <row r="60" spans="1:13" ht="45.75" customHeight="1">
      <c r="A60" s="1" t="s">
        <v>425</v>
      </c>
      <c r="B60" s="15" t="s">
        <v>549</v>
      </c>
      <c r="C60" s="258" t="s">
        <v>426</v>
      </c>
      <c r="D60" s="13" t="s">
        <v>21</v>
      </c>
      <c r="E60" s="309">
        <v>2</v>
      </c>
      <c r="F60" s="32">
        <v>31.33</v>
      </c>
      <c r="G60" s="101">
        <f t="shared" si="0"/>
        <v>39.230017327741521</v>
      </c>
      <c r="H60" s="32">
        <f t="shared" si="3"/>
        <v>78.460034655483042</v>
      </c>
      <c r="I60" s="1070" t="s">
        <v>474</v>
      </c>
      <c r="J60" s="1070"/>
      <c r="K60" s="1070"/>
      <c r="L60" s="1070"/>
      <c r="M60" s="219"/>
    </row>
    <row r="61" spans="1:13" ht="12.75" customHeight="1">
      <c r="A61" s="951"/>
      <c r="B61" s="952"/>
      <c r="C61" s="952"/>
      <c r="D61" s="952"/>
      <c r="E61" s="952"/>
      <c r="F61" s="952"/>
      <c r="G61" s="952"/>
      <c r="H61" s="953"/>
      <c r="I61" s="217"/>
      <c r="J61" s="217"/>
      <c r="K61" s="217"/>
      <c r="L61" s="217"/>
      <c r="M61" s="219"/>
    </row>
    <row r="62" spans="1:13" ht="23.25" customHeight="1">
      <c r="A62" s="4"/>
      <c r="B62" s="4" t="s">
        <v>72</v>
      </c>
      <c r="C62" s="311" t="s">
        <v>616</v>
      </c>
      <c r="D62" s="4"/>
      <c r="E62" s="306"/>
      <c r="F62" s="291"/>
      <c r="G62" s="291"/>
      <c r="H62" s="291">
        <f>SUM(H63:H63)</f>
        <v>503.96735952982471</v>
      </c>
      <c r="I62" s="217"/>
      <c r="J62" s="217"/>
      <c r="K62" s="217"/>
      <c r="L62" s="217"/>
      <c r="M62" s="219"/>
    </row>
    <row r="63" spans="1:13" ht="55.5" customHeight="1">
      <c r="A63" s="1" t="s">
        <v>517</v>
      </c>
      <c r="B63" s="1" t="s">
        <v>75</v>
      </c>
      <c r="C63" s="258" t="s">
        <v>518</v>
      </c>
      <c r="D63" s="19" t="s">
        <v>7</v>
      </c>
      <c r="E63" s="309">
        <v>9</v>
      </c>
      <c r="F63" s="32">
        <v>44.72</v>
      </c>
      <c r="G63" s="101">
        <f>F63+F63*$H$11</f>
        <v>55.996373281091635</v>
      </c>
      <c r="H63" s="32">
        <f>E63*G63</f>
        <v>503.96735952982471</v>
      </c>
      <c r="I63" s="1070" t="s">
        <v>602</v>
      </c>
      <c r="J63" s="1070"/>
      <c r="K63" s="1070"/>
      <c r="L63" s="1070"/>
      <c r="M63" s="219"/>
    </row>
    <row r="64" spans="1:13">
      <c r="A64" s="1095"/>
      <c r="B64" s="1095"/>
      <c r="C64" s="1095"/>
      <c r="D64" s="1095"/>
      <c r="E64" s="1095"/>
      <c r="F64" s="1095"/>
      <c r="G64" s="1095"/>
      <c r="H64" s="1095"/>
      <c r="I64" s="12"/>
      <c r="J64" s="12"/>
    </row>
    <row r="65" spans="1:8">
      <c r="A65" s="4"/>
      <c r="B65" s="4" t="s">
        <v>628</v>
      </c>
      <c r="C65" s="311" t="s">
        <v>73</v>
      </c>
      <c r="D65" s="4"/>
      <c r="E65" s="306"/>
      <c r="F65" s="291"/>
      <c r="G65" s="291"/>
      <c r="H65" s="291">
        <f>SUM(H66:H69)</f>
        <v>31815.446885567457</v>
      </c>
    </row>
    <row r="66" spans="1:8" ht="72">
      <c r="A66" s="393" t="s">
        <v>74</v>
      </c>
      <c r="B66" s="393" t="s">
        <v>629</v>
      </c>
      <c r="C66" s="258" t="s">
        <v>76</v>
      </c>
      <c r="D66" s="19" t="s">
        <v>77</v>
      </c>
      <c r="E66" s="309">
        <v>13</v>
      </c>
      <c r="F66" s="32">
        <v>522.78</v>
      </c>
      <c r="G66" s="389">
        <f>F66+F66*$H$11</f>
        <v>654.60161055208141</v>
      </c>
      <c r="H66" s="32">
        <f>E66*G66</f>
        <v>8509.820937177059</v>
      </c>
    </row>
    <row r="67" spans="1:8">
      <c r="A67" s="216" t="str">
        <f>COMPOSIÇÕES!B121</f>
        <v>COMPOSIÇÃO 11</v>
      </c>
      <c r="B67" s="393" t="s">
        <v>701</v>
      </c>
      <c r="C67" s="258" t="str">
        <f>COMPOSIÇÕES!C121</f>
        <v>REFORMA DE TOLDO  EM LONA ÁGUA E CHUVA</v>
      </c>
      <c r="D67" s="16" t="s">
        <v>7</v>
      </c>
      <c r="E67" s="308">
        <v>10</v>
      </c>
      <c r="F67" s="32">
        <f>COMPOSIÇÕES!G131</f>
        <v>124.247</v>
      </c>
      <c r="G67" s="389">
        <f>F67+F67*$H$11</f>
        <v>155.57650695563041</v>
      </c>
      <c r="H67" s="32">
        <f>E67*G67</f>
        <v>1555.7650695563041</v>
      </c>
    </row>
    <row r="68" spans="1:8" ht="40.5" customHeight="1">
      <c r="A68" s="393" t="str">
        <f>COMPOSIÇÕES!B112</f>
        <v>COMPOSIÇÃO 10</v>
      </c>
      <c r="B68" s="393" t="s">
        <v>702</v>
      </c>
      <c r="C68" s="229" t="str">
        <f>COMPOSIÇÕES!C112</f>
        <v>REVISÃO DE ESTRUTURA METÁLICA EXCLUSIVE  CHUMBAMENTO (ALAMBRADO,GUARDA-CORPO), EXCLUSIVE TELA</v>
      </c>
      <c r="D68" s="19" t="s">
        <v>7</v>
      </c>
      <c r="E68" s="309">
        <v>224</v>
      </c>
      <c r="F68" s="32">
        <f>COMPOSIÇÕES!G119</f>
        <v>75.142600000000002</v>
      </c>
      <c r="G68" s="389">
        <f>F68+F68*$H$11</f>
        <v>94.090185127722634</v>
      </c>
      <c r="H68" s="32">
        <f>E68*G68</f>
        <v>21076.20146860987</v>
      </c>
    </row>
    <row r="69" spans="1:8">
      <c r="A69" s="393" t="str">
        <f>COMPOSIÇÕES!B144</f>
        <v>COMPOSIÇÃO 13</v>
      </c>
      <c r="B69" s="393" t="s">
        <v>703</v>
      </c>
      <c r="C69" s="258" t="s">
        <v>609</v>
      </c>
      <c r="D69" s="19" t="s">
        <v>7</v>
      </c>
      <c r="E69" s="309">
        <v>200</v>
      </c>
      <c r="F69" s="32">
        <f>COMPOSIÇÕES!G151</f>
        <v>2.6900000000000004</v>
      </c>
      <c r="G69" s="389">
        <f>F69+F69*$H$11</f>
        <v>3.3682970511211208</v>
      </c>
      <c r="H69" s="32">
        <f>E69*G69</f>
        <v>673.65941022422419</v>
      </c>
    </row>
    <row r="70" spans="1:8">
      <c r="A70" s="1096"/>
      <c r="B70" s="1096"/>
      <c r="C70" s="1096"/>
      <c r="D70" s="1096"/>
      <c r="E70" s="1096"/>
      <c r="F70" s="1096"/>
      <c r="G70" s="1096"/>
      <c r="H70" s="1096"/>
    </row>
    <row r="71" spans="1:8">
      <c r="A71" s="1087" t="s">
        <v>78</v>
      </c>
      <c r="B71" s="1088"/>
      <c r="C71" s="1088"/>
      <c r="D71" s="1088"/>
      <c r="E71" s="1088"/>
      <c r="F71" s="1088"/>
      <c r="G71" s="1089"/>
      <c r="H71" s="291">
        <f>SUM(H65,H62,H56,H49,H44,H37,H32,H24,H21,H15)</f>
        <v>171839.02374503337</v>
      </c>
    </row>
  </sheetData>
  <mergeCells count="55">
    <mergeCell ref="A10:B10"/>
    <mergeCell ref="A11:F11"/>
    <mergeCell ref="G11:G12"/>
    <mergeCell ref="H11:H12"/>
    <mergeCell ref="A12:F12"/>
    <mergeCell ref="D10:H10"/>
    <mergeCell ref="A1:B5"/>
    <mergeCell ref="C1:H5"/>
    <mergeCell ref="A6:B7"/>
    <mergeCell ref="C6:H7"/>
    <mergeCell ref="A8:B9"/>
    <mergeCell ref="C8:H9"/>
    <mergeCell ref="I63:L63"/>
    <mergeCell ref="C13:C14"/>
    <mergeCell ref="D13:H13"/>
    <mergeCell ref="I33:L33"/>
    <mergeCell ref="I52:L52"/>
    <mergeCell ref="I18:L18"/>
    <mergeCell ref="I53:L53"/>
    <mergeCell ref="I54:L54"/>
    <mergeCell ref="I50:L50"/>
    <mergeCell ref="I58:L58"/>
    <mergeCell ref="I59:L59"/>
    <mergeCell ref="I60:L60"/>
    <mergeCell ref="I29:M29"/>
    <mergeCell ref="I19:L19"/>
    <mergeCell ref="I16:M16"/>
    <mergeCell ref="I17:M17"/>
    <mergeCell ref="I38:L38"/>
    <mergeCell ref="A13:A14"/>
    <mergeCell ref="B13:B14"/>
    <mergeCell ref="A20:H20"/>
    <mergeCell ref="I34:L34"/>
    <mergeCell ref="I35:L35"/>
    <mergeCell ref="I25:M25"/>
    <mergeCell ref="I26:M26"/>
    <mergeCell ref="I28:M28"/>
    <mergeCell ref="A23:H23"/>
    <mergeCell ref="A31:H31"/>
    <mergeCell ref="A71:G71"/>
    <mergeCell ref="A64:H64"/>
    <mergeCell ref="A70:H70"/>
    <mergeCell ref="I22:L22"/>
    <mergeCell ref="A61:H61"/>
    <mergeCell ref="A55:H55"/>
    <mergeCell ref="A48:H48"/>
    <mergeCell ref="A43:H43"/>
    <mergeCell ref="I45:L45"/>
    <mergeCell ref="I51:M51"/>
    <mergeCell ref="I47:M47"/>
    <mergeCell ref="I41:L41"/>
    <mergeCell ref="A36:H36"/>
    <mergeCell ref="I39:L39"/>
    <mergeCell ref="I40:L40"/>
    <mergeCell ref="I42:L42"/>
  </mergeCells>
  <printOptions horizontalCentered="1"/>
  <pageMargins left="0.78740157480314965" right="0.78740157480314965" top="0.78740157480314965" bottom="0.78740157480314965" header="0.31496062992125984" footer="0.31496062992125984"/>
  <pageSetup paperSize="9" scale="53" orientation="portrait" r:id="rId1"/>
  <headerFooter>
    <oddFooter>Página &amp;P de &amp;N</oddFooter>
  </headerFooter>
  <rowBreaks count="2" manualBreakCount="2">
    <brk id="36" max="7" man="1"/>
    <brk id="71" max="7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L934"/>
  <sheetViews>
    <sheetView showGridLines="0" view="pageBreakPreview" zoomScale="85" zoomScaleNormal="100" zoomScaleSheetLayoutView="85" workbookViewId="0">
      <selection activeCell="N851" sqref="N851"/>
    </sheetView>
  </sheetViews>
  <sheetFormatPr defaultRowHeight="15"/>
  <cols>
    <col min="2" max="8" width="10.7109375" customWidth="1"/>
    <col min="9" max="9" width="12" customWidth="1"/>
    <col min="10" max="10" width="12.85546875" customWidth="1"/>
    <col min="11" max="12" width="10.7109375" customWidth="1"/>
  </cols>
  <sheetData>
    <row r="1" spans="2:12" ht="15.75" thickBot="1"/>
    <row r="2" spans="2:12">
      <c r="B2" s="1033" t="s">
        <v>103</v>
      </c>
      <c r="C2" s="1034"/>
      <c r="D2" s="1039" t="str">
        <f>'[6]PLANILHA ORÇAMENTÁRIA'!E2</f>
        <v>PREFEITURA MUNICIPAL DE ITAMBÉ</v>
      </c>
      <c r="E2" s="1040"/>
      <c r="F2" s="1040"/>
      <c r="G2" s="1040"/>
      <c r="H2" s="1040"/>
      <c r="I2" s="1041"/>
      <c r="J2" s="1042"/>
      <c r="K2" s="1043"/>
      <c r="L2" s="1044"/>
    </row>
    <row r="3" spans="2:12">
      <c r="B3" s="1035"/>
      <c r="C3" s="1036"/>
      <c r="D3" s="1051" t="s">
        <v>1041</v>
      </c>
      <c r="E3" s="1052"/>
      <c r="F3" s="1052"/>
      <c r="G3" s="1052"/>
      <c r="H3" s="1052"/>
      <c r="I3" s="1053"/>
      <c r="J3" s="1045"/>
      <c r="K3" s="1046"/>
      <c r="L3" s="1047"/>
    </row>
    <row r="4" spans="2:12" ht="66.75" customHeight="1">
      <c r="B4" s="1035"/>
      <c r="C4" s="1036"/>
      <c r="D4" s="1054" t="s">
        <v>1590</v>
      </c>
      <c r="E4" s="1055"/>
      <c r="F4" s="1055"/>
      <c r="G4" s="1055"/>
      <c r="H4" s="1055"/>
      <c r="I4" s="1056"/>
      <c r="J4" s="1045"/>
      <c r="K4" s="1046"/>
      <c r="L4" s="1047"/>
    </row>
    <row r="5" spans="2:12" ht="9.75" customHeight="1" thickBot="1">
      <c r="B5" s="1037"/>
      <c r="C5" s="1038"/>
      <c r="D5" s="1057"/>
      <c r="E5" s="1058"/>
      <c r="F5" s="1058"/>
      <c r="G5" s="1058"/>
      <c r="H5" s="1058"/>
      <c r="I5" s="1059"/>
      <c r="J5" s="1048"/>
      <c r="K5" s="1049"/>
      <c r="L5" s="1050"/>
    </row>
    <row r="6" spans="2:12" hidden="1">
      <c r="B6" s="40"/>
      <c r="C6" s="40"/>
      <c r="D6" s="40"/>
      <c r="E6" s="40"/>
      <c r="F6" s="40"/>
      <c r="G6" s="40"/>
      <c r="H6" s="40"/>
      <c r="I6" s="40"/>
      <c r="J6" s="41"/>
      <c r="K6" s="40"/>
      <c r="L6" s="40"/>
    </row>
    <row r="7" spans="2:12" hidden="1">
      <c r="B7" s="1060" t="s">
        <v>104</v>
      </c>
      <c r="C7" s="1060"/>
      <c r="D7" s="42" t="e">
        <f>'[6]PLANILHA ORÇAMENTÁRIA'!J6</f>
        <v>#REF!</v>
      </c>
      <c r="E7" s="43"/>
      <c r="F7" s="198" t="s">
        <v>105</v>
      </c>
      <c r="G7" s="42" t="e">
        <f>'[6]PLANILHA ORÇAMENTÁRIA'!J7</f>
        <v>#REF!</v>
      </c>
      <c r="H7" s="45" t="s">
        <v>1</v>
      </c>
      <c r="I7" s="46"/>
      <c r="J7" s="46" t="str">
        <f>'[6]PLANILHA ORÇAMENTÁRIA'!B8</f>
        <v>SINAPI - FEV/2019 DESONERADO</v>
      </c>
      <c r="K7" s="43"/>
      <c r="L7" s="43"/>
    </row>
    <row r="8" spans="2:12" hidden="1">
      <c r="B8" s="198" t="s">
        <v>106</v>
      </c>
      <c r="C8" s="1061" t="e">
        <f>'[6]PLANILHA ORÇAMENTÁRIA'!J8</f>
        <v>#REF!</v>
      </c>
      <c r="D8" s="1061"/>
      <c r="E8" s="43"/>
      <c r="F8" s="198" t="s">
        <v>0</v>
      </c>
      <c r="G8" s="47">
        <f>'[6]PLANILHA ORÇAMENTÁRIA'!J5</f>
        <v>43641</v>
      </c>
      <c r="H8" s="46"/>
      <c r="I8" s="48"/>
      <c r="J8" s="46"/>
      <c r="K8" s="43"/>
      <c r="L8" s="43"/>
    </row>
    <row r="9" spans="2:12" hidden="1">
      <c r="B9" s="49"/>
      <c r="C9" s="50"/>
      <c r="D9" s="46"/>
      <c r="E9" s="46"/>
      <c r="F9" s="46"/>
      <c r="G9" s="46"/>
      <c r="H9" s="46"/>
      <c r="I9" s="46"/>
      <c r="J9" s="46"/>
      <c r="K9" s="43"/>
      <c r="L9" s="51"/>
    </row>
    <row r="10" spans="2:12" hidden="1">
      <c r="B10" s="52" t="s">
        <v>107</v>
      </c>
      <c r="C10" s="53" t="s">
        <v>108</v>
      </c>
      <c r="D10" s="54"/>
      <c r="E10" s="55"/>
      <c r="F10" s="56"/>
      <c r="G10" s="54"/>
      <c r="H10" s="57" t="s">
        <v>109</v>
      </c>
      <c r="I10" s="53" t="s">
        <v>110</v>
      </c>
      <c r="J10" s="46"/>
      <c r="K10" s="43"/>
      <c r="L10" s="51"/>
    </row>
    <row r="11" spans="2:12" hidden="1">
      <c r="B11" s="49"/>
      <c r="C11" s="50"/>
      <c r="D11" s="46"/>
      <c r="E11" s="46"/>
      <c r="F11" s="46"/>
      <c r="G11" s="46"/>
      <c r="H11" s="46"/>
      <c r="I11" s="46"/>
      <c r="J11" s="46"/>
      <c r="K11" s="43"/>
      <c r="L11" s="51"/>
    </row>
    <row r="12" spans="2:12" hidden="1">
      <c r="B12" s="58" t="str">
        <f>'[6]PLANILHA ORÇAMENTÁRIA'!D11</f>
        <v>1.0</v>
      </c>
      <c r="C12" s="1000" t="str">
        <f>'[6]PLANILHA ORÇAMENTÁRIA'!E11</f>
        <v>SERVIÇOS PRELIMINARES</v>
      </c>
      <c r="D12" s="1000"/>
      <c r="E12" s="1000"/>
      <c r="F12" s="1000"/>
      <c r="G12" s="1000"/>
      <c r="H12" s="1000"/>
      <c r="I12" s="1000"/>
      <c r="J12" s="1000"/>
      <c r="K12" s="59"/>
      <c r="L12" s="59"/>
    </row>
    <row r="13" spans="2:12" hidden="1">
      <c r="B13" s="60" t="str">
        <f>'[6]PLANILHA ORÇAMENTÁRIA'!D12</f>
        <v>1.1</v>
      </c>
      <c r="C13" s="1003" t="str">
        <f>'[6]PLANILHA ORÇAMENTÁRIA'!E12</f>
        <v>PLACA DE OBRA EM CHAPA DE ACO GALVANIZADO</v>
      </c>
      <c r="D13" s="1003"/>
      <c r="E13" s="1003"/>
      <c r="F13" s="1003"/>
      <c r="G13" s="1003"/>
      <c r="H13" s="1003"/>
      <c r="I13" s="1003"/>
      <c r="J13" s="1003"/>
      <c r="K13" s="61" t="str">
        <f>'[6]PLANILHA ORÇAMENTÁRIA'!F12</f>
        <v>M2</v>
      </c>
      <c r="L13" s="62">
        <f>K16</f>
        <v>6</v>
      </c>
    </row>
    <row r="14" spans="2:12" hidden="1">
      <c r="B14" s="63"/>
      <c r="C14" s="1004" t="s">
        <v>20</v>
      </c>
      <c r="D14" s="1004"/>
      <c r="E14" s="1004"/>
      <c r="F14" s="64" t="s">
        <v>3</v>
      </c>
      <c r="G14" s="199" t="s">
        <v>111</v>
      </c>
      <c r="H14" s="64" t="s">
        <v>112</v>
      </c>
      <c r="I14" s="199" t="s">
        <v>113</v>
      </c>
      <c r="J14" s="199" t="s">
        <v>114</v>
      </c>
      <c r="K14" s="66" t="s">
        <v>25</v>
      </c>
      <c r="L14" s="67"/>
    </row>
    <row r="15" spans="2:12" hidden="1">
      <c r="B15" s="63"/>
      <c r="C15" s="1001" t="s">
        <v>115</v>
      </c>
      <c r="D15" s="1001"/>
      <c r="E15" s="1001"/>
      <c r="F15" s="68"/>
      <c r="G15" s="68">
        <v>2</v>
      </c>
      <c r="H15" s="68"/>
      <c r="I15" s="68">
        <v>3</v>
      </c>
      <c r="J15" s="68"/>
      <c r="K15" s="69">
        <f>TRUNC(G15*I15,2)</f>
        <v>6</v>
      </c>
      <c r="L15" s="67"/>
    </row>
    <row r="16" spans="2:12" hidden="1">
      <c r="B16" s="63"/>
      <c r="C16" s="1002" t="s">
        <v>116</v>
      </c>
      <c r="D16" s="1002"/>
      <c r="E16" s="1002"/>
      <c r="F16" s="1002"/>
      <c r="G16" s="1002"/>
      <c r="H16" s="1002"/>
      <c r="I16" s="1002"/>
      <c r="J16" s="1002"/>
      <c r="K16" s="70">
        <f>SUM(K15:K15)</f>
        <v>6</v>
      </c>
      <c r="L16" s="67"/>
    </row>
    <row r="17" spans="2:12" hidden="1"/>
    <row r="18" spans="2:12" ht="25.5" hidden="1" customHeight="1">
      <c r="B18" s="60" t="str">
        <f>'[6]PLANILHA ORÇAMENTÁRIA'!D13</f>
        <v>1.2</v>
      </c>
      <c r="C18" s="1003" t="str">
        <f>'[6]PLANILHA ORÇAMENTÁRIA'!E13</f>
        <v>LIMPEZA MECANIZADA DE TERRENO COM REMOCAO DE CAMADA VEGETAL, UTILIZANDO MOTONIVELADORA</v>
      </c>
      <c r="D18" s="1003"/>
      <c r="E18" s="1003"/>
      <c r="F18" s="1003"/>
      <c r="G18" s="1003"/>
      <c r="H18" s="1003"/>
      <c r="I18" s="1003"/>
      <c r="J18" s="1003"/>
      <c r="K18" s="61" t="str">
        <f>'[6]PLANILHA ORÇAMENTÁRIA'!F13</f>
        <v>M2</v>
      </c>
      <c r="L18" s="62">
        <f>K21</f>
        <v>780.75</v>
      </c>
    </row>
    <row r="19" spans="2:12" hidden="1">
      <c r="B19" s="63"/>
      <c r="C19" s="1004" t="s">
        <v>20</v>
      </c>
      <c r="D19" s="1004"/>
      <c r="E19" s="1004"/>
      <c r="F19" s="64" t="s">
        <v>117</v>
      </c>
      <c r="G19" s="199" t="s">
        <v>111</v>
      </c>
      <c r="H19" s="64" t="s">
        <v>112</v>
      </c>
      <c r="I19" s="199" t="s">
        <v>113</v>
      </c>
      <c r="J19" s="199" t="s">
        <v>114</v>
      </c>
      <c r="K19" s="66" t="s">
        <v>25</v>
      </c>
      <c r="L19" s="67"/>
    </row>
    <row r="20" spans="2:12" ht="27.75" hidden="1" customHeight="1">
      <c r="B20" s="63"/>
      <c r="C20" s="1001" t="s">
        <v>118</v>
      </c>
      <c r="D20" s="1001"/>
      <c r="E20" s="1001"/>
      <c r="F20" s="68">
        <v>780.75</v>
      </c>
      <c r="G20" s="68"/>
      <c r="H20" s="68"/>
      <c r="I20" s="68"/>
      <c r="J20" s="68"/>
      <c r="K20" s="69">
        <f>F20</f>
        <v>780.75</v>
      </c>
      <c r="L20" s="67"/>
    </row>
    <row r="21" spans="2:12" hidden="1">
      <c r="B21" s="63"/>
      <c r="C21" s="1002" t="s">
        <v>116</v>
      </c>
      <c r="D21" s="1002"/>
      <c r="E21" s="1002"/>
      <c r="F21" s="1002"/>
      <c r="G21" s="1002"/>
      <c r="H21" s="1002"/>
      <c r="I21" s="1002"/>
      <c r="J21" s="1002"/>
      <c r="K21" s="70">
        <f>SUM(K20:K20)</f>
        <v>780.75</v>
      </c>
      <c r="L21" s="67"/>
    </row>
    <row r="22" spans="2:12" hidden="1">
      <c r="B22" s="63"/>
      <c r="C22" s="71"/>
      <c r="D22" s="71"/>
      <c r="E22" s="71"/>
      <c r="F22" s="71"/>
      <c r="G22" s="71"/>
      <c r="H22" s="71"/>
      <c r="I22" s="71"/>
      <c r="J22" s="71"/>
      <c r="K22" s="72"/>
      <c r="L22" s="67"/>
    </row>
    <row r="23" spans="2:12" ht="15" hidden="1" customHeight="1">
      <c r="B23" s="60" t="str">
        <f>'[6]PLANILHA ORÇAMENTÁRIA'!D14</f>
        <v>1.3</v>
      </c>
      <c r="C23" s="1003" t="str">
        <f>'[6]PLANILHA ORÇAMENTÁRIA'!E14</f>
        <v>LOCAÇÃO DA OBRA - EXECUÇÃO DE GABARITO</v>
      </c>
      <c r="D23" s="1003"/>
      <c r="E23" s="1003"/>
      <c r="F23" s="1003"/>
      <c r="G23" s="1003"/>
      <c r="H23" s="1003"/>
      <c r="I23" s="1003"/>
      <c r="J23" s="1003"/>
      <c r="K23" s="61" t="str">
        <f>'[6]PLANILHA ORÇAMENTÁRIA'!F14</f>
        <v>M2</v>
      </c>
      <c r="L23" s="62">
        <f>K27</f>
        <v>157.78</v>
      </c>
    </row>
    <row r="24" spans="2:12" hidden="1">
      <c r="B24" s="63"/>
      <c r="C24" s="1004" t="s">
        <v>20</v>
      </c>
      <c r="D24" s="1004"/>
      <c r="E24" s="1004"/>
      <c r="F24" s="64" t="s">
        <v>22</v>
      </c>
      <c r="G24" s="199" t="s">
        <v>111</v>
      </c>
      <c r="H24" s="64" t="s">
        <v>112</v>
      </c>
      <c r="I24" s="199" t="s">
        <v>113</v>
      </c>
      <c r="J24" s="199" t="s">
        <v>114</v>
      </c>
      <c r="K24" s="66" t="s">
        <v>25</v>
      </c>
      <c r="L24" s="67"/>
    </row>
    <row r="25" spans="2:12" hidden="1">
      <c r="B25" s="63"/>
      <c r="C25" s="1001" t="s">
        <v>119</v>
      </c>
      <c r="D25" s="1001"/>
      <c r="E25" s="1001"/>
      <c r="F25" s="68">
        <v>1</v>
      </c>
      <c r="G25" s="68"/>
      <c r="H25" s="68">
        <v>6.7</v>
      </c>
      <c r="I25" s="68">
        <v>12</v>
      </c>
      <c r="J25" s="68"/>
      <c r="K25" s="69">
        <f>PRODUCT(F25:I25)</f>
        <v>80.400000000000006</v>
      </c>
      <c r="L25" s="67"/>
    </row>
    <row r="26" spans="2:12" hidden="1">
      <c r="B26" s="63"/>
      <c r="C26" s="1001" t="s">
        <v>120</v>
      </c>
      <c r="D26" s="1001"/>
      <c r="E26" s="1001"/>
      <c r="F26" s="68">
        <v>4</v>
      </c>
      <c r="G26" s="68"/>
      <c r="H26" s="68">
        <v>3.65</v>
      </c>
      <c r="I26" s="68">
        <v>5.3</v>
      </c>
      <c r="J26" s="68"/>
      <c r="K26" s="69">
        <f>PRODUCT(F26:I26)</f>
        <v>77.38</v>
      </c>
      <c r="L26" s="67"/>
    </row>
    <row r="27" spans="2:12" hidden="1">
      <c r="B27" s="63"/>
      <c r="C27" s="1002" t="s">
        <v>116</v>
      </c>
      <c r="D27" s="1002"/>
      <c r="E27" s="1002"/>
      <c r="F27" s="1002"/>
      <c r="G27" s="1002"/>
      <c r="H27" s="1002"/>
      <c r="I27" s="1002"/>
      <c r="J27" s="1002"/>
      <c r="K27" s="70">
        <f>SUM(K25:K26)</f>
        <v>157.78</v>
      </c>
      <c r="L27" s="67"/>
    </row>
    <row r="28" spans="2:12" hidden="1">
      <c r="B28" s="63"/>
      <c r="C28" s="71"/>
      <c r="D28" s="71"/>
      <c r="E28" s="71"/>
      <c r="F28" s="71"/>
      <c r="G28" s="71"/>
      <c r="H28" s="71"/>
      <c r="I28" s="71"/>
      <c r="J28" s="71"/>
      <c r="K28" s="72"/>
      <c r="L28" s="67"/>
    </row>
    <row r="29" spans="2:12" hidden="1">
      <c r="B29" s="58" t="str">
        <f>'[6]PLANILHA ORÇAMENTÁRIA'!D15</f>
        <v>2.0</v>
      </c>
      <c r="C29" s="1000" t="str">
        <f>'[6]PLANILHA ORÇAMENTÁRIA'!E15</f>
        <v>DEMOLIÇÕES</v>
      </c>
      <c r="D29" s="1000"/>
      <c r="E29" s="1000"/>
      <c r="F29" s="1000"/>
      <c r="G29" s="1000"/>
      <c r="H29" s="1000"/>
      <c r="I29" s="1000"/>
      <c r="J29" s="1000"/>
      <c r="K29" s="59"/>
      <c r="L29" s="59"/>
    </row>
    <row r="30" spans="2:12" ht="23.25" hidden="1" customHeight="1">
      <c r="B30" s="60" t="str">
        <f>'[6]PLANILHA ORÇAMENTÁRIA'!D16</f>
        <v>2.1</v>
      </c>
      <c r="C30" s="1003" t="str">
        <f>'[6]PLANILHA ORÇAMENTÁRIA'!E16</f>
        <v>DEMOLIÇÃO DE ALVENARIA DE BLOCO FURADO, SEM REAPROVEITAMENTO, INCLUSIVE REVESTIMENTO.</v>
      </c>
      <c r="D30" s="1003"/>
      <c r="E30" s="1003"/>
      <c r="F30" s="1003"/>
      <c r="G30" s="1003"/>
      <c r="H30" s="1003"/>
      <c r="I30" s="1003"/>
      <c r="J30" s="1003"/>
      <c r="K30" s="61" t="str">
        <f>'[6]PLANILHA ORÇAMENTÁRIA'!F16</f>
        <v>M3</v>
      </c>
      <c r="L30" s="62">
        <f>K33</f>
        <v>17.39</v>
      </c>
    </row>
    <row r="31" spans="2:12" hidden="1">
      <c r="B31" s="63"/>
      <c r="C31" s="1004" t="s">
        <v>20</v>
      </c>
      <c r="D31" s="1004"/>
      <c r="E31" s="1004"/>
      <c r="F31" s="64" t="s">
        <v>117</v>
      </c>
      <c r="G31" s="199" t="s">
        <v>111</v>
      </c>
      <c r="H31" s="64" t="s">
        <v>112</v>
      </c>
      <c r="I31" s="199" t="s">
        <v>113</v>
      </c>
      <c r="J31" s="199" t="s">
        <v>114</v>
      </c>
      <c r="K31" s="66" t="s">
        <v>25</v>
      </c>
      <c r="L31" s="67"/>
    </row>
    <row r="32" spans="2:12" hidden="1">
      <c r="B32" s="63"/>
      <c r="C32" s="1001" t="s">
        <v>121</v>
      </c>
      <c r="D32" s="1001"/>
      <c r="E32" s="1001"/>
      <c r="F32" s="68"/>
      <c r="G32" s="68">
        <v>2.2000000000000002</v>
      </c>
      <c r="H32" s="68">
        <v>0.15</v>
      </c>
      <c r="I32" s="68">
        <v>52.71</v>
      </c>
      <c r="J32" s="68"/>
      <c r="K32" s="69">
        <f>TRUNC(I32*G32*H32,2)</f>
        <v>17.39</v>
      </c>
      <c r="L32" s="67"/>
    </row>
    <row r="33" spans="2:12" hidden="1">
      <c r="B33" s="63"/>
      <c r="C33" s="1002" t="s">
        <v>116</v>
      </c>
      <c r="D33" s="1002"/>
      <c r="E33" s="1002"/>
      <c r="F33" s="1002"/>
      <c r="G33" s="1002"/>
      <c r="H33" s="1002"/>
      <c r="I33" s="1002"/>
      <c r="J33" s="1002"/>
      <c r="K33" s="70">
        <f>SUM(K32:K32)</f>
        <v>17.39</v>
      </c>
      <c r="L33" s="67"/>
    </row>
    <row r="34" spans="2:12" hidden="1">
      <c r="B34" s="63"/>
      <c r="C34" s="71"/>
      <c r="D34" s="71"/>
      <c r="E34" s="71"/>
      <c r="F34" s="71"/>
      <c r="G34" s="71"/>
      <c r="H34" s="71"/>
      <c r="I34" s="71"/>
      <c r="J34" s="71"/>
      <c r="K34" s="72"/>
      <c r="L34" s="67"/>
    </row>
    <row r="35" spans="2:12" hidden="1">
      <c r="B35" s="58" t="str">
        <f>'[6]PLANILHA ORÇAMENTÁRIA'!D17</f>
        <v>3.0</v>
      </c>
      <c r="C35" s="1000" t="str">
        <f>'[6]PLANILHA ORÇAMENTÁRIA'!E17</f>
        <v>TRABALHOS EM TERRA</v>
      </c>
      <c r="D35" s="1000"/>
      <c r="E35" s="1000"/>
      <c r="F35" s="1000"/>
      <c r="G35" s="1000"/>
      <c r="H35" s="1000"/>
      <c r="I35" s="1000"/>
      <c r="J35" s="1000"/>
      <c r="K35" s="59"/>
      <c r="L35" s="59"/>
    </row>
    <row r="36" spans="2:12" ht="15" hidden="1" customHeight="1">
      <c r="B36" s="60" t="str">
        <f>'[6]PLANILHA ORÇAMENTÁRIA'!D18</f>
        <v>3.1</v>
      </c>
      <c r="C36" s="1003" t="str">
        <f>'[6]PLANILHA ORÇAMENTÁRIA'!E18</f>
        <v>CORTE E ATERRO COMPENSADO</v>
      </c>
      <c r="D36" s="1003"/>
      <c r="E36" s="1003"/>
      <c r="F36" s="1003"/>
      <c r="G36" s="1003"/>
      <c r="H36" s="1003"/>
      <c r="I36" s="1003"/>
      <c r="J36" s="1003"/>
      <c r="K36" s="61" t="str">
        <f>'[6]PLANILHA ORÇAMENTÁRIA'!F18</f>
        <v>M3</v>
      </c>
      <c r="L36" s="62">
        <f>K39</f>
        <v>156.15</v>
      </c>
    </row>
    <row r="37" spans="2:12" hidden="1">
      <c r="B37" s="63"/>
      <c r="C37" s="1004" t="s">
        <v>20</v>
      </c>
      <c r="D37" s="1004"/>
      <c r="E37" s="1004"/>
      <c r="F37" s="64" t="s">
        <v>117</v>
      </c>
      <c r="G37" s="199" t="s">
        <v>111</v>
      </c>
      <c r="H37" s="64" t="s">
        <v>112</v>
      </c>
      <c r="I37" s="199" t="s">
        <v>113</v>
      </c>
      <c r="J37" s="199" t="s">
        <v>114</v>
      </c>
      <c r="K37" s="66" t="s">
        <v>25</v>
      </c>
      <c r="L37" s="67"/>
    </row>
    <row r="38" spans="2:12" hidden="1">
      <c r="B38" s="63"/>
      <c r="C38" s="1001" t="s">
        <v>122</v>
      </c>
      <c r="D38" s="1001"/>
      <c r="E38" s="1001"/>
      <c r="F38" s="68">
        <f>F20</f>
        <v>780.75</v>
      </c>
      <c r="G38" s="68">
        <v>0.2</v>
      </c>
      <c r="H38" s="68"/>
      <c r="I38" s="68"/>
      <c r="J38" s="68"/>
      <c r="K38" s="69">
        <f>TRUNC(F38*G38,2)</f>
        <v>156.15</v>
      </c>
      <c r="L38" s="67"/>
    </row>
    <row r="39" spans="2:12" hidden="1">
      <c r="B39" s="63"/>
      <c r="C39" s="1002" t="s">
        <v>116</v>
      </c>
      <c r="D39" s="1002"/>
      <c r="E39" s="1002"/>
      <c r="F39" s="1002"/>
      <c r="G39" s="1002"/>
      <c r="H39" s="1002"/>
      <c r="I39" s="1002"/>
      <c r="J39" s="1002"/>
      <c r="K39" s="70">
        <f>SUM(K38:K38)</f>
        <v>156.15</v>
      </c>
      <c r="L39" s="67"/>
    </row>
    <row r="40" spans="2:12" hidden="1"/>
    <row r="41" spans="2:12" ht="15" hidden="1" customHeight="1">
      <c r="B41" s="60" t="str">
        <f>'[6]PLANILHA ORÇAMENTÁRIA'!D19</f>
        <v>3.2</v>
      </c>
      <c r="C41" s="1003" t="str">
        <f>'[6]PLANILHA ORÇAMENTÁRIA'!E19</f>
        <v>ESCAVAÇÃO MANUAL DE VALA COM PROFUNDIDADE MENOR OU IGUAL A 1,30 M. AF_ 03/2016</v>
      </c>
      <c r="D41" s="1003"/>
      <c r="E41" s="1003"/>
      <c r="F41" s="1003"/>
      <c r="G41" s="1003"/>
      <c r="H41" s="1003"/>
      <c r="I41" s="1003"/>
      <c r="J41" s="1003"/>
      <c r="K41" s="61" t="str">
        <f>'[6]PLANILHA ORÇAMENTÁRIA'!F19</f>
        <v>M3</v>
      </c>
      <c r="L41" s="62">
        <f>K49</f>
        <v>12.827999999999999</v>
      </c>
    </row>
    <row r="42" spans="2:12" hidden="1">
      <c r="B42" s="63"/>
      <c r="C42" s="1004" t="s">
        <v>20</v>
      </c>
      <c r="D42" s="1004"/>
      <c r="E42" s="1004"/>
      <c r="F42" s="64" t="s">
        <v>22</v>
      </c>
      <c r="G42" s="199" t="s">
        <v>111</v>
      </c>
      <c r="H42" s="64" t="s">
        <v>112</v>
      </c>
      <c r="I42" s="199" t="s">
        <v>113</v>
      </c>
      <c r="J42" s="199" t="s">
        <v>114</v>
      </c>
      <c r="K42" s="66" t="s">
        <v>25</v>
      </c>
      <c r="L42" s="67"/>
    </row>
    <row r="43" spans="2:12" hidden="1">
      <c r="B43" s="63"/>
      <c r="C43" s="1001" t="s">
        <v>123</v>
      </c>
      <c r="D43" s="1001"/>
      <c r="E43" s="1001"/>
      <c r="F43" s="68">
        <v>2</v>
      </c>
      <c r="G43" s="68">
        <v>0.6</v>
      </c>
      <c r="H43" s="68">
        <v>0.4</v>
      </c>
      <c r="I43" s="68">
        <v>5.4</v>
      </c>
      <c r="J43" s="68"/>
      <c r="K43" s="69">
        <f t="shared" ref="K43:K48" si="0">PRODUCT(F43:I43)</f>
        <v>2.5920000000000001</v>
      </c>
      <c r="L43" s="67"/>
    </row>
    <row r="44" spans="2:12" hidden="1">
      <c r="B44" s="63"/>
      <c r="C44" s="1001" t="s">
        <v>124</v>
      </c>
      <c r="D44" s="1001"/>
      <c r="E44" s="1001"/>
      <c r="F44" s="68">
        <v>2</v>
      </c>
      <c r="G44" s="68">
        <v>0.6</v>
      </c>
      <c r="H44" s="68">
        <v>0.4</v>
      </c>
      <c r="I44" s="68">
        <v>3.6</v>
      </c>
      <c r="J44" s="68"/>
      <c r="K44" s="69">
        <f t="shared" si="0"/>
        <v>1.728</v>
      </c>
      <c r="L44" s="67"/>
    </row>
    <row r="45" spans="2:12" hidden="1">
      <c r="B45" s="63"/>
      <c r="C45" s="1001" t="s">
        <v>125</v>
      </c>
      <c r="D45" s="1001"/>
      <c r="E45" s="1001"/>
      <c r="F45" s="68">
        <v>1</v>
      </c>
      <c r="G45" s="68">
        <v>0.6</v>
      </c>
      <c r="H45" s="68">
        <v>0.4</v>
      </c>
      <c r="I45" s="68">
        <v>4.2</v>
      </c>
      <c r="J45" s="68"/>
      <c r="K45" s="69">
        <f t="shared" si="0"/>
        <v>1.008</v>
      </c>
      <c r="L45" s="67"/>
    </row>
    <row r="46" spans="2:12" hidden="1">
      <c r="B46" s="63"/>
      <c r="C46" s="1001" t="s">
        <v>126</v>
      </c>
      <c r="D46" s="1001"/>
      <c r="E46" s="1001"/>
      <c r="F46" s="68">
        <v>1</v>
      </c>
      <c r="G46" s="68">
        <v>0.6</v>
      </c>
      <c r="H46" s="68">
        <v>0.4</v>
      </c>
      <c r="I46" s="68">
        <v>3.15</v>
      </c>
      <c r="J46" s="68"/>
      <c r="K46" s="69">
        <f t="shared" si="0"/>
        <v>0.75600000000000001</v>
      </c>
      <c r="L46" s="67"/>
    </row>
    <row r="47" spans="2:12" hidden="1">
      <c r="B47" s="63"/>
      <c r="C47" s="1001" t="s">
        <v>127</v>
      </c>
      <c r="D47" s="1001"/>
      <c r="E47" s="1001"/>
      <c r="F47" s="68">
        <v>1</v>
      </c>
      <c r="G47" s="68">
        <v>0.6</v>
      </c>
      <c r="H47" s="68">
        <v>0.4</v>
      </c>
      <c r="I47" s="68">
        <f>5.7+5.7+4.7</f>
        <v>16.100000000000001</v>
      </c>
      <c r="J47" s="68"/>
      <c r="K47" s="69">
        <f t="shared" si="0"/>
        <v>3.8640000000000003</v>
      </c>
      <c r="L47" s="67"/>
    </row>
    <row r="48" spans="2:12" hidden="1">
      <c r="B48" s="63"/>
      <c r="C48" s="1001" t="s">
        <v>128</v>
      </c>
      <c r="D48" s="1001"/>
      <c r="E48" s="1001"/>
      <c r="F48" s="68">
        <v>8</v>
      </c>
      <c r="G48" s="68">
        <v>1</v>
      </c>
      <c r="H48" s="68">
        <v>0.6</v>
      </c>
      <c r="I48" s="68">
        <v>0.6</v>
      </c>
      <c r="J48" s="68"/>
      <c r="K48" s="69">
        <f t="shared" si="0"/>
        <v>2.88</v>
      </c>
      <c r="L48" s="67"/>
    </row>
    <row r="49" spans="2:12" hidden="1">
      <c r="B49" s="63"/>
      <c r="C49" s="1002" t="s">
        <v>116</v>
      </c>
      <c r="D49" s="1002"/>
      <c r="E49" s="1002"/>
      <c r="F49" s="1002"/>
      <c r="G49" s="1002"/>
      <c r="H49" s="1002"/>
      <c r="I49" s="1002"/>
      <c r="J49" s="1002"/>
      <c r="K49" s="70">
        <f>SUM(K43:K48)</f>
        <v>12.827999999999999</v>
      </c>
      <c r="L49" s="67"/>
    </row>
    <row r="50" spans="2:12" hidden="1"/>
    <row r="51" spans="2:12" ht="15" hidden="1" customHeight="1">
      <c r="B51" s="60" t="str">
        <f>'[6]PLANILHA ORÇAMENTÁRIA'!D20</f>
        <v>3.3</v>
      </c>
      <c r="C51" s="1003" t="str">
        <f>'[6]PLANILHA ORÇAMENTÁRIA'!E20</f>
        <v>REATERRO MANUAL APILOADO COM SOQUETE</v>
      </c>
      <c r="D51" s="1003"/>
      <c r="E51" s="1003"/>
      <c r="F51" s="1003"/>
      <c r="G51" s="1003"/>
      <c r="H51" s="1003"/>
      <c r="I51" s="1003"/>
      <c r="J51" s="1003"/>
      <c r="K51" s="61" t="str">
        <f>'[6]PLANILHA ORÇAMENTÁRIA'!F20</f>
        <v>M3</v>
      </c>
      <c r="L51" s="62">
        <f>K54</f>
        <v>4.0992499999999996</v>
      </c>
    </row>
    <row r="52" spans="2:12" hidden="1">
      <c r="B52" s="63"/>
      <c r="C52" s="1004" t="s">
        <v>20</v>
      </c>
      <c r="D52" s="1004"/>
      <c r="E52" s="1004"/>
      <c r="F52" s="64" t="s">
        <v>129</v>
      </c>
      <c r="G52" s="199" t="s">
        <v>130</v>
      </c>
      <c r="H52" s="64" t="s">
        <v>131</v>
      </c>
      <c r="I52" s="199" t="s">
        <v>132</v>
      </c>
      <c r="J52" s="199"/>
      <c r="K52" s="66" t="s">
        <v>25</v>
      </c>
      <c r="L52" s="67"/>
    </row>
    <row r="53" spans="2:12" hidden="1">
      <c r="B53" s="63"/>
      <c r="C53" s="1001"/>
      <c r="D53" s="1001"/>
      <c r="E53" s="1001"/>
      <c r="F53" s="68">
        <f>L41</f>
        <v>12.827999999999999</v>
      </c>
      <c r="G53" s="68">
        <f>L67</f>
        <v>3.4812500000000002</v>
      </c>
      <c r="H53" s="68">
        <f>L76</f>
        <v>4.1775000000000002</v>
      </c>
      <c r="I53" s="68">
        <v>1.07</v>
      </c>
      <c r="J53" s="68"/>
      <c r="K53" s="69">
        <f>F53-G53-H53-I53</f>
        <v>4.0992499999999996</v>
      </c>
      <c r="L53" s="67"/>
    </row>
    <row r="54" spans="2:12" hidden="1">
      <c r="B54" s="63"/>
      <c r="C54" s="1002" t="s">
        <v>116</v>
      </c>
      <c r="D54" s="1002"/>
      <c r="E54" s="1002"/>
      <c r="F54" s="1002"/>
      <c r="G54" s="1002"/>
      <c r="H54" s="1002"/>
      <c r="I54" s="1002"/>
      <c r="J54" s="1002"/>
      <c r="K54" s="70">
        <f>SUM(K53:K53)</f>
        <v>4.0992499999999996</v>
      </c>
      <c r="L54" s="67"/>
    </row>
    <row r="55" spans="2:12" hidden="1"/>
    <row r="56" spans="2:12" hidden="1">
      <c r="B56" s="58" t="str">
        <f>'[6]PLANILHA ORÇAMENTÁRIA'!D21</f>
        <v>4.0</v>
      </c>
      <c r="C56" s="1000" t="str">
        <f>'[6]PLANILHA ORÇAMENTÁRIA'!E21</f>
        <v>FUNDAÇÃO</v>
      </c>
      <c r="D56" s="1000"/>
      <c r="E56" s="1000"/>
      <c r="F56" s="1000"/>
      <c r="G56" s="1000"/>
      <c r="H56" s="1000"/>
      <c r="I56" s="1000"/>
      <c r="J56" s="1000"/>
      <c r="K56" s="59"/>
      <c r="L56" s="59"/>
    </row>
    <row r="57" spans="2:12" ht="24.75" hidden="1" customHeight="1">
      <c r="B57" s="60" t="str">
        <f>'[6]PLANILHA ORÇAMENTÁRIA'!D22</f>
        <v>4.1</v>
      </c>
      <c r="C57" s="1003" t="str">
        <f>'[6]PLANILHA ORÇAMENTÁRIA'!E22</f>
        <v>LASTRO DE CONCRETO MAGRO, APLICADO EM BLOCOS DE COROAMENTO OU SAPATAS, ESPESSURA DE 5 CM. AF_08/2017</v>
      </c>
      <c r="D57" s="1003"/>
      <c r="E57" s="1003"/>
      <c r="F57" s="1003"/>
      <c r="G57" s="1003"/>
      <c r="H57" s="1003"/>
      <c r="I57" s="1003"/>
      <c r="J57" s="1003"/>
      <c r="K57" s="61" t="str">
        <f>'[6]PLANILHA ORÇAMENTÁRIA'!F22</f>
        <v>M2</v>
      </c>
      <c r="L57" s="62">
        <f>K65</f>
        <v>21.532500000000002</v>
      </c>
    </row>
    <row r="58" spans="2:12" hidden="1">
      <c r="B58" s="63"/>
      <c r="C58" s="1004" t="s">
        <v>20</v>
      </c>
      <c r="D58" s="1004"/>
      <c r="E58" s="1004"/>
      <c r="F58" s="64" t="s">
        <v>22</v>
      </c>
      <c r="G58" s="199" t="s">
        <v>111</v>
      </c>
      <c r="H58" s="64" t="s">
        <v>112</v>
      </c>
      <c r="I58" s="199" t="s">
        <v>113</v>
      </c>
      <c r="J58" s="199" t="s">
        <v>114</v>
      </c>
      <c r="K58" s="66" t="s">
        <v>25</v>
      </c>
      <c r="L58" s="67"/>
    </row>
    <row r="59" spans="2:12" hidden="1">
      <c r="B59" s="63"/>
      <c r="C59" s="1001" t="s">
        <v>123</v>
      </c>
      <c r="D59" s="1001"/>
      <c r="E59" s="1001"/>
      <c r="F59" s="68">
        <v>2</v>
      </c>
      <c r="G59" s="68"/>
      <c r="H59" s="68">
        <v>0.45</v>
      </c>
      <c r="I59" s="68">
        <v>5.4</v>
      </c>
      <c r="J59" s="68"/>
      <c r="K59" s="69">
        <f t="shared" ref="K59:K64" si="1">PRODUCT(F59:I59)</f>
        <v>4.8600000000000003</v>
      </c>
      <c r="L59" s="67"/>
    </row>
    <row r="60" spans="2:12" hidden="1">
      <c r="B60" s="63"/>
      <c r="C60" s="1001" t="s">
        <v>124</v>
      </c>
      <c r="D60" s="1001"/>
      <c r="E60" s="1001"/>
      <c r="F60" s="68">
        <v>2</v>
      </c>
      <c r="G60" s="68"/>
      <c r="H60" s="68">
        <v>0.45</v>
      </c>
      <c r="I60" s="68">
        <v>3.6</v>
      </c>
      <c r="J60" s="68"/>
      <c r="K60" s="69">
        <f t="shared" si="1"/>
        <v>3.24</v>
      </c>
      <c r="L60" s="67"/>
    </row>
    <row r="61" spans="2:12" hidden="1">
      <c r="B61" s="63"/>
      <c r="C61" s="1001" t="s">
        <v>125</v>
      </c>
      <c r="D61" s="1001"/>
      <c r="E61" s="1001"/>
      <c r="F61" s="68">
        <v>1</v>
      </c>
      <c r="G61" s="68"/>
      <c r="H61" s="68">
        <v>0.45</v>
      </c>
      <c r="I61" s="68">
        <v>4.2</v>
      </c>
      <c r="J61" s="68"/>
      <c r="K61" s="69">
        <f t="shared" si="1"/>
        <v>1.8900000000000001</v>
      </c>
      <c r="L61" s="67"/>
    </row>
    <row r="62" spans="2:12" hidden="1">
      <c r="B62" s="63"/>
      <c r="C62" s="1001" t="s">
        <v>126</v>
      </c>
      <c r="D62" s="1001"/>
      <c r="E62" s="1001"/>
      <c r="F62" s="68">
        <v>1</v>
      </c>
      <c r="G62" s="68"/>
      <c r="H62" s="68">
        <v>0.45</v>
      </c>
      <c r="I62" s="68">
        <v>3.15</v>
      </c>
      <c r="J62" s="68"/>
      <c r="K62" s="69">
        <f t="shared" si="1"/>
        <v>1.4175</v>
      </c>
      <c r="L62" s="67"/>
    </row>
    <row r="63" spans="2:12" hidden="1">
      <c r="B63" s="63"/>
      <c r="C63" s="1001" t="s">
        <v>127</v>
      </c>
      <c r="D63" s="1001"/>
      <c r="E63" s="1001"/>
      <c r="F63" s="68">
        <v>1</v>
      </c>
      <c r="G63" s="68"/>
      <c r="H63" s="68">
        <v>0.45</v>
      </c>
      <c r="I63" s="68">
        <f>5.7+5.7+4.7</f>
        <v>16.100000000000001</v>
      </c>
      <c r="J63" s="68"/>
      <c r="K63" s="69">
        <f t="shared" si="1"/>
        <v>7.245000000000001</v>
      </c>
      <c r="L63" s="67"/>
    </row>
    <row r="64" spans="2:12" hidden="1">
      <c r="B64" s="63"/>
      <c r="C64" s="1001" t="s">
        <v>128</v>
      </c>
      <c r="D64" s="1001"/>
      <c r="E64" s="1001"/>
      <c r="F64" s="68">
        <v>8</v>
      </c>
      <c r="G64" s="68"/>
      <c r="H64" s="68">
        <v>0.6</v>
      </c>
      <c r="I64" s="68">
        <v>0.6</v>
      </c>
      <c r="J64" s="68"/>
      <c r="K64" s="69">
        <f t="shared" si="1"/>
        <v>2.88</v>
      </c>
      <c r="L64" s="67"/>
    </row>
    <row r="65" spans="2:12" hidden="1">
      <c r="B65" s="63"/>
      <c r="C65" s="1002" t="s">
        <v>116</v>
      </c>
      <c r="D65" s="1002"/>
      <c r="E65" s="1002"/>
      <c r="F65" s="1002"/>
      <c r="G65" s="1002"/>
      <c r="H65" s="1002"/>
      <c r="I65" s="1002"/>
      <c r="J65" s="1002"/>
      <c r="K65" s="70">
        <f>SUM(K59:K64)</f>
        <v>21.532500000000002</v>
      </c>
      <c r="L65" s="67"/>
    </row>
    <row r="66" spans="2:12" hidden="1">
      <c r="B66" s="63"/>
      <c r="C66" s="71"/>
      <c r="D66" s="71"/>
      <c r="E66" s="71"/>
      <c r="F66" s="71"/>
      <c r="G66" s="71"/>
      <c r="H66" s="71"/>
      <c r="I66" s="71"/>
      <c r="J66" s="71"/>
      <c r="K66" s="72"/>
      <c r="L66" s="67"/>
    </row>
    <row r="67" spans="2:12" ht="15" hidden="1" customHeight="1">
      <c r="B67" s="60" t="str">
        <f>'[6]PLANILHA ORÇAMENTÁRIA'!D23</f>
        <v>4.2</v>
      </c>
      <c r="C67" s="1003" t="str">
        <f>'[6]PLANILHA ORÇAMENTÁRIA'!E23</f>
        <v>EMBASAMENTO C/PEDRA ARGAMASSADA UTILIZANDO ARG.CIM/AREIA 1:4</v>
      </c>
      <c r="D67" s="1003"/>
      <c r="E67" s="1003"/>
      <c r="F67" s="1003"/>
      <c r="G67" s="1003"/>
      <c r="H67" s="1003"/>
      <c r="I67" s="1003"/>
      <c r="J67" s="1003"/>
      <c r="K67" s="61" t="str">
        <f>'[6]PLANILHA ORÇAMENTÁRIA'!F23</f>
        <v>M3</v>
      </c>
      <c r="L67" s="62">
        <f>K74</f>
        <v>3.4812500000000002</v>
      </c>
    </row>
    <row r="68" spans="2:12" hidden="1">
      <c r="B68" s="63"/>
      <c r="C68" s="1004" t="s">
        <v>20</v>
      </c>
      <c r="D68" s="1004"/>
      <c r="E68" s="1004"/>
      <c r="F68" s="64" t="s">
        <v>22</v>
      </c>
      <c r="G68" s="199" t="s">
        <v>111</v>
      </c>
      <c r="H68" s="64" t="s">
        <v>112</v>
      </c>
      <c r="I68" s="199" t="s">
        <v>113</v>
      </c>
      <c r="J68" s="199" t="s">
        <v>114</v>
      </c>
      <c r="K68" s="66" t="s">
        <v>25</v>
      </c>
      <c r="L68" s="67"/>
    </row>
    <row r="69" spans="2:12" hidden="1">
      <c r="B69" s="63"/>
      <c r="C69" s="1001" t="s">
        <v>123</v>
      </c>
      <c r="D69" s="1001"/>
      <c r="E69" s="1001"/>
      <c r="F69" s="68">
        <v>2</v>
      </c>
      <c r="G69" s="68">
        <v>0.25</v>
      </c>
      <c r="H69" s="68">
        <v>0.4</v>
      </c>
      <c r="I69" s="68">
        <v>5.4</v>
      </c>
      <c r="J69" s="68"/>
      <c r="K69" s="69">
        <f>PRODUCT(F69:J69)</f>
        <v>1.08</v>
      </c>
      <c r="L69" s="67"/>
    </row>
    <row r="70" spans="2:12" hidden="1">
      <c r="B70" s="63"/>
      <c r="C70" s="1001" t="s">
        <v>124</v>
      </c>
      <c r="D70" s="1001"/>
      <c r="E70" s="1001"/>
      <c r="F70" s="68">
        <v>2</v>
      </c>
      <c r="G70" s="68">
        <v>0.25</v>
      </c>
      <c r="H70" s="68">
        <v>0.4</v>
      </c>
      <c r="I70" s="68">
        <v>3.6</v>
      </c>
      <c r="J70" s="68"/>
      <c r="K70" s="69">
        <f>PRODUCT(F70:J70)</f>
        <v>0.72000000000000008</v>
      </c>
      <c r="L70" s="67"/>
    </row>
    <row r="71" spans="2:12" hidden="1">
      <c r="B71" s="63"/>
      <c r="C71" s="1001" t="s">
        <v>125</v>
      </c>
      <c r="D71" s="1001"/>
      <c r="E71" s="1001"/>
      <c r="F71" s="68">
        <v>1</v>
      </c>
      <c r="G71" s="68">
        <v>0.25</v>
      </c>
      <c r="H71" s="68">
        <v>0.4</v>
      </c>
      <c r="I71" s="68">
        <v>3.6</v>
      </c>
      <c r="J71" s="68"/>
      <c r="K71" s="69">
        <f>PRODUCT(F71:J71)</f>
        <v>0.36000000000000004</v>
      </c>
      <c r="L71" s="67"/>
    </row>
    <row r="72" spans="2:12" hidden="1">
      <c r="B72" s="63"/>
      <c r="C72" s="1001" t="s">
        <v>127</v>
      </c>
      <c r="D72" s="1001"/>
      <c r="E72" s="1001"/>
      <c r="F72" s="68">
        <v>1</v>
      </c>
      <c r="G72" s="68">
        <v>0.25</v>
      </c>
      <c r="H72" s="68">
        <v>0.25</v>
      </c>
      <c r="I72" s="68">
        <f>5.7+5.7+4.7</f>
        <v>16.100000000000001</v>
      </c>
      <c r="J72" s="68"/>
      <c r="K72" s="69">
        <f>PRODUCT(F72:I72)</f>
        <v>1.0062500000000001</v>
      </c>
      <c r="L72" s="67"/>
    </row>
    <row r="73" spans="2:12" hidden="1">
      <c r="B73" s="63"/>
      <c r="C73" s="1001" t="s">
        <v>126</v>
      </c>
      <c r="D73" s="1001"/>
      <c r="E73" s="1001"/>
      <c r="F73" s="68">
        <v>1</v>
      </c>
      <c r="G73" s="68">
        <v>0.25</v>
      </c>
      <c r="H73" s="68">
        <v>0.4</v>
      </c>
      <c r="I73" s="68">
        <v>3.15</v>
      </c>
      <c r="J73" s="68"/>
      <c r="K73" s="69">
        <f>PRODUCT(F73:J73)</f>
        <v>0.315</v>
      </c>
      <c r="L73" s="67"/>
    </row>
    <row r="74" spans="2:12" hidden="1">
      <c r="B74" s="63"/>
      <c r="C74" s="1002" t="s">
        <v>116</v>
      </c>
      <c r="D74" s="1002"/>
      <c r="E74" s="1002"/>
      <c r="F74" s="1002"/>
      <c r="G74" s="1002"/>
      <c r="H74" s="1002"/>
      <c r="I74" s="1002"/>
      <c r="J74" s="1002"/>
      <c r="K74" s="70">
        <f>SUM(K69:K73)</f>
        <v>3.4812500000000002</v>
      </c>
      <c r="L74" s="67"/>
    </row>
    <row r="75" spans="2:12" hidden="1">
      <c r="B75" s="63"/>
      <c r="C75" s="71"/>
      <c r="D75" s="71"/>
      <c r="E75" s="71"/>
      <c r="F75" s="71"/>
      <c r="G75" s="71"/>
      <c r="H75" s="71"/>
      <c r="I75" s="71"/>
      <c r="J75" s="71"/>
      <c r="K75" s="72"/>
      <c r="L75" s="67"/>
    </row>
    <row r="76" spans="2:12" ht="27" hidden="1" customHeight="1">
      <c r="B76" s="60" t="str">
        <f>'[6]PLANILHA ORÇAMENTÁRIA'!D24</f>
        <v>4.3</v>
      </c>
      <c r="C76" s="1003" t="str">
        <f>'[6]PLANILHA ORÇAMENTÁRIA'!E24</f>
        <v>ALVENARIA DE EMBASAMENTO EM BLOCO CERAMICO, 8 FUROS, DE 9 X 19 X 19 CM, ASSENTADO COM ARGAMASSA TRACO 1:2:8 (CIMENTO, CAL E AREIA)</v>
      </c>
      <c r="D76" s="1003"/>
      <c r="E76" s="1003"/>
      <c r="F76" s="1003"/>
      <c r="G76" s="1003"/>
      <c r="H76" s="1003"/>
      <c r="I76" s="1003"/>
      <c r="J76" s="1003"/>
      <c r="K76" s="61" t="str">
        <f>'[6]PLANILHA ORÇAMENTÁRIA'!F24</f>
        <v>M3</v>
      </c>
      <c r="L76" s="62">
        <f>K83</f>
        <v>4.1775000000000002</v>
      </c>
    </row>
    <row r="77" spans="2:12" hidden="1">
      <c r="B77" s="63"/>
      <c r="C77" s="1004" t="s">
        <v>20</v>
      </c>
      <c r="D77" s="1004"/>
      <c r="E77" s="1004"/>
      <c r="F77" s="64" t="s">
        <v>22</v>
      </c>
      <c r="G77" s="199" t="s">
        <v>111</v>
      </c>
      <c r="H77" s="64" t="s">
        <v>112</v>
      </c>
      <c r="I77" s="199" t="s">
        <v>113</v>
      </c>
      <c r="J77" s="199" t="s">
        <v>114</v>
      </c>
      <c r="K77" s="66" t="s">
        <v>25</v>
      </c>
      <c r="L77" s="67"/>
    </row>
    <row r="78" spans="2:12" hidden="1">
      <c r="B78" s="63"/>
      <c r="C78" s="1001" t="s">
        <v>123</v>
      </c>
      <c r="D78" s="1001"/>
      <c r="E78" s="1001"/>
      <c r="F78" s="68">
        <v>2</v>
      </c>
      <c r="G78" s="68">
        <v>0.3</v>
      </c>
      <c r="H78" s="68">
        <v>0.4</v>
      </c>
      <c r="I78" s="68">
        <v>5.4</v>
      </c>
      <c r="J78" s="68"/>
      <c r="K78" s="69">
        <f>PRODUCT(F78:J78)</f>
        <v>1.296</v>
      </c>
      <c r="L78" s="67"/>
    </row>
    <row r="79" spans="2:12" hidden="1">
      <c r="B79" s="63"/>
      <c r="C79" s="1001" t="s">
        <v>124</v>
      </c>
      <c r="D79" s="1001"/>
      <c r="E79" s="1001"/>
      <c r="F79" s="68">
        <v>2</v>
      </c>
      <c r="G79" s="68">
        <v>0.3</v>
      </c>
      <c r="H79" s="68">
        <v>0.4</v>
      </c>
      <c r="I79" s="68">
        <v>3.6</v>
      </c>
      <c r="J79" s="68"/>
      <c r="K79" s="69">
        <f>PRODUCT(F79:J79)</f>
        <v>0.86399999999999999</v>
      </c>
      <c r="L79" s="67"/>
    </row>
    <row r="80" spans="2:12" hidden="1">
      <c r="B80" s="63"/>
      <c r="C80" s="1001" t="s">
        <v>125</v>
      </c>
      <c r="D80" s="1001"/>
      <c r="E80" s="1001"/>
      <c r="F80" s="68">
        <v>1</v>
      </c>
      <c r="G80" s="68">
        <v>0.3</v>
      </c>
      <c r="H80" s="68">
        <v>0.4</v>
      </c>
      <c r="I80" s="68">
        <v>3.6</v>
      </c>
      <c r="J80" s="68"/>
      <c r="K80" s="69">
        <f>PRODUCT(F80:J80)</f>
        <v>0.432</v>
      </c>
      <c r="L80" s="67"/>
    </row>
    <row r="81" spans="2:12" hidden="1">
      <c r="B81" s="63"/>
      <c r="C81" s="1001" t="s">
        <v>127</v>
      </c>
      <c r="D81" s="1001"/>
      <c r="E81" s="1001"/>
      <c r="F81" s="68">
        <v>1</v>
      </c>
      <c r="G81" s="68">
        <v>0.3</v>
      </c>
      <c r="H81" s="68">
        <v>0.25</v>
      </c>
      <c r="I81" s="68">
        <f>5.7+5.7+4.7</f>
        <v>16.100000000000001</v>
      </c>
      <c r="J81" s="68"/>
      <c r="K81" s="69">
        <f>PRODUCT(F81:I81)</f>
        <v>1.2075</v>
      </c>
      <c r="L81" s="67"/>
    </row>
    <row r="82" spans="2:12" hidden="1">
      <c r="B82" s="63"/>
      <c r="C82" s="1001" t="s">
        <v>126</v>
      </c>
      <c r="D82" s="1001"/>
      <c r="E82" s="1001"/>
      <c r="F82" s="68">
        <v>1</v>
      </c>
      <c r="G82" s="68">
        <v>0.3</v>
      </c>
      <c r="H82" s="68">
        <v>0.4</v>
      </c>
      <c r="I82" s="68">
        <v>3.15</v>
      </c>
      <c r="J82" s="68"/>
      <c r="K82" s="69">
        <f>PRODUCT(F82:J82)</f>
        <v>0.378</v>
      </c>
      <c r="L82" s="67"/>
    </row>
    <row r="83" spans="2:12" hidden="1">
      <c r="B83" s="63"/>
      <c r="C83" s="1002" t="s">
        <v>116</v>
      </c>
      <c r="D83" s="1002"/>
      <c r="E83" s="1002"/>
      <c r="F83" s="1002"/>
      <c r="G83" s="1002"/>
      <c r="H83" s="1002"/>
      <c r="I83" s="1002"/>
      <c r="J83" s="1002"/>
      <c r="K83" s="70">
        <f>SUM(K78:K82)</f>
        <v>4.1775000000000002</v>
      </c>
      <c r="L83" s="67"/>
    </row>
    <row r="84" spans="2:12" hidden="1">
      <c r="B84" s="63"/>
      <c r="C84" s="71"/>
      <c r="D84" s="71"/>
      <c r="E84" s="71"/>
      <c r="F84" s="71"/>
      <c r="G84" s="71"/>
      <c r="H84" s="71"/>
      <c r="I84" s="71"/>
      <c r="J84" s="71"/>
      <c r="K84" s="72"/>
      <c r="L84" s="67"/>
    </row>
    <row r="85" spans="2:12" ht="29.25" hidden="1" customHeight="1">
      <c r="B85" s="60" t="str">
        <f>'[6]PLANILHA ORÇAMENTÁRIA'!D25</f>
        <v>4.4</v>
      </c>
      <c r="C85" s="1003" t="str">
        <f>'[6]PLANILHA ORÇAMENTÁRIA'!E25</f>
        <v>ARMAÇÃO DE BLOCO, VIGA BALDRAME OU SAPATA UTILIZANDO AÇO CA-50 DE 10 MM - MONTAGEM. AF_06/2017</v>
      </c>
      <c r="D85" s="1003"/>
      <c r="E85" s="1003"/>
      <c r="F85" s="1003"/>
      <c r="G85" s="1003"/>
      <c r="H85" s="1003"/>
      <c r="I85" s="1003"/>
      <c r="J85" s="1003"/>
      <c r="K85" s="61" t="str">
        <f>'[6]PLANILHA ORÇAMENTÁRIA'!F25</f>
        <v>KG</v>
      </c>
      <c r="L85" s="62">
        <f>K88</f>
        <v>41.32</v>
      </c>
    </row>
    <row r="86" spans="2:12" hidden="1">
      <c r="B86" s="63"/>
      <c r="C86" s="1004" t="s">
        <v>20</v>
      </c>
      <c r="D86" s="1004"/>
      <c r="E86" s="1004"/>
      <c r="F86" s="64" t="s">
        <v>22</v>
      </c>
      <c r="G86" s="199" t="s">
        <v>113</v>
      </c>
      <c r="H86" s="64" t="s">
        <v>133</v>
      </c>
      <c r="I86" s="199" t="s">
        <v>112</v>
      </c>
      <c r="J86" s="199" t="s">
        <v>114</v>
      </c>
      <c r="K86" s="66" t="s">
        <v>25</v>
      </c>
      <c r="L86" s="67"/>
    </row>
    <row r="87" spans="2:12" ht="22.5" hidden="1" customHeight="1">
      <c r="B87" s="63"/>
      <c r="C87" s="1001" t="s">
        <v>134</v>
      </c>
      <c r="D87" s="1001"/>
      <c r="E87" s="1001"/>
      <c r="F87" s="68">
        <v>8</v>
      </c>
      <c r="G87" s="68">
        <v>8.1999999999999993</v>
      </c>
      <c r="H87" s="68">
        <v>0.63</v>
      </c>
      <c r="I87" s="68"/>
      <c r="J87" s="68"/>
      <c r="K87" s="200">
        <f>TRUNC((G87*H87)*F87,2)</f>
        <v>41.32</v>
      </c>
      <c r="L87" s="67"/>
    </row>
    <row r="88" spans="2:12" hidden="1">
      <c r="B88" s="63"/>
      <c r="C88" s="1002" t="s">
        <v>116</v>
      </c>
      <c r="D88" s="1002"/>
      <c r="E88" s="1002"/>
      <c r="F88" s="1002"/>
      <c r="G88" s="1002"/>
      <c r="H88" s="1002"/>
      <c r="I88" s="1002"/>
      <c r="J88" s="1002"/>
      <c r="K88" s="66">
        <f>SUM(K87:K87)</f>
        <v>41.32</v>
      </c>
      <c r="L88" s="67"/>
    </row>
    <row r="89" spans="2:12" hidden="1"/>
    <row r="90" spans="2:12" ht="27.75" hidden="1" customHeight="1">
      <c r="B90" s="60" t="str">
        <f>'[6]PLANILHA ORÇAMENTÁRIA'!D26</f>
        <v>4.5</v>
      </c>
      <c r="C90" s="1003" t="str">
        <f>'[6]PLANILHA ORÇAMENTÁRIA'!E26</f>
        <v>CONCRETAGEM DE BLOCOS DE COROAMENTO E VIGAS BALDRAMES, FCK 30 MPA, COM USO DE BOMBA LANÇAMENTO, ADENSAMENTO E ACABAMENTO. AF_06/2017</v>
      </c>
      <c r="D90" s="1003"/>
      <c r="E90" s="1003"/>
      <c r="F90" s="1003"/>
      <c r="G90" s="1003"/>
      <c r="H90" s="1003"/>
      <c r="I90" s="1003"/>
      <c r="J90" s="1003"/>
      <c r="K90" s="61" t="str">
        <f>'[6]PLANILHA ORÇAMENTÁRIA'!F26</f>
        <v>M3</v>
      </c>
      <c r="L90" s="62">
        <f>K93</f>
        <v>1.72</v>
      </c>
    </row>
    <row r="91" spans="2:12" hidden="1">
      <c r="B91" s="63"/>
      <c r="C91" s="1004" t="s">
        <v>20</v>
      </c>
      <c r="D91" s="1004"/>
      <c r="E91" s="1004"/>
      <c r="F91" s="64" t="s">
        <v>22</v>
      </c>
      <c r="G91" s="199" t="s">
        <v>111</v>
      </c>
      <c r="H91" s="64" t="s">
        <v>112</v>
      </c>
      <c r="I91" s="199" t="s">
        <v>113</v>
      </c>
      <c r="J91" s="199" t="s">
        <v>114</v>
      </c>
      <c r="K91" s="66" t="s">
        <v>25</v>
      </c>
      <c r="L91" s="67"/>
    </row>
    <row r="92" spans="2:12" hidden="1">
      <c r="B92" s="63"/>
      <c r="C92" s="1001" t="s">
        <v>135</v>
      </c>
      <c r="D92" s="1001"/>
      <c r="E92" s="1001"/>
      <c r="F92" s="68">
        <v>8</v>
      </c>
      <c r="G92" s="68">
        <v>0.6</v>
      </c>
      <c r="H92" s="68">
        <v>0.6</v>
      </c>
      <c r="I92" s="68">
        <v>0.6</v>
      </c>
      <c r="J92" s="68"/>
      <c r="K92" s="200">
        <f>TRUNC(G92*H92*F92*I92,2)</f>
        <v>1.72</v>
      </c>
      <c r="L92" s="67"/>
    </row>
    <row r="93" spans="2:12" hidden="1">
      <c r="B93" s="63"/>
      <c r="C93" s="1002" t="s">
        <v>116</v>
      </c>
      <c r="D93" s="1002"/>
      <c r="E93" s="1002"/>
      <c r="F93" s="1002"/>
      <c r="G93" s="1002"/>
      <c r="H93" s="1002"/>
      <c r="I93" s="1002"/>
      <c r="J93" s="1002"/>
      <c r="K93" s="66">
        <f>SUM(K92:K92)</f>
        <v>1.72</v>
      </c>
      <c r="L93" s="67"/>
    </row>
    <row r="94" spans="2:12" hidden="1"/>
    <row r="95" spans="2:12" ht="15" hidden="1" customHeight="1">
      <c r="B95" s="60" t="str">
        <f>'[6]PLANILHA ORÇAMENTÁRIA'!D27</f>
        <v>4.6</v>
      </c>
      <c r="C95" s="1003" t="str">
        <f>'[6]PLANILHA ORÇAMENTÁRIA'!E27</f>
        <v>IMPERMEABILIZAÇÃO DE ESTRUTURAS ENTERRADAS, COM TINTA ASFALTICA, DUAS DEMAOS.</v>
      </c>
      <c r="D95" s="1003"/>
      <c r="E95" s="1003"/>
      <c r="F95" s="1003"/>
      <c r="G95" s="1003"/>
      <c r="H95" s="1003"/>
      <c r="I95" s="1003"/>
      <c r="J95" s="1003"/>
      <c r="K95" s="61" t="str">
        <f>'[6]PLANILHA ORÇAMENTÁRIA'!F27</f>
        <v>M2</v>
      </c>
      <c r="L95" s="62">
        <f>K98</f>
        <v>23.88</v>
      </c>
    </row>
    <row r="96" spans="2:12" hidden="1">
      <c r="B96" s="63"/>
      <c r="C96" s="1004" t="s">
        <v>20</v>
      </c>
      <c r="D96" s="1004"/>
      <c r="E96" s="1004"/>
      <c r="F96" s="64" t="s">
        <v>22</v>
      </c>
      <c r="G96" s="199" t="s">
        <v>111</v>
      </c>
      <c r="H96" s="64" t="s">
        <v>112</v>
      </c>
      <c r="I96" s="199" t="s">
        <v>113</v>
      </c>
      <c r="J96" s="199" t="s">
        <v>136</v>
      </c>
      <c r="K96" s="66" t="s">
        <v>25</v>
      </c>
      <c r="L96" s="67"/>
    </row>
    <row r="97" spans="2:12" hidden="1">
      <c r="B97" s="63"/>
      <c r="C97" s="1001"/>
      <c r="D97" s="1001"/>
      <c r="E97" s="1001"/>
      <c r="F97" s="68"/>
      <c r="G97" s="68">
        <v>0.3</v>
      </c>
      <c r="H97" s="68">
        <v>0.15</v>
      </c>
      <c r="I97" s="68">
        <v>31.85</v>
      </c>
      <c r="J97" s="68">
        <v>2</v>
      </c>
      <c r="K97" s="200">
        <f>TRUNC((G97*I97*J97)+(H97*I97),2)</f>
        <v>23.88</v>
      </c>
      <c r="L97" s="67"/>
    </row>
    <row r="98" spans="2:12" hidden="1">
      <c r="B98" s="63"/>
      <c r="C98" s="1002" t="s">
        <v>116</v>
      </c>
      <c r="D98" s="1002"/>
      <c r="E98" s="1002"/>
      <c r="F98" s="1002"/>
      <c r="G98" s="1002"/>
      <c r="H98" s="1002"/>
      <c r="I98" s="1002"/>
      <c r="J98" s="1002"/>
      <c r="K98" s="66">
        <f>SUM(K97:K97)</f>
        <v>23.88</v>
      </c>
      <c r="L98" s="67"/>
    </row>
    <row r="99" spans="2:12" hidden="1"/>
    <row r="100" spans="2:12" hidden="1">
      <c r="B100" s="58" t="str">
        <f>'[6]PLANILHA ORÇAMENTÁRIA'!D28</f>
        <v>5.0</v>
      </c>
      <c r="C100" s="1000" t="str">
        <f>'[6]PLANILHA ORÇAMENTÁRIA'!E28</f>
        <v>ESTRUTURA EM CONCRETO ARMADO</v>
      </c>
      <c r="D100" s="1000"/>
      <c r="E100" s="1000"/>
      <c r="F100" s="1000"/>
      <c r="G100" s="1000"/>
      <c r="H100" s="1000"/>
      <c r="I100" s="1000"/>
      <c r="J100" s="1000"/>
      <c r="K100" s="59"/>
      <c r="L100" s="59"/>
    </row>
    <row r="101" spans="2:12" ht="15" hidden="1" customHeight="1">
      <c r="B101" s="60" t="e">
        <f>'[6]PLANILHA ORÇAMENTÁRIA'!#REF!</f>
        <v>#REF!</v>
      </c>
      <c r="C101" s="1003" t="e">
        <f>'[6]PLANILHA ORÇAMENTÁRIA'!#REF!</f>
        <v>#REF!</v>
      </c>
      <c r="D101" s="1003"/>
      <c r="E101" s="1003"/>
      <c r="F101" s="1003"/>
      <c r="G101" s="1003"/>
      <c r="H101" s="1003"/>
      <c r="I101" s="1003"/>
      <c r="J101" s="1003"/>
      <c r="K101" s="61" t="e">
        <f>'[6]PLANILHA ORÇAMENTÁRIA'!#REF!</f>
        <v>#REF!</v>
      </c>
      <c r="L101" s="62">
        <f>K104</f>
        <v>31.85</v>
      </c>
    </row>
    <row r="102" spans="2:12" hidden="1">
      <c r="B102" s="63"/>
      <c r="C102" s="1004" t="s">
        <v>20</v>
      </c>
      <c r="D102" s="1004"/>
      <c r="E102" s="1004"/>
      <c r="F102" s="64" t="s">
        <v>22</v>
      </c>
      <c r="G102" s="199" t="s">
        <v>111</v>
      </c>
      <c r="H102" s="64" t="s">
        <v>112</v>
      </c>
      <c r="I102" s="199" t="s">
        <v>113</v>
      </c>
      <c r="J102" s="199" t="s">
        <v>114</v>
      </c>
      <c r="K102" s="66" t="s">
        <v>25</v>
      </c>
      <c r="L102" s="67"/>
    </row>
    <row r="103" spans="2:12" hidden="1">
      <c r="B103" s="63"/>
      <c r="C103" s="1001" t="s">
        <v>137</v>
      </c>
      <c r="D103" s="1001"/>
      <c r="E103" s="1001"/>
      <c r="F103" s="68">
        <v>1</v>
      </c>
      <c r="G103" s="68"/>
      <c r="H103" s="68"/>
      <c r="I103" s="68">
        <v>31.85</v>
      </c>
      <c r="J103" s="68"/>
      <c r="K103" s="200">
        <f>I103*F103</f>
        <v>31.85</v>
      </c>
      <c r="L103" s="67"/>
    </row>
    <row r="104" spans="2:12" hidden="1">
      <c r="B104" s="63"/>
      <c r="C104" s="1002" t="s">
        <v>116</v>
      </c>
      <c r="D104" s="1002"/>
      <c r="E104" s="1002"/>
      <c r="F104" s="1002"/>
      <c r="G104" s="1002"/>
      <c r="H104" s="1002"/>
      <c r="I104" s="1002"/>
      <c r="J104" s="1002"/>
      <c r="K104" s="66">
        <f>SUM(K103:K103)</f>
        <v>31.85</v>
      </c>
      <c r="L104" s="67"/>
    </row>
    <row r="105" spans="2:12" hidden="1"/>
    <row r="106" spans="2:12" ht="15" hidden="1" customHeight="1">
      <c r="B106" s="60" t="str">
        <f>'[6]PLANILHA ORÇAMENTÁRIA'!D29</f>
        <v>5.1</v>
      </c>
      <c r="C106" s="1003" t="str">
        <f>'[6]PLANILHA ORÇAMENTÁRIA'!E29</f>
        <v>FORMA PLANA PARA PILARES, EM COMPENSADO RESINADO DE 14MM, 12 USOS, INCLUSIVE ESCORAMENTO</v>
      </c>
      <c r="D106" s="1003"/>
      <c r="E106" s="1003"/>
      <c r="F106" s="1003"/>
      <c r="G106" s="1003"/>
      <c r="H106" s="1003"/>
      <c r="I106" s="1003"/>
      <c r="J106" s="1003"/>
      <c r="K106" s="61" t="str">
        <f>'[6]PLANILHA ORÇAMENTÁRIA'!F29</f>
        <v>M2</v>
      </c>
      <c r="L106" s="62">
        <f>K111</f>
        <v>26.689999999999998</v>
      </c>
    </row>
    <row r="107" spans="2:12" hidden="1">
      <c r="B107" s="63"/>
      <c r="C107" s="1004" t="s">
        <v>20</v>
      </c>
      <c r="D107" s="1004"/>
      <c r="E107" s="1004"/>
      <c r="F107" s="64" t="s">
        <v>22</v>
      </c>
      <c r="G107" s="199" t="s">
        <v>111</v>
      </c>
      <c r="H107" s="64" t="s">
        <v>112</v>
      </c>
      <c r="I107" s="199" t="s">
        <v>113</v>
      </c>
      <c r="J107" s="199" t="s">
        <v>136</v>
      </c>
      <c r="K107" s="66" t="s">
        <v>25</v>
      </c>
      <c r="L107" s="67"/>
    </row>
    <row r="108" spans="2:12" hidden="1">
      <c r="B108" s="63"/>
      <c r="C108" s="1001" t="s">
        <v>138</v>
      </c>
      <c r="D108" s="1001"/>
      <c r="E108" s="1001"/>
      <c r="F108" s="68">
        <v>4</v>
      </c>
      <c r="G108" s="68">
        <v>5.05</v>
      </c>
      <c r="H108" s="68">
        <v>0.19</v>
      </c>
      <c r="I108" s="68">
        <v>0.19</v>
      </c>
      <c r="J108" s="68">
        <v>2</v>
      </c>
      <c r="K108" s="200">
        <f>TRUNC((H108*G108*J108*F108)+(I108*G108*J108*F108),2)</f>
        <v>15.35</v>
      </c>
      <c r="L108" s="67"/>
    </row>
    <row r="109" spans="2:12" hidden="1">
      <c r="B109" s="63"/>
      <c r="C109" s="1001" t="s">
        <v>138</v>
      </c>
      <c r="D109" s="1001"/>
      <c r="E109" s="1001"/>
      <c r="F109" s="68">
        <v>2</v>
      </c>
      <c r="G109" s="68">
        <v>3.7</v>
      </c>
      <c r="H109" s="68">
        <v>0.19</v>
      </c>
      <c r="I109" s="68">
        <v>0.19</v>
      </c>
      <c r="J109" s="68">
        <v>2</v>
      </c>
      <c r="K109" s="200">
        <f>TRUNC((H109*G109*J109*F109)+(I109*G109*J109*F109),2)</f>
        <v>5.62</v>
      </c>
      <c r="L109" s="67"/>
    </row>
    <row r="110" spans="2:12" hidden="1">
      <c r="B110" s="63"/>
      <c r="C110" s="1001" t="s">
        <v>139</v>
      </c>
      <c r="D110" s="1001"/>
      <c r="E110" s="1001"/>
      <c r="F110" s="68">
        <v>2</v>
      </c>
      <c r="G110" s="68">
        <v>2.6</v>
      </c>
      <c r="H110" s="68">
        <v>0.15</v>
      </c>
      <c r="I110" s="68">
        <v>0.4</v>
      </c>
      <c r="J110" s="68">
        <v>2</v>
      </c>
      <c r="K110" s="200">
        <f>TRUNC((H110*G110*J110*F110)+(I110*G110*J110*F110),2)</f>
        <v>5.72</v>
      </c>
      <c r="L110" s="67"/>
    </row>
    <row r="111" spans="2:12" hidden="1">
      <c r="B111" s="63"/>
      <c r="C111" s="1002" t="s">
        <v>116</v>
      </c>
      <c r="D111" s="1002"/>
      <c r="E111" s="1002"/>
      <c r="F111" s="1002"/>
      <c r="G111" s="1002"/>
      <c r="H111" s="1002"/>
      <c r="I111" s="1002"/>
      <c r="J111" s="1002"/>
      <c r="K111" s="66">
        <f>SUM(K108:K110)</f>
        <v>26.689999999999998</v>
      </c>
      <c r="L111" s="67"/>
    </row>
    <row r="112" spans="2:12" hidden="1"/>
    <row r="113" spans="2:12" ht="23.25" hidden="1" customHeight="1">
      <c r="B113" s="60" t="str">
        <f>'[6]PLANILHA ORÇAMENTÁRIA'!D30</f>
        <v>5.2</v>
      </c>
      <c r="C113" s="1003" t="str">
        <f>'[6]PLANILHA ORÇAMENTÁRIA'!E30</f>
        <v>ARMAÇÃO DE PILAR OU VIGA DE UMA ESTRUTURA CONVENCIONAL DE CONCRETO ARMADO EM UMA EDIFICAÇÃO TÉRREA OU SOBRADO UTILIZANDO AÇO CA-50 DE 10,0 MM - MONTAGEM. AF_12/2015</v>
      </c>
      <c r="D113" s="1003"/>
      <c r="E113" s="1003"/>
      <c r="F113" s="1003"/>
      <c r="G113" s="1003"/>
      <c r="H113" s="1003"/>
      <c r="I113" s="1003"/>
      <c r="J113" s="1003"/>
      <c r="K113" s="61" t="str">
        <f>'[6]PLANILHA ORÇAMENTÁRIA'!F30</f>
        <v>KG</v>
      </c>
      <c r="L113" s="62">
        <f>K120</f>
        <v>262.81</v>
      </c>
    </row>
    <row r="114" spans="2:12" hidden="1">
      <c r="B114" s="63"/>
      <c r="C114" s="1004" t="s">
        <v>20</v>
      </c>
      <c r="D114" s="1004"/>
      <c r="E114" s="1004"/>
      <c r="F114" s="64" t="s">
        <v>22</v>
      </c>
      <c r="G114" s="199" t="s">
        <v>113</v>
      </c>
      <c r="H114" s="64" t="s">
        <v>133</v>
      </c>
      <c r="I114" s="199" t="s">
        <v>112</v>
      </c>
      <c r="J114" s="199" t="s">
        <v>114</v>
      </c>
      <c r="K114" s="66" t="s">
        <v>25</v>
      </c>
      <c r="L114" s="67"/>
    </row>
    <row r="115" spans="2:12" hidden="1">
      <c r="B115" s="63"/>
      <c r="C115" s="1001" t="s">
        <v>140</v>
      </c>
      <c r="D115" s="1001"/>
      <c r="E115" s="1001"/>
      <c r="F115" s="68">
        <v>4</v>
      </c>
      <c r="G115" s="68">
        <f>5.05*4</f>
        <v>20.2</v>
      </c>
      <c r="H115" s="68">
        <v>0.63</v>
      </c>
      <c r="I115" s="68"/>
      <c r="J115" s="68"/>
      <c r="K115" s="200">
        <f>TRUNC((G115*F115)*H115,2)</f>
        <v>50.9</v>
      </c>
      <c r="L115" s="67"/>
    </row>
    <row r="116" spans="2:12" hidden="1">
      <c r="B116" s="63"/>
      <c r="C116" s="1001" t="s">
        <v>140</v>
      </c>
      <c r="D116" s="1001"/>
      <c r="E116" s="1001"/>
      <c r="F116" s="68">
        <v>2</v>
      </c>
      <c r="G116" s="68">
        <f>3.7*4</f>
        <v>14.8</v>
      </c>
      <c r="H116" s="68">
        <v>0.63</v>
      </c>
      <c r="I116" s="68"/>
      <c r="J116" s="68"/>
      <c r="K116" s="200">
        <f>TRUNC((G116*F116)*H116,2)</f>
        <v>18.64</v>
      </c>
      <c r="L116" s="67"/>
    </row>
    <row r="117" spans="2:12" hidden="1">
      <c r="B117" s="63"/>
      <c r="C117" s="1001" t="s">
        <v>141</v>
      </c>
      <c r="D117" s="1001"/>
      <c r="E117" s="1001"/>
      <c r="F117" s="68">
        <v>2</v>
      </c>
      <c r="G117" s="68">
        <f>2.6*6</f>
        <v>15.600000000000001</v>
      </c>
      <c r="H117" s="68">
        <v>0.63</v>
      </c>
      <c r="I117" s="68"/>
      <c r="J117" s="68"/>
      <c r="K117" s="200">
        <f>TRUNC((G117*F117)*H117,2)</f>
        <v>19.649999999999999</v>
      </c>
      <c r="L117" s="67"/>
    </row>
    <row r="118" spans="2:12" hidden="1">
      <c r="B118" s="63"/>
      <c r="C118" s="1001" t="s">
        <v>142</v>
      </c>
      <c r="D118" s="1001"/>
      <c r="E118" s="1001"/>
      <c r="F118" s="68">
        <v>2</v>
      </c>
      <c r="G118" s="68">
        <f>25.8*4</f>
        <v>103.2</v>
      </c>
      <c r="H118" s="68">
        <v>0.63</v>
      </c>
      <c r="I118" s="68"/>
      <c r="J118" s="68"/>
      <c r="K118" s="200">
        <f>TRUNC((G118*F118)*H118,2)</f>
        <v>130.03</v>
      </c>
      <c r="L118" s="67"/>
    </row>
    <row r="119" spans="2:12" hidden="1">
      <c r="B119" s="63"/>
      <c r="C119" s="1001" t="s">
        <v>142</v>
      </c>
      <c r="D119" s="1001"/>
      <c r="E119" s="1001"/>
      <c r="F119" s="68">
        <v>1</v>
      </c>
      <c r="G119" s="68">
        <f>17.3*4</f>
        <v>69.2</v>
      </c>
      <c r="H119" s="68">
        <v>0.63</v>
      </c>
      <c r="I119" s="68"/>
      <c r="J119" s="68"/>
      <c r="K119" s="200">
        <f>TRUNC((G119*F119)*H119,2)</f>
        <v>43.59</v>
      </c>
      <c r="L119" s="67"/>
    </row>
    <row r="120" spans="2:12" hidden="1">
      <c r="B120" s="63"/>
      <c r="C120" s="1002" t="s">
        <v>116</v>
      </c>
      <c r="D120" s="1002"/>
      <c r="E120" s="1002"/>
      <c r="F120" s="1002"/>
      <c r="G120" s="1002"/>
      <c r="H120" s="1002"/>
      <c r="I120" s="1002"/>
      <c r="J120" s="1002"/>
      <c r="K120" s="66">
        <f>SUM(K115:K119)</f>
        <v>262.81</v>
      </c>
      <c r="L120" s="67"/>
    </row>
    <row r="121" spans="2:12" hidden="1"/>
    <row r="122" spans="2:12" ht="27" hidden="1" customHeight="1">
      <c r="B122" s="60" t="str">
        <f>'[6]PLANILHA ORÇAMENTÁRIA'!D31</f>
        <v>5.3</v>
      </c>
      <c r="C122" s="1003" t="str">
        <f>'[6]PLANILHA ORÇAMENTÁRIA'!E31</f>
        <v>ARMAÇÃO DE PILAR OU VIGA DE UMA ESTRUTURA CONVENCIONAL DE CONCRETO ARMADO EM UMA EDIFICAÇÃO TÉRREA OU SOBRADO UTILIZANDO AÇO CA-60 DE 5,0 MM - MONTAGEM. AF_12/2015</v>
      </c>
      <c r="D122" s="1003"/>
      <c r="E122" s="1003"/>
      <c r="F122" s="1003"/>
      <c r="G122" s="1003"/>
      <c r="H122" s="1003"/>
      <c r="I122" s="1003"/>
      <c r="J122" s="1003"/>
      <c r="K122" s="61" t="str">
        <f>'[6]PLANILHA ORÇAMENTÁRIA'!F31</f>
        <v>KG</v>
      </c>
      <c r="L122" s="62">
        <f>K129</f>
        <v>67.75</v>
      </c>
    </row>
    <row r="123" spans="2:12" hidden="1">
      <c r="B123" s="63"/>
      <c r="C123" s="1004" t="s">
        <v>20</v>
      </c>
      <c r="D123" s="1004"/>
      <c r="E123" s="1004"/>
      <c r="F123" s="64" t="s">
        <v>22</v>
      </c>
      <c r="G123" s="199" t="s">
        <v>113</v>
      </c>
      <c r="H123" s="64" t="s">
        <v>143</v>
      </c>
      <c r="I123" s="64" t="s">
        <v>144</v>
      </c>
      <c r="J123" s="64" t="s">
        <v>133</v>
      </c>
      <c r="K123" s="66" t="s">
        <v>25</v>
      </c>
      <c r="L123" s="67"/>
    </row>
    <row r="124" spans="2:12" hidden="1">
      <c r="B124" s="63"/>
      <c r="C124" s="1001" t="s">
        <v>145</v>
      </c>
      <c r="D124" s="1001"/>
      <c r="E124" s="1001"/>
      <c r="F124" s="68">
        <v>4</v>
      </c>
      <c r="G124" s="68">
        <f>0.13+0.13+0.13+0.13+0.16</f>
        <v>0.68</v>
      </c>
      <c r="H124" s="68">
        <f>TRUNC(G108/0.2,2)</f>
        <v>25.25</v>
      </c>
      <c r="I124" s="68">
        <f>TRUNC(G124*H124,2)</f>
        <v>17.170000000000002</v>
      </c>
      <c r="J124" s="68">
        <v>0.16</v>
      </c>
      <c r="K124" s="200">
        <f>TRUNC((I124*G124*J124)*F124,2)</f>
        <v>7.47</v>
      </c>
      <c r="L124" s="67"/>
    </row>
    <row r="125" spans="2:12" hidden="1">
      <c r="B125" s="63"/>
      <c r="C125" s="1001" t="s">
        <v>145</v>
      </c>
      <c r="D125" s="1001"/>
      <c r="E125" s="1001"/>
      <c r="F125" s="68">
        <v>2</v>
      </c>
      <c r="G125" s="68">
        <f>0.13+0.13+0.13+0.13+0.16</f>
        <v>0.68</v>
      </c>
      <c r="H125" s="68">
        <f>TRUNC(G109/0.2,2)</f>
        <v>18.5</v>
      </c>
      <c r="I125" s="68">
        <f>TRUNC(G125*H125,2)</f>
        <v>12.58</v>
      </c>
      <c r="J125" s="68">
        <v>0.16</v>
      </c>
      <c r="K125" s="200">
        <f>TRUNC((I125*G125*J125)*F125,2)</f>
        <v>2.73</v>
      </c>
      <c r="L125" s="67"/>
    </row>
    <row r="126" spans="2:12" hidden="1">
      <c r="B126" s="63"/>
      <c r="C126" s="1001" t="s">
        <v>146</v>
      </c>
      <c r="D126" s="1001"/>
      <c r="E126" s="1001"/>
      <c r="F126" s="68">
        <v>2</v>
      </c>
      <c r="G126" s="68">
        <f>0.9+0.9+0.34+0.34+0.16</f>
        <v>2.64</v>
      </c>
      <c r="H126" s="68">
        <f>TRUNC(G110/0.2,2)</f>
        <v>13</v>
      </c>
      <c r="I126" s="68">
        <f>TRUNC(G126*H126,2)</f>
        <v>34.32</v>
      </c>
      <c r="J126" s="68">
        <v>0.16</v>
      </c>
      <c r="K126" s="200">
        <f>TRUNC((I126*G126*J126)*F126,2)</f>
        <v>28.99</v>
      </c>
      <c r="L126" s="67"/>
    </row>
    <row r="127" spans="2:12" hidden="1">
      <c r="B127" s="63"/>
      <c r="C127" s="1001" t="s">
        <v>147</v>
      </c>
      <c r="D127" s="1001"/>
      <c r="E127" s="1001"/>
      <c r="F127" s="68">
        <v>2</v>
      </c>
      <c r="G127" s="68">
        <f>0.09+0.09+0.19+0.19+0.16</f>
        <v>0.72000000000000008</v>
      </c>
      <c r="H127" s="68">
        <f>TRUNC(I140/0.2,2)</f>
        <v>129</v>
      </c>
      <c r="I127" s="68">
        <f>TRUNC(G127*H127,2)</f>
        <v>92.88</v>
      </c>
      <c r="J127" s="68">
        <v>0.16</v>
      </c>
      <c r="K127" s="200">
        <f>TRUNC((I127*G127*J127)*F127,2)</f>
        <v>21.39</v>
      </c>
      <c r="L127" s="67"/>
    </row>
    <row r="128" spans="2:12" hidden="1">
      <c r="B128" s="63"/>
      <c r="C128" s="1001" t="s">
        <v>147</v>
      </c>
      <c r="D128" s="1001"/>
      <c r="E128" s="1001"/>
      <c r="F128" s="68">
        <v>1</v>
      </c>
      <c r="G128" s="68">
        <f>0.09+0.09+0.19+0.19+0.16</f>
        <v>0.72000000000000008</v>
      </c>
      <c r="H128" s="68">
        <f>TRUNC(I141/0.2,2)</f>
        <v>86.5</v>
      </c>
      <c r="I128" s="68">
        <f>TRUNC(G128*H128,2)</f>
        <v>62.28</v>
      </c>
      <c r="J128" s="68">
        <v>0.16</v>
      </c>
      <c r="K128" s="200">
        <f>TRUNC((I128*G128*J128)*F128,2)</f>
        <v>7.17</v>
      </c>
      <c r="L128" s="67"/>
    </row>
    <row r="129" spans="2:12" hidden="1">
      <c r="B129" s="63"/>
      <c r="C129" s="1002" t="s">
        <v>116</v>
      </c>
      <c r="D129" s="1002"/>
      <c r="E129" s="1002"/>
      <c r="F129" s="1002"/>
      <c r="G129" s="1002"/>
      <c r="H129" s="1002"/>
      <c r="I129" s="1002"/>
      <c r="J129" s="1002"/>
      <c r="K129" s="66">
        <f>SUM(K124:K128)</f>
        <v>67.75</v>
      </c>
      <c r="L129" s="67"/>
    </row>
    <row r="130" spans="2:12" hidden="1">
      <c r="B130" s="63"/>
      <c r="C130" s="71"/>
      <c r="D130" s="71"/>
      <c r="E130" s="71"/>
      <c r="F130" s="71"/>
      <c r="G130" s="71"/>
      <c r="H130" s="71"/>
      <c r="I130" s="71"/>
      <c r="J130" s="71"/>
      <c r="K130" s="73"/>
      <c r="L130" s="67"/>
    </row>
    <row r="131" spans="2:12" ht="24.75" hidden="1" customHeight="1">
      <c r="B131" s="60" t="str">
        <f>'[6]PLANILHA ORÇAMENTÁRIA'!D32</f>
        <v>5.4</v>
      </c>
      <c r="C131" s="1003" t="str">
        <f>'[6]PLANILHA ORÇAMENTÁRIA'!E32</f>
        <v>CONCRETAGEM DE PILARES, FCK = 25 MPA, COM USO DE GRUA EM EDIFICAÇÃO COM SEÇÃO MÉDIA DE PILARES MAIOR QUE 0,25 M² - LANÇAMENTO, ADENSAMENTO E ACABAMENTO. AF_12/2015</v>
      </c>
      <c r="D131" s="1003"/>
      <c r="E131" s="1003"/>
      <c r="F131" s="1003"/>
      <c r="G131" s="1003"/>
      <c r="H131" s="1003"/>
      <c r="I131" s="1003"/>
      <c r="J131" s="1003"/>
      <c r="K131" s="61" t="str">
        <f>'[6]PLANILHA ORÇAMENTÁRIA'!F32</f>
        <v>M3</v>
      </c>
      <c r="L131" s="62">
        <f>K136</f>
        <v>1.29</v>
      </c>
    </row>
    <row r="132" spans="2:12" hidden="1">
      <c r="B132" s="63"/>
      <c r="C132" s="1004" t="s">
        <v>20</v>
      </c>
      <c r="D132" s="1004"/>
      <c r="E132" s="1004"/>
      <c r="F132" s="64" t="s">
        <v>22</v>
      </c>
      <c r="G132" s="199" t="s">
        <v>111</v>
      </c>
      <c r="H132" s="64" t="s">
        <v>112</v>
      </c>
      <c r="I132" s="199" t="s">
        <v>113</v>
      </c>
      <c r="J132" s="199" t="s">
        <v>114</v>
      </c>
      <c r="K132" s="66" t="s">
        <v>25</v>
      </c>
      <c r="L132" s="67"/>
    </row>
    <row r="133" spans="2:12" hidden="1">
      <c r="B133" s="63"/>
      <c r="C133" s="1001" t="s">
        <v>138</v>
      </c>
      <c r="D133" s="1001"/>
      <c r="E133" s="1001"/>
      <c r="F133" s="68">
        <v>4</v>
      </c>
      <c r="G133" s="68">
        <v>5.05</v>
      </c>
      <c r="H133" s="68">
        <v>0.19</v>
      </c>
      <c r="I133" s="68">
        <v>0.19</v>
      </c>
      <c r="J133" s="68"/>
      <c r="K133" s="200">
        <f>TRUNC(H133*I133*G133*F133,2)</f>
        <v>0.72</v>
      </c>
      <c r="L133" s="67"/>
    </row>
    <row r="134" spans="2:12" hidden="1">
      <c r="B134" s="63"/>
      <c r="C134" s="1001" t="s">
        <v>138</v>
      </c>
      <c r="D134" s="1001"/>
      <c r="E134" s="1001"/>
      <c r="F134" s="68">
        <v>2</v>
      </c>
      <c r="G134" s="68">
        <v>3.7</v>
      </c>
      <c r="H134" s="68">
        <v>0.19</v>
      </c>
      <c r="I134" s="68">
        <v>0.19</v>
      </c>
      <c r="J134" s="68"/>
      <c r="K134" s="200">
        <f>TRUNC(H134*I134*G134*F134,2)</f>
        <v>0.26</v>
      </c>
      <c r="L134" s="67"/>
    </row>
    <row r="135" spans="2:12" hidden="1">
      <c r="B135" s="63"/>
      <c r="C135" s="1001" t="s">
        <v>139</v>
      </c>
      <c r="D135" s="1001"/>
      <c r="E135" s="1001"/>
      <c r="F135" s="68">
        <v>2</v>
      </c>
      <c r="G135" s="68">
        <v>2.6</v>
      </c>
      <c r="H135" s="68">
        <v>0.15</v>
      </c>
      <c r="I135" s="68">
        <v>0.4</v>
      </c>
      <c r="J135" s="68"/>
      <c r="K135" s="200">
        <f>TRUNC(H135*I135*G135*F135,2)</f>
        <v>0.31</v>
      </c>
      <c r="L135" s="67"/>
    </row>
    <row r="136" spans="2:12" hidden="1">
      <c r="B136" s="63"/>
      <c r="C136" s="1002" t="s">
        <v>116</v>
      </c>
      <c r="D136" s="1002"/>
      <c r="E136" s="1002"/>
      <c r="F136" s="1002"/>
      <c r="G136" s="1002"/>
      <c r="H136" s="1002"/>
      <c r="I136" s="1002"/>
      <c r="J136" s="1002"/>
      <c r="K136" s="66">
        <f>SUM(K133:K135)</f>
        <v>1.29</v>
      </c>
      <c r="L136" s="67"/>
    </row>
    <row r="137" spans="2:12" hidden="1"/>
    <row r="138" spans="2:12" ht="15" hidden="1" customHeight="1">
      <c r="B138" s="60" t="str">
        <f>'[6]PLANILHA ORÇAMENTÁRIA'!D33</f>
        <v>5.5</v>
      </c>
      <c r="C138" s="1003" t="str">
        <f>'[6]PLANILHA ORÇAMENTÁRIA'!E33</f>
        <v>FORMA PLANA PARA VIGAS, EM COMPENSADO RESINADO DE 14MM, 12 USOS, INCLUSIVE ESCORAMENTO</v>
      </c>
      <c r="D138" s="1003"/>
      <c r="E138" s="1003"/>
      <c r="F138" s="1003"/>
      <c r="G138" s="1003"/>
      <c r="H138" s="1003"/>
      <c r="I138" s="1003"/>
      <c r="J138" s="1003"/>
      <c r="K138" s="61" t="str">
        <f>'[6]PLANILHA ORÇAMENTÁRIA'!F33</f>
        <v>M2</v>
      </c>
      <c r="L138" s="62">
        <f>K142</f>
        <v>16.77</v>
      </c>
    </row>
    <row r="139" spans="2:12" hidden="1">
      <c r="B139" s="63"/>
      <c r="C139" s="1004" t="s">
        <v>20</v>
      </c>
      <c r="D139" s="1004"/>
      <c r="E139" s="1004"/>
      <c r="F139" s="64" t="s">
        <v>22</v>
      </c>
      <c r="G139" s="199" t="s">
        <v>111</v>
      </c>
      <c r="H139" s="64" t="s">
        <v>112</v>
      </c>
      <c r="I139" s="199" t="s">
        <v>113</v>
      </c>
      <c r="J139" s="199" t="s">
        <v>148</v>
      </c>
      <c r="K139" s="66" t="s">
        <v>25</v>
      </c>
      <c r="L139" s="67"/>
    </row>
    <row r="140" spans="2:12" hidden="1">
      <c r="B140" s="63"/>
      <c r="C140" s="1001" t="s">
        <v>149</v>
      </c>
      <c r="D140" s="1001"/>
      <c r="E140" s="1001"/>
      <c r="F140" s="68">
        <v>2</v>
      </c>
      <c r="G140" s="68">
        <v>0.25</v>
      </c>
      <c r="H140" s="68">
        <v>0.15</v>
      </c>
      <c r="I140" s="68">
        <v>25.8</v>
      </c>
      <c r="J140" s="68">
        <v>2</v>
      </c>
      <c r="K140" s="200">
        <f>TRUNC((G140*I140*J140)+(H140*I140),2)</f>
        <v>16.77</v>
      </c>
      <c r="L140" s="67"/>
    </row>
    <row r="141" spans="2:12" hidden="1">
      <c r="B141" s="63"/>
      <c r="C141" s="1001" t="s">
        <v>149</v>
      </c>
      <c r="D141" s="1001"/>
      <c r="E141" s="1001"/>
      <c r="F141" s="68">
        <v>1</v>
      </c>
      <c r="G141" s="68">
        <v>0.25</v>
      </c>
      <c r="H141" s="68">
        <v>0.15</v>
      </c>
      <c r="I141" s="68">
        <v>17.3</v>
      </c>
      <c r="J141" s="68">
        <v>2</v>
      </c>
      <c r="K141" s="200">
        <f>TRUNC((G141*I141*J141)+(H141*I141),2)</f>
        <v>11.24</v>
      </c>
      <c r="L141" s="67"/>
    </row>
    <row r="142" spans="2:12" hidden="1">
      <c r="B142" s="63"/>
      <c r="C142" s="1002" t="s">
        <v>116</v>
      </c>
      <c r="D142" s="1002"/>
      <c r="E142" s="1002"/>
      <c r="F142" s="1002"/>
      <c r="G142" s="1002"/>
      <c r="H142" s="1002"/>
      <c r="I142" s="1002"/>
      <c r="J142" s="1002"/>
      <c r="K142" s="66">
        <f>SUM(K140:K140)</f>
        <v>16.77</v>
      </c>
      <c r="L142" s="67"/>
    </row>
    <row r="143" spans="2:12" hidden="1"/>
    <row r="144" spans="2:12" ht="25.5" hidden="1" customHeight="1">
      <c r="B144" s="60" t="str">
        <f>'[6]PLANILHA ORÇAMENTÁRIA'!D34</f>
        <v>5.6</v>
      </c>
      <c r="C144" s="1003" t="str">
        <f>'[6]PLANILHA ORÇAMENTÁRIA'!E34</f>
        <v>CONCRETAGEM DE VIGAS E LAJES, FCK=20 MPA, PARA LAJES MACIÇAS OU NERVURADAS COM GRUA DE CAÇAMBA DE 500 L EM EDIFICAÇÃO DE MULTIPAVIMENTOS ATÉ 16 ANDARES, COM ÁREA MÉDIA DE LAJES MAIOR QUE 20 M² - LANÇAMENTO, ADENSAMENTO E ACABAMENTO. AF_12/2015</v>
      </c>
      <c r="D144" s="1003"/>
      <c r="E144" s="1003"/>
      <c r="F144" s="1003"/>
      <c r="G144" s="1003"/>
      <c r="H144" s="1003"/>
      <c r="I144" s="1003"/>
      <c r="J144" s="1003"/>
      <c r="K144" s="61" t="str">
        <f>'[6]PLANILHA ORÇAMENTÁRIA'!F34</f>
        <v>M3</v>
      </c>
      <c r="L144" s="62">
        <f>K148</f>
        <v>2.57</v>
      </c>
    </row>
    <row r="145" spans="2:12" hidden="1">
      <c r="B145" s="63"/>
      <c r="C145" s="1004" t="s">
        <v>20</v>
      </c>
      <c r="D145" s="1004"/>
      <c r="E145" s="1004"/>
      <c r="F145" s="64" t="s">
        <v>22</v>
      </c>
      <c r="G145" s="199" t="s">
        <v>111</v>
      </c>
      <c r="H145" s="64" t="s">
        <v>112</v>
      </c>
      <c r="I145" s="199" t="s">
        <v>113</v>
      </c>
      <c r="J145" s="199" t="s">
        <v>114</v>
      </c>
      <c r="K145" s="66" t="s">
        <v>25</v>
      </c>
      <c r="L145" s="67"/>
    </row>
    <row r="146" spans="2:12" hidden="1">
      <c r="B146" s="63"/>
      <c r="C146" s="1001" t="s">
        <v>149</v>
      </c>
      <c r="D146" s="1001"/>
      <c r="E146" s="1001"/>
      <c r="F146" s="68">
        <v>2</v>
      </c>
      <c r="G146" s="68">
        <v>0.25</v>
      </c>
      <c r="H146" s="68">
        <v>0.15</v>
      </c>
      <c r="I146" s="68">
        <v>25.8</v>
      </c>
      <c r="J146" s="68"/>
      <c r="K146" s="200">
        <f>TRUNC(G146*H146*I146*F146,2)</f>
        <v>1.93</v>
      </c>
      <c r="L146" s="67"/>
    </row>
    <row r="147" spans="2:12" hidden="1">
      <c r="B147" s="63"/>
      <c r="C147" s="1001" t="s">
        <v>149</v>
      </c>
      <c r="D147" s="1001"/>
      <c r="E147" s="1001"/>
      <c r="F147" s="68">
        <v>1</v>
      </c>
      <c r="G147" s="68">
        <v>0.25</v>
      </c>
      <c r="H147" s="68">
        <v>0.15</v>
      </c>
      <c r="I147" s="68">
        <v>17.3</v>
      </c>
      <c r="J147" s="68"/>
      <c r="K147" s="200">
        <f>TRUNC(G147*H147*I147*F147,2)</f>
        <v>0.64</v>
      </c>
      <c r="L147" s="67"/>
    </row>
    <row r="148" spans="2:12" hidden="1">
      <c r="B148" s="63"/>
      <c r="C148" s="1002" t="s">
        <v>116</v>
      </c>
      <c r="D148" s="1002"/>
      <c r="E148" s="1002"/>
      <c r="F148" s="1002"/>
      <c r="G148" s="1002"/>
      <c r="H148" s="1002"/>
      <c r="I148" s="1002"/>
      <c r="J148" s="1002"/>
      <c r="K148" s="66">
        <f>SUM(K146:K147)</f>
        <v>2.57</v>
      </c>
      <c r="L148" s="67"/>
    </row>
    <row r="149" spans="2:12" hidden="1"/>
    <row r="150" spans="2:12" ht="29.25" hidden="1" customHeight="1">
      <c r="B150" s="60" t="str">
        <f>'[6]PLANILHA ORÇAMENTÁRIA'!D35</f>
        <v>5.7</v>
      </c>
      <c r="C150" s="1003" t="str">
        <f>'[6]PLANILHA ORÇAMENTÁRIA'!E35</f>
        <v>LAJE PRE-MOLDADA P/FORRO, SOBRECARGA 100KG/M2, VAOS ATE 3,50M/E=8CM, C/LAJOTAS E CAP.C/CONC FCK=20MPA, 3CM, INTER-EIXO 38CM, C/ESCORAMENTO (REAPR.3X) E FERRAGEM NEGATIVA</v>
      </c>
      <c r="D150" s="1003"/>
      <c r="E150" s="1003"/>
      <c r="F150" s="1003"/>
      <c r="G150" s="1003"/>
      <c r="H150" s="1003"/>
      <c r="I150" s="1003"/>
      <c r="J150" s="1003"/>
      <c r="K150" s="61" t="str">
        <f>'[6]PLANILHA ORÇAMENTÁRIA'!F35</f>
        <v>M2</v>
      </c>
      <c r="L150" s="62">
        <f>K154</f>
        <v>74.02</v>
      </c>
    </row>
    <row r="151" spans="2:12" hidden="1">
      <c r="B151" s="63"/>
      <c r="C151" s="1004" t="s">
        <v>20</v>
      </c>
      <c r="D151" s="1004"/>
      <c r="E151" s="1004"/>
      <c r="F151" s="64" t="s">
        <v>22</v>
      </c>
      <c r="G151" s="199" t="s">
        <v>111</v>
      </c>
      <c r="H151" s="64" t="s">
        <v>112</v>
      </c>
      <c r="I151" s="199" t="s">
        <v>113</v>
      </c>
      <c r="J151" s="199" t="s">
        <v>114</v>
      </c>
      <c r="K151" s="66" t="s">
        <v>25</v>
      </c>
      <c r="L151" s="67"/>
    </row>
    <row r="152" spans="2:12" hidden="1">
      <c r="B152" s="63"/>
      <c r="C152" s="1001" t="s">
        <v>150</v>
      </c>
      <c r="D152" s="1001"/>
      <c r="E152" s="1001"/>
      <c r="F152" s="68">
        <v>2</v>
      </c>
      <c r="G152" s="68"/>
      <c r="H152" s="68">
        <v>4.5</v>
      </c>
      <c r="I152" s="68">
        <v>6</v>
      </c>
      <c r="J152" s="68"/>
      <c r="K152" s="200">
        <f>TRUNC(H152*I152*F152,2)</f>
        <v>54</v>
      </c>
      <c r="L152" s="67"/>
    </row>
    <row r="153" spans="2:12" hidden="1">
      <c r="B153" s="63"/>
      <c r="C153" s="1001" t="s">
        <v>151</v>
      </c>
      <c r="D153" s="1001"/>
      <c r="E153" s="1001"/>
      <c r="F153" s="68">
        <v>1</v>
      </c>
      <c r="G153" s="68"/>
      <c r="H153" s="68">
        <v>4.45</v>
      </c>
      <c r="I153" s="68">
        <v>4.5</v>
      </c>
      <c r="J153" s="68"/>
      <c r="K153" s="200">
        <f>TRUNC(H153*I153*F153,2)</f>
        <v>20.02</v>
      </c>
      <c r="L153" s="67"/>
    </row>
    <row r="154" spans="2:12" hidden="1">
      <c r="B154" s="63"/>
      <c r="C154" s="1002" t="s">
        <v>116</v>
      </c>
      <c r="D154" s="1002"/>
      <c r="E154" s="1002"/>
      <c r="F154" s="1002"/>
      <c r="G154" s="1002"/>
      <c r="H154" s="1002"/>
      <c r="I154" s="1002"/>
      <c r="J154" s="1002"/>
      <c r="K154" s="66">
        <f>SUM(K152:K153)</f>
        <v>74.02</v>
      </c>
      <c r="L154" s="67"/>
    </row>
    <row r="155" spans="2:12" hidden="1"/>
    <row r="156" spans="2:12" ht="22.5" hidden="1" customHeight="1">
      <c r="B156" s="60" t="str">
        <f>'[6]PLANILHA ORÇAMENTÁRIA'!D36</f>
        <v>5.8</v>
      </c>
      <c r="C156" s="1003" t="str">
        <f>'[6]PLANILHA ORÇAMENTÁRIA'!E36</f>
        <v>IMPERMEABILIZAÇÃO DE PISO COM ARGAMASSA DE CIMENTO E AREIA, COM ADITIVO IMPERMEABILIZANTE, E = 2CM. AF_06/2018</v>
      </c>
      <c r="D156" s="1003"/>
      <c r="E156" s="1003"/>
      <c r="F156" s="1003"/>
      <c r="G156" s="1003"/>
      <c r="H156" s="1003"/>
      <c r="I156" s="1003"/>
      <c r="J156" s="1003"/>
      <c r="K156" s="61" t="str">
        <f>'[6]PLANILHA ORÇAMENTÁRIA'!F36</f>
        <v>M2</v>
      </c>
      <c r="L156" s="62">
        <f>K159</f>
        <v>27</v>
      </c>
    </row>
    <row r="157" spans="2:12" hidden="1">
      <c r="B157" s="63"/>
      <c r="C157" s="1004" t="s">
        <v>20</v>
      </c>
      <c r="D157" s="1004"/>
      <c r="E157" s="1004"/>
      <c r="F157" s="64" t="s">
        <v>22</v>
      </c>
      <c r="G157" s="199" t="s">
        <v>111</v>
      </c>
      <c r="H157" s="64" t="s">
        <v>112</v>
      </c>
      <c r="I157" s="199" t="s">
        <v>113</v>
      </c>
      <c r="J157" s="199" t="s">
        <v>114</v>
      </c>
      <c r="K157" s="66" t="s">
        <v>25</v>
      </c>
      <c r="L157" s="67"/>
    </row>
    <row r="158" spans="2:12" hidden="1">
      <c r="B158" s="63"/>
      <c r="C158" s="1001" t="s">
        <v>152</v>
      </c>
      <c r="D158" s="1001"/>
      <c r="E158" s="1001"/>
      <c r="F158" s="68">
        <v>1</v>
      </c>
      <c r="G158" s="68"/>
      <c r="H158" s="68">
        <v>4.5</v>
      </c>
      <c r="I158" s="68">
        <v>6</v>
      </c>
      <c r="J158" s="68"/>
      <c r="K158" s="200">
        <f>TRUNC(H158*I158*F158,2)</f>
        <v>27</v>
      </c>
      <c r="L158" s="67"/>
    </row>
    <row r="159" spans="2:12" hidden="1">
      <c r="B159" s="63"/>
      <c r="C159" s="1002" t="s">
        <v>116</v>
      </c>
      <c r="D159" s="1002"/>
      <c r="E159" s="1002"/>
      <c r="F159" s="1002"/>
      <c r="G159" s="1002"/>
      <c r="H159" s="1002"/>
      <c r="I159" s="1002"/>
      <c r="J159" s="1002"/>
      <c r="K159" s="66">
        <f>SUM(K158:K158)</f>
        <v>27</v>
      </c>
      <c r="L159" s="67"/>
    </row>
    <row r="160" spans="2:12" hidden="1"/>
    <row r="161" spans="2:12" ht="20.25" hidden="1" customHeight="1">
      <c r="B161" s="60" t="str">
        <f>'[6]PLANILHA ORÇAMENTÁRIA'!D37</f>
        <v>5.9</v>
      </c>
      <c r="C161" s="1003" t="str">
        <f>'[6]PLANILHA ORÇAMENTÁRIA'!E37</f>
        <v>TAMPA DE CONCRETO ARMADO 60X60X5CM PARA CAIXA</v>
      </c>
      <c r="D161" s="1003"/>
      <c r="E161" s="1003"/>
      <c r="F161" s="1003"/>
      <c r="G161" s="1003"/>
      <c r="H161" s="1003"/>
      <c r="I161" s="1003"/>
      <c r="J161" s="1003"/>
      <c r="K161" s="61" t="str">
        <f>'[6]PLANILHA ORÇAMENTÁRIA'!F37</f>
        <v>UND</v>
      </c>
      <c r="L161" s="62">
        <f>K164</f>
        <v>1</v>
      </c>
    </row>
    <row r="162" spans="2:12" hidden="1">
      <c r="B162" s="63"/>
      <c r="C162" s="1004" t="s">
        <v>20</v>
      </c>
      <c r="D162" s="1004"/>
      <c r="E162" s="1004"/>
      <c r="F162" s="64" t="s">
        <v>22</v>
      </c>
      <c r="G162" s="199" t="s">
        <v>111</v>
      </c>
      <c r="H162" s="64" t="s">
        <v>112</v>
      </c>
      <c r="I162" s="199" t="s">
        <v>113</v>
      </c>
      <c r="J162" s="199" t="s">
        <v>114</v>
      </c>
      <c r="K162" s="66" t="s">
        <v>25</v>
      </c>
      <c r="L162" s="67"/>
    </row>
    <row r="163" spans="2:12" hidden="1">
      <c r="B163" s="63"/>
      <c r="C163" s="1001" t="s">
        <v>153</v>
      </c>
      <c r="D163" s="1001"/>
      <c r="E163" s="1001"/>
      <c r="F163" s="68">
        <v>1</v>
      </c>
      <c r="G163" s="68"/>
      <c r="H163" s="68"/>
      <c r="I163" s="68"/>
      <c r="J163" s="68"/>
      <c r="K163" s="200">
        <f>F163</f>
        <v>1</v>
      </c>
      <c r="L163" s="67"/>
    </row>
    <row r="164" spans="2:12" hidden="1">
      <c r="B164" s="63"/>
      <c r="C164" s="1002" t="s">
        <v>116</v>
      </c>
      <c r="D164" s="1002"/>
      <c r="E164" s="1002"/>
      <c r="F164" s="1002"/>
      <c r="G164" s="1002"/>
      <c r="H164" s="1002"/>
      <c r="I164" s="1002"/>
      <c r="J164" s="1002"/>
      <c r="K164" s="66">
        <f>SUM(K163:K163)</f>
        <v>1</v>
      </c>
      <c r="L164" s="67"/>
    </row>
    <row r="165" spans="2:12" hidden="1">
      <c r="B165" s="63"/>
      <c r="C165" s="71"/>
      <c r="D165" s="71"/>
      <c r="E165" s="71"/>
      <c r="F165" s="71"/>
      <c r="G165" s="71"/>
      <c r="H165" s="71"/>
      <c r="I165" s="71"/>
      <c r="J165" s="71"/>
      <c r="K165" s="73"/>
      <c r="L165" s="67"/>
    </row>
    <row r="166" spans="2:12" hidden="1">
      <c r="B166" s="60" t="str">
        <f>'[6]PLANILHA ORÇAMENTÁRIA'!D38</f>
        <v>5.10</v>
      </c>
      <c r="C166" s="1003" t="str">
        <f>'[6]PLANILHA ORÇAMENTÁRIA'!E38</f>
        <v>VERGA PRÉ-MOLDADA PARA JANELAS COM ATÉ 1,5 M DE VÃO. AF_03/2016</v>
      </c>
      <c r="D166" s="1003"/>
      <c r="E166" s="1003"/>
      <c r="F166" s="1003"/>
      <c r="G166" s="1003"/>
      <c r="H166" s="1003"/>
      <c r="I166" s="1003"/>
      <c r="J166" s="1003"/>
      <c r="K166" s="61" t="str">
        <f>'[6]PLANILHA ORÇAMENTÁRIA'!F38</f>
        <v>M</v>
      </c>
      <c r="L166" s="62">
        <f>K169</f>
        <v>3.3000000000000003</v>
      </c>
    </row>
    <row r="167" spans="2:12" hidden="1">
      <c r="B167" s="63"/>
      <c r="C167" s="1004" t="s">
        <v>20</v>
      </c>
      <c r="D167" s="1004"/>
      <c r="E167" s="1004"/>
      <c r="F167" s="64" t="s">
        <v>22</v>
      </c>
      <c r="G167" s="199" t="s">
        <v>111</v>
      </c>
      <c r="H167" s="64" t="s">
        <v>112</v>
      </c>
      <c r="I167" s="199" t="s">
        <v>113</v>
      </c>
      <c r="J167" s="199" t="s">
        <v>114</v>
      </c>
      <c r="K167" s="66" t="s">
        <v>25</v>
      </c>
      <c r="L167" s="67"/>
    </row>
    <row r="168" spans="2:12" hidden="1">
      <c r="B168" s="63"/>
      <c r="C168" s="1001"/>
      <c r="D168" s="1001"/>
      <c r="E168" s="1001"/>
      <c r="F168" s="68">
        <v>3</v>
      </c>
      <c r="G168" s="68"/>
      <c r="H168" s="68"/>
      <c r="I168" s="68">
        <v>1.1000000000000001</v>
      </c>
      <c r="J168" s="68"/>
      <c r="K168" s="200">
        <f>F168*I168</f>
        <v>3.3000000000000003</v>
      </c>
      <c r="L168" s="67"/>
    </row>
    <row r="169" spans="2:12" hidden="1">
      <c r="B169" s="63"/>
      <c r="C169" s="1002" t="s">
        <v>116</v>
      </c>
      <c r="D169" s="1002"/>
      <c r="E169" s="1002"/>
      <c r="F169" s="1002"/>
      <c r="G169" s="1002"/>
      <c r="H169" s="1002"/>
      <c r="I169" s="1002"/>
      <c r="J169" s="1002"/>
      <c r="K169" s="66">
        <f>SUM(K168:K168)</f>
        <v>3.3000000000000003</v>
      </c>
      <c r="L169" s="67"/>
    </row>
    <row r="170" spans="2:12" hidden="1">
      <c r="B170" s="63"/>
      <c r="C170" s="71"/>
      <c r="D170" s="71"/>
      <c r="E170" s="71"/>
      <c r="F170" s="71"/>
      <c r="G170" s="71"/>
      <c r="H170" s="71"/>
      <c r="I170" s="71"/>
      <c r="J170" s="71"/>
      <c r="K170" s="73"/>
      <c r="L170" s="67"/>
    </row>
    <row r="171" spans="2:12" hidden="1">
      <c r="B171" s="60" t="str">
        <f>'[6]PLANILHA ORÇAMENTÁRIA'!D39</f>
        <v>5.11</v>
      </c>
      <c r="C171" s="1003" t="str">
        <f>'[6]PLANILHA ORÇAMENTÁRIA'!E39</f>
        <v>VERGA PRÉ-MOLDADA PARA PORTAS COM ATÉ 1,5 M DE VÃO. AF_03/2016</v>
      </c>
      <c r="D171" s="1003"/>
      <c r="E171" s="1003"/>
      <c r="F171" s="1003"/>
      <c r="G171" s="1003"/>
      <c r="H171" s="1003"/>
      <c r="I171" s="1003"/>
      <c r="J171" s="1003"/>
      <c r="K171" s="61" t="str">
        <f>'[6]PLANILHA ORÇAMENTÁRIA'!F39</f>
        <v>M</v>
      </c>
      <c r="L171" s="62">
        <f>K174</f>
        <v>3.3000000000000003</v>
      </c>
    </row>
    <row r="172" spans="2:12" hidden="1">
      <c r="B172" s="63"/>
      <c r="C172" s="1004" t="s">
        <v>20</v>
      </c>
      <c r="D172" s="1004"/>
      <c r="E172" s="1004"/>
      <c r="F172" s="64" t="s">
        <v>22</v>
      </c>
      <c r="G172" s="199" t="s">
        <v>111</v>
      </c>
      <c r="H172" s="64" t="s">
        <v>112</v>
      </c>
      <c r="I172" s="199" t="s">
        <v>113</v>
      </c>
      <c r="J172" s="199" t="s">
        <v>114</v>
      </c>
      <c r="K172" s="66" t="s">
        <v>25</v>
      </c>
      <c r="L172" s="67"/>
    </row>
    <row r="173" spans="2:12" ht="15" hidden="1" customHeight="1">
      <c r="B173" s="63"/>
      <c r="C173" s="1001"/>
      <c r="D173" s="1001"/>
      <c r="E173" s="1001"/>
      <c r="F173" s="68">
        <v>3</v>
      </c>
      <c r="G173" s="68"/>
      <c r="H173" s="68"/>
      <c r="I173" s="68">
        <v>1.1000000000000001</v>
      </c>
      <c r="J173" s="68"/>
      <c r="K173" s="200">
        <f>F173*I173</f>
        <v>3.3000000000000003</v>
      </c>
      <c r="L173" s="67"/>
    </row>
    <row r="174" spans="2:12" hidden="1">
      <c r="B174" s="63"/>
      <c r="C174" s="1002" t="s">
        <v>116</v>
      </c>
      <c r="D174" s="1002"/>
      <c r="E174" s="1002"/>
      <c r="F174" s="1002"/>
      <c r="G174" s="1002"/>
      <c r="H174" s="1002"/>
      <c r="I174" s="1002"/>
      <c r="J174" s="1002"/>
      <c r="K174" s="66">
        <f>SUM(K173:K173)</f>
        <v>3.3000000000000003</v>
      </c>
      <c r="L174" s="67"/>
    </row>
    <row r="175" spans="2:12" hidden="1">
      <c r="B175" s="63"/>
      <c r="C175" s="71"/>
      <c r="D175" s="71"/>
      <c r="E175" s="71"/>
      <c r="F175" s="71"/>
      <c r="G175" s="71"/>
      <c r="H175" s="71"/>
      <c r="I175" s="71"/>
      <c r="J175" s="71"/>
      <c r="K175" s="73"/>
      <c r="L175" s="67"/>
    </row>
    <row r="176" spans="2:12" hidden="1">
      <c r="B176" s="60" t="str">
        <f>'[6]PLANILHA ORÇAMENTÁRIA'!D40</f>
        <v>5.12</v>
      </c>
      <c r="C176" s="1003" t="str">
        <f>'[6]PLANILHA ORÇAMENTÁRIA'!E40</f>
        <v>CONTRAVERGA PRÉ-MOLDADA PARA VÃOS DE ATÉ 1,5 M DE COMPRIMENTO. AF_03/2016</v>
      </c>
      <c r="D176" s="1003"/>
      <c r="E176" s="1003"/>
      <c r="F176" s="1003"/>
      <c r="G176" s="1003"/>
      <c r="H176" s="1003"/>
      <c r="I176" s="1003"/>
      <c r="J176" s="1003"/>
      <c r="K176" s="61" t="str">
        <f>'[6]PLANILHA ORÇAMENTÁRIA'!F40</f>
        <v>M</v>
      </c>
      <c r="L176" s="62">
        <f>K179</f>
        <v>3.3000000000000003</v>
      </c>
    </row>
    <row r="177" spans="2:12" hidden="1">
      <c r="B177" s="63"/>
      <c r="C177" s="1004" t="s">
        <v>20</v>
      </c>
      <c r="D177" s="1004"/>
      <c r="E177" s="1004"/>
      <c r="F177" s="64" t="s">
        <v>22</v>
      </c>
      <c r="G177" s="199" t="s">
        <v>111</v>
      </c>
      <c r="H177" s="64" t="s">
        <v>112</v>
      </c>
      <c r="I177" s="199" t="s">
        <v>113</v>
      </c>
      <c r="J177" s="199" t="s">
        <v>114</v>
      </c>
      <c r="K177" s="66" t="s">
        <v>25</v>
      </c>
      <c r="L177" s="67"/>
    </row>
    <row r="178" spans="2:12" ht="15" hidden="1" customHeight="1">
      <c r="B178" s="63"/>
      <c r="C178" s="1001"/>
      <c r="D178" s="1001"/>
      <c r="E178" s="1001"/>
      <c r="F178" s="68">
        <v>3</v>
      </c>
      <c r="G178" s="68"/>
      <c r="H178" s="68"/>
      <c r="I178" s="68">
        <v>1.1000000000000001</v>
      </c>
      <c r="J178" s="68"/>
      <c r="K178" s="200">
        <f>F178*I178</f>
        <v>3.3000000000000003</v>
      </c>
      <c r="L178" s="67"/>
    </row>
    <row r="179" spans="2:12" hidden="1">
      <c r="B179" s="63"/>
      <c r="C179" s="1002" t="s">
        <v>116</v>
      </c>
      <c r="D179" s="1002"/>
      <c r="E179" s="1002"/>
      <c r="F179" s="1002"/>
      <c r="G179" s="1002"/>
      <c r="H179" s="1002"/>
      <c r="I179" s="1002"/>
      <c r="J179" s="1002"/>
      <c r="K179" s="66">
        <f>SUM(K178:K178)</f>
        <v>3.3000000000000003</v>
      </c>
      <c r="L179" s="67"/>
    </row>
    <row r="180" spans="2:12" hidden="1">
      <c r="B180" s="63"/>
      <c r="C180" s="71"/>
      <c r="D180" s="71"/>
      <c r="E180" s="71"/>
      <c r="F180" s="71"/>
      <c r="G180" s="71"/>
      <c r="H180" s="71"/>
      <c r="I180" s="71"/>
      <c r="J180" s="71"/>
      <c r="K180" s="73"/>
      <c r="L180" s="67"/>
    </row>
    <row r="181" spans="2:12" hidden="1">
      <c r="B181" s="58" t="str">
        <f>'[6]PLANILHA ORÇAMENTÁRIA'!D41</f>
        <v>6.0</v>
      </c>
      <c r="C181" s="1000" t="str">
        <f>'[6]PLANILHA ORÇAMENTÁRIA'!E41</f>
        <v>ALVENARIA DE VEDAÇÃO</v>
      </c>
      <c r="D181" s="1000"/>
      <c r="E181" s="1000"/>
      <c r="F181" s="1000"/>
      <c r="G181" s="1000"/>
      <c r="H181" s="1000"/>
      <c r="I181" s="1000"/>
      <c r="J181" s="1000"/>
      <c r="K181" s="59"/>
      <c r="L181" s="59"/>
    </row>
    <row r="182" spans="2:12" ht="23.25" hidden="1" customHeight="1">
      <c r="B182" s="60" t="str">
        <f>'[6]PLANILHA ORÇAMENTÁRIA'!D42</f>
        <v>6.1</v>
      </c>
      <c r="C182" s="1003" t="str">
        <f>'[6]PLANILHA ORÇAMENTÁRIA'!E42</f>
        <v>ALVENARIA DE BLOCO CERÂMICO FURADO (9x19x19)cm C/ARGAMASSA MISTA DE CAL HIDRATADA, ESP=9 cm</v>
      </c>
      <c r="D182" s="1003"/>
      <c r="E182" s="1003"/>
      <c r="F182" s="1003"/>
      <c r="G182" s="1003"/>
      <c r="H182" s="1003"/>
      <c r="I182" s="1003"/>
      <c r="J182" s="1003"/>
      <c r="K182" s="61" t="str">
        <f>'[6]PLANILHA ORÇAMENTÁRIA'!F42</f>
        <v>M2</v>
      </c>
      <c r="L182" s="62">
        <f>K187</f>
        <v>133.51999999999998</v>
      </c>
    </row>
    <row r="183" spans="2:12" hidden="1">
      <c r="B183" s="63"/>
      <c r="C183" s="1004" t="s">
        <v>20</v>
      </c>
      <c r="D183" s="1004"/>
      <c r="E183" s="1004"/>
      <c r="F183" s="64" t="s">
        <v>22</v>
      </c>
      <c r="G183" s="199" t="s">
        <v>111</v>
      </c>
      <c r="H183" s="64" t="s">
        <v>112</v>
      </c>
      <c r="I183" s="199" t="s">
        <v>154</v>
      </c>
      <c r="J183" s="199" t="s">
        <v>114</v>
      </c>
      <c r="K183" s="66" t="s">
        <v>25</v>
      </c>
      <c r="L183" s="67"/>
    </row>
    <row r="184" spans="2:12" hidden="1">
      <c r="B184" s="63"/>
      <c r="C184" s="1001" t="s">
        <v>155</v>
      </c>
      <c r="D184" s="1001"/>
      <c r="E184" s="1001"/>
      <c r="F184" s="68"/>
      <c r="G184" s="68">
        <v>2.6</v>
      </c>
      <c r="H184" s="68"/>
      <c r="I184" s="68">
        <f>(6.6*2)+(4.2*3)+3.15+2.16+(1.05*2)</f>
        <v>33.21</v>
      </c>
      <c r="J184" s="68">
        <v>3.88</v>
      </c>
      <c r="K184" s="200">
        <f>TRUNC((G184*I184)-J184,2)</f>
        <v>82.46</v>
      </c>
      <c r="L184" s="67"/>
    </row>
    <row r="185" spans="2:12" hidden="1">
      <c r="B185" s="63"/>
      <c r="C185" s="1001" t="s">
        <v>156</v>
      </c>
      <c r="D185" s="1001"/>
      <c r="E185" s="1001"/>
      <c r="F185" s="68"/>
      <c r="G185" s="68">
        <v>2.15</v>
      </c>
      <c r="H185" s="68"/>
      <c r="I185" s="68">
        <f>(6.6*2)+(4.2*2)</f>
        <v>21.6</v>
      </c>
      <c r="J185" s="68"/>
      <c r="K185" s="200">
        <f>TRUNC((G185*I185),2)</f>
        <v>46.44</v>
      </c>
      <c r="L185" s="67"/>
    </row>
    <row r="186" spans="2:12" hidden="1">
      <c r="B186" s="63"/>
      <c r="C186" s="1001" t="s">
        <v>157</v>
      </c>
      <c r="D186" s="1001"/>
      <c r="E186" s="1001"/>
      <c r="F186" s="68"/>
      <c r="G186" s="68">
        <v>2.1</v>
      </c>
      <c r="H186" s="68"/>
      <c r="I186" s="68">
        <v>2.2000000000000002</v>
      </c>
      <c r="J186" s="68"/>
      <c r="K186" s="200">
        <f>TRUNC((G186*I186),2)</f>
        <v>4.62</v>
      </c>
      <c r="L186" s="67"/>
    </row>
    <row r="187" spans="2:12" hidden="1">
      <c r="B187" s="63"/>
      <c r="C187" s="1002" t="s">
        <v>116</v>
      </c>
      <c r="D187" s="1002"/>
      <c r="E187" s="1002"/>
      <c r="F187" s="1002"/>
      <c r="G187" s="1002"/>
      <c r="H187" s="1002"/>
      <c r="I187" s="1002"/>
      <c r="J187" s="1002"/>
      <c r="K187" s="66">
        <f>SUM(K184:K186)</f>
        <v>133.51999999999998</v>
      </c>
      <c r="L187" s="67"/>
    </row>
    <row r="188" spans="2:12">
      <c r="B188" s="63"/>
      <c r="C188" s="71"/>
      <c r="D188" s="71"/>
      <c r="E188" s="71"/>
      <c r="F188" s="71"/>
      <c r="G188" s="71"/>
      <c r="H188" s="71"/>
      <c r="I188" s="71"/>
      <c r="J188" s="71"/>
      <c r="K188" s="73"/>
      <c r="L188" s="67"/>
    </row>
    <row r="189" spans="2:12">
      <c r="B189" s="76" t="s">
        <v>4</v>
      </c>
      <c r="C189" s="993" t="s">
        <v>5</v>
      </c>
      <c r="D189" s="993"/>
      <c r="E189" s="993"/>
      <c r="F189" s="993"/>
      <c r="G189" s="993"/>
      <c r="H189" s="993"/>
      <c r="I189" s="993"/>
      <c r="J189" s="993"/>
      <c r="K189" s="77"/>
      <c r="L189" s="77"/>
    </row>
    <row r="190" spans="2:12">
      <c r="B190" s="63"/>
      <c r="C190" s="71"/>
      <c r="D190" s="71"/>
      <c r="E190" s="71"/>
      <c r="F190" s="71"/>
      <c r="G190" s="71"/>
      <c r="H190" s="71"/>
      <c r="I190" s="71"/>
      <c r="J190" s="71"/>
      <c r="K190" s="73"/>
      <c r="L190" s="67"/>
    </row>
    <row r="191" spans="2:12" ht="15" customHeight="1">
      <c r="B191" s="86" t="s">
        <v>6</v>
      </c>
      <c r="C191" s="980" t="s">
        <v>27</v>
      </c>
      <c r="D191" s="981"/>
      <c r="E191" s="981"/>
      <c r="F191" s="981"/>
      <c r="G191" s="981"/>
      <c r="H191" s="981"/>
      <c r="I191" s="981"/>
      <c r="J191" s="982"/>
      <c r="K191" s="97" t="str">
        <f>'[6]PLANILHA ORÇAMENTÁRIA'!F51</f>
        <v>M2</v>
      </c>
      <c r="L191" s="97">
        <f>K194</f>
        <v>150</v>
      </c>
    </row>
    <row r="192" spans="2:12">
      <c r="B192" s="86"/>
      <c r="C192" s="1027" t="s">
        <v>20</v>
      </c>
      <c r="D192" s="1027"/>
      <c r="E192" s="1027"/>
      <c r="F192" s="92" t="s">
        <v>22</v>
      </c>
      <c r="G192" s="203" t="s">
        <v>111</v>
      </c>
      <c r="H192" s="92" t="s">
        <v>112</v>
      </c>
      <c r="I192" s="203" t="s">
        <v>113</v>
      </c>
      <c r="J192" s="203" t="s">
        <v>114</v>
      </c>
      <c r="K192" s="94" t="s">
        <v>25</v>
      </c>
      <c r="L192" s="90"/>
    </row>
    <row r="193" spans="2:12">
      <c r="B193" s="86"/>
      <c r="C193" s="984" t="s">
        <v>443</v>
      </c>
      <c r="D193" s="985"/>
      <c r="E193" s="986"/>
      <c r="F193" s="91">
        <v>10</v>
      </c>
      <c r="G193" s="91">
        <v>3</v>
      </c>
      <c r="H193" s="91">
        <v>5</v>
      </c>
      <c r="I193" s="91">
        <v>1</v>
      </c>
      <c r="J193" s="91">
        <v>0</v>
      </c>
      <c r="K193" s="202">
        <f>(H193*I193*G193*F193)-J193</f>
        <v>150</v>
      </c>
      <c r="L193" s="90"/>
    </row>
    <row r="194" spans="2:12">
      <c r="B194" s="86"/>
      <c r="C194" s="987" t="s">
        <v>116</v>
      </c>
      <c r="D194" s="987"/>
      <c r="E194" s="987"/>
      <c r="F194" s="987"/>
      <c r="G194" s="987"/>
      <c r="H194" s="987"/>
      <c r="I194" s="987"/>
      <c r="J194" s="987"/>
      <c r="K194" s="89">
        <f>SUM(K193:K193)</f>
        <v>150</v>
      </c>
      <c r="L194" s="90"/>
    </row>
    <row r="195" spans="2:12">
      <c r="B195" s="63"/>
      <c r="C195" s="71"/>
      <c r="D195" s="71"/>
      <c r="E195" s="71"/>
      <c r="F195" s="71"/>
      <c r="G195" s="71"/>
      <c r="H195" s="71"/>
      <c r="I195" s="71"/>
      <c r="J195" s="71"/>
      <c r="K195" s="73"/>
      <c r="L195" s="67"/>
    </row>
    <row r="196" spans="2:12" ht="15" customHeight="1">
      <c r="B196" s="86" t="s">
        <v>29</v>
      </c>
      <c r="C196" s="1024" t="s">
        <v>8</v>
      </c>
      <c r="D196" s="1025"/>
      <c r="E196" s="1025"/>
      <c r="F196" s="1025"/>
      <c r="G196" s="1025"/>
      <c r="H196" s="1025"/>
      <c r="I196" s="1025"/>
      <c r="J196" s="1026"/>
      <c r="K196" s="97" t="s">
        <v>7</v>
      </c>
      <c r="L196" s="97">
        <f>K200</f>
        <v>75</v>
      </c>
    </row>
    <row r="197" spans="2:12">
      <c r="B197" s="86"/>
      <c r="C197" s="983" t="s">
        <v>20</v>
      </c>
      <c r="D197" s="983"/>
      <c r="E197" s="983"/>
      <c r="F197" s="87" t="s">
        <v>22</v>
      </c>
      <c r="G197" s="201" t="s">
        <v>111</v>
      </c>
      <c r="H197" s="87" t="s">
        <v>112</v>
      </c>
      <c r="I197" s="201" t="s">
        <v>113</v>
      </c>
      <c r="J197" s="201" t="s">
        <v>114</v>
      </c>
      <c r="K197" s="89" t="s">
        <v>25</v>
      </c>
      <c r="L197" s="90"/>
    </row>
    <row r="198" spans="2:12">
      <c r="B198" s="86"/>
      <c r="C198" s="984" t="s">
        <v>443</v>
      </c>
      <c r="D198" s="985"/>
      <c r="E198" s="986"/>
      <c r="F198" s="91">
        <v>5</v>
      </c>
      <c r="G198" s="91">
        <v>3</v>
      </c>
      <c r="H198" s="91">
        <v>5</v>
      </c>
      <c r="I198" s="91">
        <v>1</v>
      </c>
      <c r="J198" s="91">
        <v>0</v>
      </c>
      <c r="K198" s="89">
        <f>(H198*G198*F198*I198)-J198</f>
        <v>75</v>
      </c>
      <c r="L198" s="90"/>
    </row>
    <row r="199" spans="2:12">
      <c r="B199" s="86"/>
      <c r="C199" s="1021"/>
      <c r="D199" s="1022"/>
      <c r="E199" s="1023"/>
      <c r="F199" s="83"/>
      <c r="G199" s="197"/>
      <c r="H199" s="79"/>
      <c r="I199" s="197"/>
      <c r="J199" s="197"/>
      <c r="K199" s="89"/>
      <c r="L199" s="90"/>
    </row>
    <row r="200" spans="2:12">
      <c r="B200" s="86"/>
      <c r="C200" s="987" t="s">
        <v>116</v>
      </c>
      <c r="D200" s="987"/>
      <c r="E200" s="987"/>
      <c r="F200" s="987"/>
      <c r="G200" s="987"/>
      <c r="H200" s="987"/>
      <c r="I200" s="987"/>
      <c r="J200" s="987"/>
      <c r="K200" s="89">
        <f>SUM(K198:K199)</f>
        <v>75</v>
      </c>
      <c r="L200" s="90"/>
    </row>
    <row r="201" spans="2:12">
      <c r="B201" s="86"/>
      <c r="C201" s="211"/>
      <c r="D201" s="211"/>
      <c r="E201" s="211"/>
      <c r="F201" s="211"/>
      <c r="G201" s="211"/>
      <c r="H201" s="211"/>
      <c r="I201" s="211"/>
      <c r="J201" s="211"/>
      <c r="K201" s="212"/>
      <c r="L201" s="90"/>
    </row>
    <row r="202" spans="2:12">
      <c r="B202" s="86" t="s">
        <v>31</v>
      </c>
      <c r="C202" s="1024" t="s">
        <v>575</v>
      </c>
      <c r="D202" s="1025"/>
      <c r="E202" s="1025"/>
      <c r="F202" s="1025"/>
      <c r="G202" s="1025"/>
      <c r="H202" s="1025"/>
      <c r="I202" s="1025"/>
      <c r="J202" s="1026"/>
      <c r="K202" s="97" t="s">
        <v>7</v>
      </c>
      <c r="L202" s="97">
        <f>K206</f>
        <v>75.311999999999998</v>
      </c>
    </row>
    <row r="203" spans="2:12">
      <c r="B203" s="86"/>
      <c r="C203" s="983" t="s">
        <v>20</v>
      </c>
      <c r="D203" s="983"/>
      <c r="E203" s="983"/>
      <c r="F203" s="87" t="s">
        <v>22</v>
      </c>
      <c r="G203" s="262" t="s">
        <v>111</v>
      </c>
      <c r="H203" s="87" t="s">
        <v>112</v>
      </c>
      <c r="I203" s="262" t="s">
        <v>113</v>
      </c>
      <c r="J203" s="262" t="s">
        <v>114</v>
      </c>
      <c r="K203" s="89" t="s">
        <v>25</v>
      </c>
      <c r="L203" s="90"/>
    </row>
    <row r="204" spans="2:12" ht="15" customHeight="1">
      <c r="B204" s="86"/>
      <c r="C204" s="976" t="s">
        <v>461</v>
      </c>
      <c r="D204" s="977"/>
      <c r="E204" s="978"/>
      <c r="F204" s="83">
        <v>3</v>
      </c>
      <c r="G204" s="83">
        <v>1</v>
      </c>
      <c r="H204" s="83">
        <v>2.2000000000000002</v>
      </c>
      <c r="I204" s="83">
        <v>1.2</v>
      </c>
      <c r="J204" s="83">
        <v>0</v>
      </c>
      <c r="K204" s="89">
        <f>(H204*G204*F204*I204)-J204</f>
        <v>7.92</v>
      </c>
      <c r="L204" s="90"/>
    </row>
    <row r="205" spans="2:12">
      <c r="B205" s="86"/>
      <c r="C205" s="976" t="s">
        <v>243</v>
      </c>
      <c r="D205" s="977"/>
      <c r="E205" s="978"/>
      <c r="F205" s="83">
        <v>3</v>
      </c>
      <c r="G205" s="83">
        <v>1</v>
      </c>
      <c r="H205" s="83">
        <v>5.76</v>
      </c>
      <c r="I205" s="83">
        <v>3.9</v>
      </c>
      <c r="J205" s="83">
        <v>0</v>
      </c>
      <c r="K205" s="89">
        <f>(H205*G205*F205*I205)-J205</f>
        <v>67.391999999999996</v>
      </c>
      <c r="L205" s="90"/>
    </row>
    <row r="206" spans="2:12">
      <c r="B206" s="86"/>
      <c r="C206" s="987" t="s">
        <v>116</v>
      </c>
      <c r="D206" s="987"/>
      <c r="E206" s="987"/>
      <c r="F206" s="987"/>
      <c r="G206" s="987"/>
      <c r="H206" s="987"/>
      <c r="I206" s="987"/>
      <c r="J206" s="987"/>
      <c r="K206" s="89">
        <f>SUM(K204:K205)</f>
        <v>75.311999999999998</v>
      </c>
      <c r="L206" s="90"/>
    </row>
    <row r="207" spans="2:12">
      <c r="B207" s="86"/>
      <c r="C207" s="211"/>
      <c r="D207" s="211"/>
      <c r="E207" s="211"/>
      <c r="F207" s="211"/>
      <c r="G207" s="211"/>
      <c r="H207" s="211"/>
      <c r="I207" s="211"/>
      <c r="J207" s="211"/>
      <c r="K207" s="212"/>
      <c r="L207" s="90"/>
    </row>
    <row r="208" spans="2:12">
      <c r="B208" s="86" t="s">
        <v>79</v>
      </c>
      <c r="C208" s="1024" t="s">
        <v>446</v>
      </c>
      <c r="D208" s="1025"/>
      <c r="E208" s="1025"/>
      <c r="F208" s="1025"/>
      <c r="G208" s="1025"/>
      <c r="H208" s="1025"/>
      <c r="I208" s="1025"/>
      <c r="J208" s="1026"/>
      <c r="K208" s="97" t="s">
        <v>7</v>
      </c>
      <c r="L208" s="97">
        <f>K214</f>
        <v>90.289199999999994</v>
      </c>
    </row>
    <row r="209" spans="2:12">
      <c r="B209" s="86"/>
      <c r="C209" s="983" t="s">
        <v>20</v>
      </c>
      <c r="D209" s="983"/>
      <c r="E209" s="983"/>
      <c r="F209" s="87" t="s">
        <v>22</v>
      </c>
      <c r="G209" s="207" t="s">
        <v>111</v>
      </c>
      <c r="H209" s="87" t="s">
        <v>112</v>
      </c>
      <c r="I209" s="207" t="s">
        <v>113</v>
      </c>
      <c r="J209" s="207" t="s">
        <v>114</v>
      </c>
      <c r="K209" s="89" t="s">
        <v>25</v>
      </c>
      <c r="L209" s="90"/>
    </row>
    <row r="210" spans="2:12" ht="15" customHeight="1">
      <c r="B210" s="86"/>
      <c r="C210" s="984" t="s">
        <v>444</v>
      </c>
      <c r="D210" s="985"/>
      <c r="E210" s="986"/>
      <c r="F210" s="91">
        <v>1</v>
      </c>
      <c r="G210" s="91">
        <v>2.5</v>
      </c>
      <c r="H210" s="91">
        <v>30</v>
      </c>
      <c r="I210" s="91">
        <v>1</v>
      </c>
      <c r="J210" s="91">
        <v>0</v>
      </c>
      <c r="K210" s="89">
        <f>(G210*H210*I210*F210)-J210</f>
        <v>75</v>
      </c>
      <c r="L210" s="90"/>
    </row>
    <row r="211" spans="2:12">
      <c r="B211" s="86"/>
      <c r="C211" s="1115" t="s">
        <v>447</v>
      </c>
      <c r="D211" s="1116"/>
      <c r="E211" s="1117"/>
      <c r="F211" s="213">
        <v>1</v>
      </c>
      <c r="G211" s="214">
        <v>2.96</v>
      </c>
      <c r="H211" s="215">
        <v>2.74</v>
      </c>
      <c r="I211" s="214">
        <v>1</v>
      </c>
      <c r="J211" s="214">
        <v>0</v>
      </c>
      <c r="K211" s="89">
        <f>(G211*H211*I211*F211)-J211</f>
        <v>8.1104000000000003</v>
      </c>
      <c r="L211" s="90"/>
    </row>
    <row r="212" spans="2:12">
      <c r="B212" s="86"/>
      <c r="C212" s="1115" t="s">
        <v>447</v>
      </c>
      <c r="D212" s="1116"/>
      <c r="E212" s="1117"/>
      <c r="F212" s="213">
        <v>1</v>
      </c>
      <c r="G212" s="214">
        <v>1.67</v>
      </c>
      <c r="H212" s="215">
        <v>2.74</v>
      </c>
      <c r="I212" s="214">
        <v>1</v>
      </c>
      <c r="J212" s="214">
        <v>0</v>
      </c>
      <c r="K212" s="89">
        <f>(G212*H212*I212*F212)-J212</f>
        <v>4.5758000000000001</v>
      </c>
      <c r="L212" s="90"/>
    </row>
    <row r="213" spans="2:12">
      <c r="B213" s="86"/>
      <c r="C213" s="1115" t="s">
        <v>447</v>
      </c>
      <c r="D213" s="1116"/>
      <c r="E213" s="1117"/>
      <c r="F213" s="213">
        <v>1</v>
      </c>
      <c r="G213" s="214">
        <v>0.95</v>
      </c>
      <c r="H213" s="215">
        <v>2.74</v>
      </c>
      <c r="I213" s="214">
        <v>1</v>
      </c>
      <c r="J213" s="214">
        <v>0</v>
      </c>
      <c r="K213" s="89">
        <f>(G213*H213*I213*F213)-J213</f>
        <v>2.6030000000000002</v>
      </c>
      <c r="L213" s="90"/>
    </row>
    <row r="214" spans="2:12">
      <c r="B214" s="86"/>
      <c r="C214" s="987" t="s">
        <v>116</v>
      </c>
      <c r="D214" s="987"/>
      <c r="E214" s="987"/>
      <c r="F214" s="987"/>
      <c r="G214" s="987"/>
      <c r="H214" s="987"/>
      <c r="I214" s="987"/>
      <c r="J214" s="987"/>
      <c r="K214" s="89">
        <f>SUM(K210:K213)</f>
        <v>90.289199999999994</v>
      </c>
      <c r="L214" s="90"/>
    </row>
    <row r="215" spans="2:12">
      <c r="B215" s="336"/>
      <c r="C215" s="211"/>
      <c r="D215" s="211"/>
      <c r="E215" s="211"/>
      <c r="F215" s="211"/>
      <c r="G215" s="211"/>
      <c r="H215" s="211"/>
      <c r="I215" s="211"/>
      <c r="J215" s="211"/>
      <c r="K215" s="212"/>
      <c r="L215" s="90"/>
    </row>
    <row r="216" spans="2:12">
      <c r="B216" s="76" t="s">
        <v>11</v>
      </c>
      <c r="C216" s="993" t="s">
        <v>626</v>
      </c>
      <c r="D216" s="993"/>
      <c r="E216" s="993"/>
      <c r="F216" s="993"/>
      <c r="G216" s="993"/>
      <c r="H216" s="993"/>
      <c r="I216" s="993"/>
      <c r="J216" s="993"/>
      <c r="K216" s="77"/>
      <c r="L216" s="77"/>
    </row>
    <row r="217" spans="2:12">
      <c r="B217" s="63"/>
      <c r="C217" s="71"/>
      <c r="D217" s="71"/>
      <c r="E217" s="71"/>
      <c r="F217" s="71"/>
      <c r="G217" s="71"/>
      <c r="H217" s="71"/>
      <c r="I217" s="71"/>
      <c r="J217" s="71"/>
      <c r="K217" s="73"/>
      <c r="L217" s="67"/>
    </row>
    <row r="218" spans="2:12" ht="44.25" customHeight="1">
      <c r="B218" s="336" t="s">
        <v>12</v>
      </c>
      <c r="C218" s="980" t="str">
        <f>'ESC. LAFAYETE NUNES MACHADO'!C22</f>
        <v>ALVENARIA DE VEDAÇÃO DE BLOCOS CERÂMICOS FURADOS NA HORIZONTAL DE 9X19X19CM (ESPESSURA 9CM) DE PAREDES COM ÁREA LÍQUIDA MAIOR OU IGUAL A 6M² COM VÃOS E ARGAMASSA DE ASSENTAMENTO COM PREPARO EM BETONEIRA. AF_06/2014.</v>
      </c>
      <c r="D218" s="981"/>
      <c r="E218" s="981"/>
      <c r="F218" s="981"/>
      <c r="G218" s="981"/>
      <c r="H218" s="981"/>
      <c r="I218" s="981"/>
      <c r="J218" s="982"/>
      <c r="K218" s="97" t="str">
        <f>'[6]PLANILHA ORÇAMENTÁRIA'!F78</f>
        <v>UND</v>
      </c>
      <c r="L218" s="97">
        <f>K221</f>
        <v>24</v>
      </c>
    </row>
    <row r="219" spans="2:12">
      <c r="B219" s="336"/>
      <c r="C219" s="1027" t="s">
        <v>20</v>
      </c>
      <c r="D219" s="1027"/>
      <c r="E219" s="1027"/>
      <c r="F219" s="92" t="s">
        <v>22</v>
      </c>
      <c r="G219" s="332" t="s">
        <v>111</v>
      </c>
      <c r="H219" s="92" t="s">
        <v>112</v>
      </c>
      <c r="I219" s="332" t="s">
        <v>113</v>
      </c>
      <c r="J219" s="332" t="s">
        <v>114</v>
      </c>
      <c r="K219" s="94" t="s">
        <v>25</v>
      </c>
      <c r="L219" s="90"/>
    </row>
    <row r="220" spans="2:12">
      <c r="B220" s="336"/>
      <c r="C220" s="984" t="s">
        <v>633</v>
      </c>
      <c r="D220" s="985"/>
      <c r="E220" s="986"/>
      <c r="F220" s="91">
        <v>1</v>
      </c>
      <c r="G220" s="91">
        <v>3</v>
      </c>
      <c r="H220" s="91">
        <v>8</v>
      </c>
      <c r="I220" s="91">
        <v>1</v>
      </c>
      <c r="J220" s="91">
        <v>0</v>
      </c>
      <c r="K220" s="335">
        <f>(H220*I220*G220*F220)-J220</f>
        <v>24</v>
      </c>
      <c r="L220" s="90"/>
    </row>
    <row r="221" spans="2:12">
      <c r="B221" s="336"/>
      <c r="C221" s="987" t="s">
        <v>116</v>
      </c>
      <c r="D221" s="987"/>
      <c r="E221" s="987"/>
      <c r="F221" s="987"/>
      <c r="G221" s="987"/>
      <c r="H221" s="987"/>
      <c r="I221" s="987"/>
      <c r="J221" s="987"/>
      <c r="K221" s="89">
        <f>SUM(K220:K220)</f>
        <v>24</v>
      </c>
      <c r="L221" s="90"/>
    </row>
    <row r="222" spans="2:12">
      <c r="B222" s="336"/>
      <c r="C222" s="211"/>
      <c r="D222" s="211"/>
      <c r="E222" s="211"/>
      <c r="F222" s="211"/>
      <c r="G222" s="211"/>
      <c r="H222" s="211"/>
      <c r="I222" s="211"/>
      <c r="J222" s="211"/>
      <c r="K222" s="212"/>
      <c r="L222" s="90"/>
    </row>
    <row r="223" spans="2:12" hidden="1">
      <c r="B223" s="63"/>
      <c r="C223" s="1004" t="s">
        <v>20</v>
      </c>
      <c r="D223" s="1004"/>
      <c r="E223" s="1004"/>
      <c r="F223" s="64" t="s">
        <v>22</v>
      </c>
      <c r="G223" s="199" t="s">
        <v>111</v>
      </c>
      <c r="H223" s="64" t="s">
        <v>112</v>
      </c>
      <c r="I223" s="199" t="s">
        <v>154</v>
      </c>
      <c r="J223" s="199" t="s">
        <v>114</v>
      </c>
      <c r="K223" s="66" t="s">
        <v>25</v>
      </c>
      <c r="L223" s="67"/>
    </row>
    <row r="224" spans="2:12" hidden="1">
      <c r="B224" s="63"/>
      <c r="C224" s="1001" t="s">
        <v>159</v>
      </c>
      <c r="D224" s="1001"/>
      <c r="E224" s="1001"/>
      <c r="F224" s="68">
        <v>1</v>
      </c>
      <c r="G224" s="68">
        <v>5.05</v>
      </c>
      <c r="H224" s="68"/>
      <c r="I224" s="68">
        <f>6.6*2</f>
        <v>13.2</v>
      </c>
      <c r="J224" s="68">
        <v>3.88</v>
      </c>
      <c r="K224" s="200">
        <f>TRUNC(((G224*I224)*F224)-J224,2)</f>
        <v>62.78</v>
      </c>
      <c r="L224" s="67"/>
    </row>
    <row r="225" spans="2:12" hidden="1">
      <c r="B225" s="63"/>
      <c r="C225" s="1001" t="s">
        <v>156</v>
      </c>
      <c r="D225" s="1001"/>
      <c r="E225" s="1001"/>
      <c r="F225" s="68">
        <v>1</v>
      </c>
      <c r="G225" s="68">
        <v>5.05</v>
      </c>
      <c r="H225" s="68"/>
      <c r="I225" s="68">
        <v>9</v>
      </c>
      <c r="J225" s="68"/>
      <c r="K225" s="200">
        <f>TRUNC(((G225*I225)*F225),2)</f>
        <v>45.45</v>
      </c>
      <c r="L225" s="67"/>
    </row>
    <row r="226" spans="2:12" hidden="1">
      <c r="B226" s="63"/>
      <c r="C226" s="1001" t="s">
        <v>160</v>
      </c>
      <c r="D226" s="1001"/>
      <c r="E226" s="1001"/>
      <c r="F226" s="68">
        <v>2</v>
      </c>
      <c r="G226" s="68">
        <v>2.6</v>
      </c>
      <c r="H226" s="68"/>
      <c r="I226" s="68">
        <f>4.2+3.15+2.15+(1.05*2)</f>
        <v>11.6</v>
      </c>
      <c r="J226" s="68"/>
      <c r="K226" s="200">
        <f>TRUNC(((G226*I226)*F226),2)</f>
        <v>60.32</v>
      </c>
      <c r="L226" s="67"/>
    </row>
    <row r="227" spans="2:12" hidden="1">
      <c r="B227" s="63"/>
      <c r="C227" s="1001" t="s">
        <v>161</v>
      </c>
      <c r="D227" s="1001"/>
      <c r="E227" s="1001"/>
      <c r="F227" s="68">
        <v>2</v>
      </c>
      <c r="G227" s="68">
        <v>2.1</v>
      </c>
      <c r="H227" s="68"/>
      <c r="I227" s="68">
        <v>2.2000000000000002</v>
      </c>
      <c r="J227" s="68"/>
      <c r="K227" s="200">
        <f>TRUNC(((G227*I227)*F227),2)</f>
        <v>9.24</v>
      </c>
      <c r="L227" s="67"/>
    </row>
    <row r="228" spans="2:12" hidden="1">
      <c r="B228" s="63"/>
      <c r="C228" s="1002" t="s">
        <v>116</v>
      </c>
      <c r="D228" s="1002"/>
      <c r="E228" s="1002"/>
      <c r="F228" s="1002"/>
      <c r="G228" s="1002"/>
      <c r="H228" s="1002"/>
      <c r="I228" s="1002"/>
      <c r="J228" s="1002"/>
      <c r="K228" s="66">
        <f>SUM(K224:K227)</f>
        <v>177.79000000000002</v>
      </c>
      <c r="L228" s="67"/>
    </row>
    <row r="229" spans="2:12" hidden="1"/>
    <row r="230" spans="2:12" ht="24" hidden="1" customHeight="1">
      <c r="B230" s="60" t="str">
        <f>'[6]PLANILHA ORÇAMENTÁRIA'!D49</f>
        <v>8.2</v>
      </c>
      <c r="C230" s="1003" t="str">
        <f>'[6]PLANILHA ORÇAMENTÁRIA'!E49</f>
        <v>EMBOÇO, PARA RECEBIMENTO DE CERÂMICA, EM ARGAMASSA TRAÇO 1:2:8, PREPARO MECÂNICO COM BETONEIRA 400L, APLICADO MANUALMENTE EM FACES INTERNAS DE PAREDES, PARA AMBIENTE COM ÁREA MAIOR QUE 10M2, ESPESSURA DE 10MM, COM EXECUÇÃO DE TALISCAS. AF_06/2014</v>
      </c>
      <c r="D230" s="1003"/>
      <c r="E230" s="1003"/>
      <c r="F230" s="1003"/>
      <c r="G230" s="1003"/>
      <c r="H230" s="1003"/>
      <c r="I230" s="1003"/>
      <c r="J230" s="1003"/>
      <c r="K230" s="61" t="str">
        <f>'[6]PLANILHA ORÇAMENTÁRIA'!F49</f>
        <v>M2</v>
      </c>
      <c r="L230" s="62">
        <f>K236</f>
        <v>177.79000000000002</v>
      </c>
    </row>
    <row r="231" spans="2:12" hidden="1">
      <c r="B231" s="63"/>
      <c r="C231" s="1004" t="s">
        <v>20</v>
      </c>
      <c r="D231" s="1004"/>
      <c r="E231" s="1004"/>
      <c r="F231" s="64" t="s">
        <v>22</v>
      </c>
      <c r="G231" s="199" t="s">
        <v>111</v>
      </c>
      <c r="H231" s="64" t="s">
        <v>112</v>
      </c>
      <c r="I231" s="199" t="s">
        <v>154</v>
      </c>
      <c r="J231" s="199" t="s">
        <v>114</v>
      </c>
      <c r="K231" s="66" t="s">
        <v>25</v>
      </c>
      <c r="L231" s="67"/>
    </row>
    <row r="232" spans="2:12" ht="15" hidden="1" customHeight="1">
      <c r="B232" s="63"/>
      <c r="C232" s="1001" t="s">
        <v>159</v>
      </c>
      <c r="D232" s="1001"/>
      <c r="E232" s="1001"/>
      <c r="F232" s="68">
        <v>1</v>
      </c>
      <c r="G232" s="68">
        <v>5.05</v>
      </c>
      <c r="H232" s="68"/>
      <c r="I232" s="68">
        <f>6.6*2</f>
        <v>13.2</v>
      </c>
      <c r="J232" s="68">
        <v>3.88</v>
      </c>
      <c r="K232" s="200">
        <f>TRUNC(((G232*I232)*F232)-J232,2)</f>
        <v>62.78</v>
      </c>
      <c r="L232" s="67"/>
    </row>
    <row r="233" spans="2:12" hidden="1">
      <c r="B233" s="63"/>
      <c r="C233" s="1001" t="s">
        <v>156</v>
      </c>
      <c r="D233" s="1001"/>
      <c r="E233" s="1001"/>
      <c r="F233" s="68">
        <v>1</v>
      </c>
      <c r="G233" s="68">
        <v>5.05</v>
      </c>
      <c r="H233" s="68"/>
      <c r="I233" s="68">
        <v>9</v>
      </c>
      <c r="J233" s="68"/>
      <c r="K233" s="200">
        <f>TRUNC(((G233*I233)*F233),2)</f>
        <v>45.45</v>
      </c>
      <c r="L233" s="67"/>
    </row>
    <row r="234" spans="2:12" ht="15" hidden="1" customHeight="1">
      <c r="B234" s="63"/>
      <c r="C234" s="1001" t="s">
        <v>160</v>
      </c>
      <c r="D234" s="1001"/>
      <c r="E234" s="1001"/>
      <c r="F234" s="68">
        <v>2</v>
      </c>
      <c r="G234" s="68">
        <v>2.6</v>
      </c>
      <c r="H234" s="68"/>
      <c r="I234" s="68">
        <f>4.2+3.15+2.15+(1.05*2)</f>
        <v>11.6</v>
      </c>
      <c r="J234" s="68"/>
      <c r="K234" s="200">
        <f>TRUNC(((G234*I234)*F234),2)</f>
        <v>60.32</v>
      </c>
      <c r="L234" s="67"/>
    </row>
    <row r="235" spans="2:12" ht="15" hidden="1" customHeight="1">
      <c r="B235" s="63"/>
      <c r="C235" s="1001" t="s">
        <v>161</v>
      </c>
      <c r="D235" s="1001"/>
      <c r="E235" s="1001"/>
      <c r="F235" s="68">
        <v>2</v>
      </c>
      <c r="G235" s="68">
        <v>2.1</v>
      </c>
      <c r="H235" s="68"/>
      <c r="I235" s="68">
        <v>2.2000000000000002</v>
      </c>
      <c r="J235" s="68"/>
      <c r="K235" s="200">
        <f>TRUNC(((G235*I235)*F235),2)</f>
        <v>9.24</v>
      </c>
      <c r="L235" s="67"/>
    </row>
    <row r="236" spans="2:12" hidden="1">
      <c r="B236" s="63"/>
      <c r="C236" s="1002" t="s">
        <v>116</v>
      </c>
      <c r="D236" s="1002"/>
      <c r="E236" s="1002"/>
      <c r="F236" s="1002"/>
      <c r="G236" s="1002"/>
      <c r="H236" s="1002"/>
      <c r="I236" s="1002"/>
      <c r="J236" s="1002"/>
      <c r="K236" s="66">
        <f>SUM(K232:K235)</f>
        <v>177.79000000000002</v>
      </c>
      <c r="L236" s="67"/>
    </row>
    <row r="237" spans="2:12" hidden="1"/>
    <row r="238" spans="2:12" hidden="1">
      <c r="B238" s="63"/>
      <c r="C238" s="1002" t="s">
        <v>116</v>
      </c>
      <c r="D238" s="1002"/>
      <c r="E238" s="1002"/>
      <c r="F238" s="1002"/>
      <c r="G238" s="1002"/>
      <c r="H238" s="1002"/>
      <c r="I238" s="1002"/>
      <c r="J238" s="1002"/>
      <c r="K238" s="66" t="e">
        <f>SUM(#REF!)</f>
        <v>#REF!</v>
      </c>
      <c r="L238" s="67"/>
    </row>
    <row r="239" spans="2:12" hidden="1"/>
    <row r="240" spans="2:12" ht="15" hidden="1" customHeight="1">
      <c r="B240" s="63"/>
      <c r="C240" s="1005" t="s">
        <v>162</v>
      </c>
      <c r="D240" s="1006"/>
      <c r="E240" s="1007"/>
      <c r="F240" s="68"/>
      <c r="G240" s="68"/>
      <c r="H240" s="68">
        <v>1.8</v>
      </c>
      <c r="I240" s="68">
        <v>14.3</v>
      </c>
      <c r="J240" s="68"/>
      <c r="K240" s="69">
        <f>H240*I240</f>
        <v>25.740000000000002</v>
      </c>
      <c r="L240" s="67"/>
    </row>
    <row r="241" spans="2:12" ht="15" hidden="1" customHeight="1">
      <c r="B241" s="63"/>
      <c r="C241" s="1005" t="s">
        <v>162</v>
      </c>
      <c r="D241" s="1006"/>
      <c r="E241" s="1007"/>
      <c r="F241" s="68">
        <v>2</v>
      </c>
      <c r="G241" s="68"/>
      <c r="H241" s="68">
        <v>1.6</v>
      </c>
      <c r="I241" s="68">
        <v>4</v>
      </c>
      <c r="J241" s="68"/>
      <c r="K241" s="69">
        <f>F241*H241*I241</f>
        <v>12.8</v>
      </c>
      <c r="L241" s="67"/>
    </row>
    <row r="242" spans="2:12" ht="15" hidden="1" customHeight="1">
      <c r="B242" s="63"/>
      <c r="C242" s="1005" t="s">
        <v>163</v>
      </c>
      <c r="D242" s="1006"/>
      <c r="E242" s="1007"/>
      <c r="F242" s="68"/>
      <c r="G242" s="68"/>
      <c r="H242" s="68"/>
      <c r="I242" s="68"/>
      <c r="J242" s="68">
        <v>109.24</v>
      </c>
      <c r="K242" s="69">
        <f>-J242</f>
        <v>-109.24</v>
      </c>
      <c r="L242" s="67"/>
    </row>
    <row r="243" spans="2:12" hidden="1">
      <c r="B243" s="63"/>
      <c r="C243" s="1001" t="s">
        <v>164</v>
      </c>
      <c r="D243" s="1001"/>
      <c r="E243" s="1001"/>
      <c r="F243" s="68"/>
      <c r="G243" s="68"/>
      <c r="H243" s="68">
        <v>1.05</v>
      </c>
      <c r="I243" s="68">
        <v>1.85</v>
      </c>
      <c r="J243" s="68"/>
      <c r="K243" s="200">
        <f>TRUNC(H243*I243,2)</f>
        <v>1.94</v>
      </c>
      <c r="L243" s="67"/>
    </row>
    <row r="244" spans="2:12" hidden="1">
      <c r="B244" s="63"/>
      <c r="C244" s="1004" t="s">
        <v>20</v>
      </c>
      <c r="D244" s="1004"/>
      <c r="E244" s="1004"/>
      <c r="F244" s="64" t="s">
        <v>22</v>
      </c>
      <c r="G244" s="199" t="s">
        <v>111</v>
      </c>
      <c r="H244" s="64" t="s">
        <v>112</v>
      </c>
      <c r="I244" s="199" t="s">
        <v>113</v>
      </c>
      <c r="J244" s="199" t="s">
        <v>114</v>
      </c>
      <c r="K244" s="66" t="s">
        <v>25</v>
      </c>
      <c r="L244" s="67"/>
    </row>
    <row r="245" spans="2:12" ht="15" hidden="1" customHeight="1">
      <c r="B245" s="63"/>
      <c r="C245" s="1001" t="s">
        <v>165</v>
      </c>
      <c r="D245" s="1001"/>
      <c r="E245" s="1001"/>
      <c r="F245" s="68"/>
      <c r="G245" s="68"/>
      <c r="H245" s="68">
        <v>6.4740000000000002</v>
      </c>
      <c r="I245" s="68">
        <v>7.5</v>
      </c>
      <c r="J245" s="68">
        <v>1.75</v>
      </c>
      <c r="K245" s="200">
        <f>TRUNC(H245*I245-J245,2)</f>
        <v>46.8</v>
      </c>
      <c r="L245" s="67"/>
    </row>
    <row r="246" spans="2:12" ht="22.5" hidden="1" customHeight="1">
      <c r="B246" s="60" t="str">
        <f>'[6]PLANILHA ORÇAMENTÁRIA'!D68</f>
        <v>10.2</v>
      </c>
      <c r="C246" s="1003" t="str">
        <f>'[6]PLANILHA ORÇAMENTÁRIA'!E68</f>
        <v>FECHADURA DE EMBUTIR COM CILINDRO, EXTERNA, COMPLETA, ACABAMENTO PADRÃO POPULAR, INCLUSO EXECUÇÃO DE FURO - FORNECIMENTO E INSTALAÇÃO. AF_08/2015</v>
      </c>
      <c r="D246" s="1003"/>
      <c r="E246" s="1003"/>
      <c r="F246" s="1003"/>
      <c r="G246" s="1003"/>
      <c r="H246" s="1003"/>
      <c r="I246" s="1003"/>
      <c r="J246" s="1003"/>
      <c r="K246" s="61" t="str">
        <f>'[6]PLANILHA ORÇAMENTÁRIA'!F68</f>
        <v>UND</v>
      </c>
      <c r="L246" s="62" t="e">
        <f>#REF!</f>
        <v>#REF!</v>
      </c>
    </row>
    <row r="247" spans="2:12" hidden="1">
      <c r="B247" s="63"/>
      <c r="C247" s="1004" t="s">
        <v>20</v>
      </c>
      <c r="D247" s="1004"/>
      <c r="E247" s="1004"/>
      <c r="F247" s="64" t="s">
        <v>22</v>
      </c>
      <c r="G247" s="199" t="s">
        <v>111</v>
      </c>
      <c r="H247" s="199" t="s">
        <v>114</v>
      </c>
      <c r="I247" s="199" t="s">
        <v>113</v>
      </c>
      <c r="J247" s="199" t="s">
        <v>136</v>
      </c>
      <c r="K247" s="66" t="s">
        <v>25</v>
      </c>
      <c r="L247" s="67"/>
    </row>
    <row r="248" spans="2:12" ht="27" hidden="1" customHeight="1">
      <c r="B248" s="63"/>
      <c r="C248" s="1001" t="s">
        <v>166</v>
      </c>
      <c r="D248" s="1001"/>
      <c r="E248" s="1001"/>
      <c r="F248" s="68">
        <v>3</v>
      </c>
      <c r="G248" s="68"/>
      <c r="H248" s="68"/>
      <c r="I248" s="68"/>
      <c r="J248" s="68"/>
      <c r="K248" s="200"/>
      <c r="L248" s="67"/>
    </row>
    <row r="249" spans="2:12" ht="15" hidden="1" customHeight="1">
      <c r="B249" s="60" t="str">
        <f>'[6]PLANILHA ORÇAMENTÁRIA'!D72</f>
        <v>11.2</v>
      </c>
      <c r="C249" s="1003" t="str">
        <f>'[6]PLANILHA ORÇAMENTÁRIA'!E72</f>
        <v>CAIXA D'ÁGUA EM POLIETILENO, 500 LITROS, COM ACESSÓRIOS.</v>
      </c>
      <c r="D249" s="1003"/>
      <c r="E249" s="1003"/>
      <c r="F249" s="1003"/>
      <c r="G249" s="1003"/>
      <c r="H249" s="1003"/>
      <c r="I249" s="1003"/>
      <c r="J249" s="1003"/>
      <c r="K249" s="61" t="str">
        <f>'[6]PLANILHA ORÇAMENTÁRIA'!F72</f>
        <v>UND</v>
      </c>
      <c r="L249" s="62" t="e">
        <f>#REF!</f>
        <v>#REF!</v>
      </c>
    </row>
    <row r="250" spans="2:12" hidden="1">
      <c r="B250" s="63"/>
      <c r="C250" s="1004" t="s">
        <v>20</v>
      </c>
      <c r="D250" s="1004"/>
      <c r="E250" s="1004"/>
      <c r="F250" s="64" t="s">
        <v>22</v>
      </c>
      <c r="G250" s="199" t="s">
        <v>111</v>
      </c>
      <c r="H250" s="199" t="s">
        <v>114</v>
      </c>
      <c r="I250" s="199" t="s">
        <v>113</v>
      </c>
      <c r="J250" s="199" t="s">
        <v>136</v>
      </c>
      <c r="K250" s="66" t="s">
        <v>25</v>
      </c>
      <c r="L250" s="67"/>
    </row>
    <row r="251" spans="2:12" hidden="1">
      <c r="B251" s="63"/>
      <c r="C251" s="1001"/>
      <c r="D251" s="1001"/>
      <c r="E251" s="1001"/>
      <c r="F251" s="68">
        <v>2</v>
      </c>
      <c r="G251" s="68"/>
      <c r="H251" s="68"/>
      <c r="I251" s="68"/>
      <c r="J251" s="68"/>
      <c r="K251" s="200">
        <f>F251</f>
        <v>2</v>
      </c>
      <c r="L251" s="67"/>
    </row>
    <row r="252" spans="2:12" hidden="1">
      <c r="B252" s="63"/>
      <c r="C252" s="1002" t="s">
        <v>116</v>
      </c>
      <c r="D252" s="1002"/>
      <c r="E252" s="1002"/>
      <c r="F252" s="1002"/>
      <c r="G252" s="1002"/>
      <c r="H252" s="1002"/>
      <c r="I252" s="1002"/>
      <c r="J252" s="1002"/>
      <c r="K252" s="66" t="e">
        <f>SUM(#REF!)</f>
        <v>#REF!</v>
      </c>
      <c r="L252" s="67"/>
    </row>
    <row r="253" spans="2:12" hidden="1">
      <c r="B253" s="63"/>
      <c r="C253" s="71"/>
      <c r="D253" s="71"/>
      <c r="E253" s="71"/>
      <c r="F253" s="71"/>
      <c r="G253" s="71"/>
      <c r="H253" s="71"/>
      <c r="I253" s="71"/>
      <c r="J253" s="71"/>
      <c r="K253" s="73"/>
      <c r="L253" s="67"/>
    </row>
    <row r="254" spans="2:12" ht="22.5" hidden="1" customHeight="1">
      <c r="B254" s="60" t="str">
        <f>'[6]PLANILHA ORÇAMENTÁRIA'!D76</f>
        <v>11.6</v>
      </c>
      <c r="C254" s="1003" t="str">
        <f>'[6]PLANILHA ORÇAMENTÁRIA'!E76</f>
        <v>SIFÃO DO TIPO GARRAFA/COPO EM PVC 1.1/4 X 1.1/2" - FORNECIMENTO E INSTALAÇÃO. AF_12/2013</v>
      </c>
      <c r="D254" s="1003"/>
      <c r="E254" s="1003"/>
      <c r="F254" s="1003"/>
      <c r="G254" s="1003"/>
      <c r="H254" s="1003"/>
      <c r="I254" s="1003"/>
      <c r="J254" s="1003"/>
      <c r="K254" s="61" t="str">
        <f>'[6]PLANILHA ORÇAMENTÁRIA'!F76</f>
        <v>UND</v>
      </c>
      <c r="L254" s="62" t="e">
        <f>#REF!</f>
        <v>#REF!</v>
      </c>
    </row>
    <row r="255" spans="2:12" hidden="1">
      <c r="B255" s="63"/>
      <c r="C255" s="1004" t="s">
        <v>20</v>
      </c>
      <c r="D255" s="1004"/>
      <c r="E255" s="1004"/>
      <c r="F255" s="64" t="s">
        <v>22</v>
      </c>
      <c r="G255" s="199" t="s">
        <v>111</v>
      </c>
      <c r="H255" s="199" t="s">
        <v>114</v>
      </c>
      <c r="I255" s="199" t="s">
        <v>113</v>
      </c>
      <c r="J255" s="199" t="s">
        <v>136</v>
      </c>
      <c r="K255" s="66" t="s">
        <v>25</v>
      </c>
      <c r="L255" s="67"/>
    </row>
    <row r="256" spans="2:12" hidden="1">
      <c r="B256" s="63"/>
      <c r="C256" s="1001"/>
      <c r="D256" s="1001"/>
      <c r="E256" s="1001"/>
      <c r="F256" s="68">
        <v>2</v>
      </c>
      <c r="G256" s="68"/>
      <c r="H256" s="68"/>
      <c r="I256" s="68"/>
      <c r="J256" s="68"/>
      <c r="K256" s="200">
        <f>F256</f>
        <v>2</v>
      </c>
      <c r="L256" s="67"/>
    </row>
    <row r="257" spans="2:12" hidden="1">
      <c r="B257" s="63"/>
      <c r="C257" s="1002" t="s">
        <v>116</v>
      </c>
      <c r="D257" s="1002"/>
      <c r="E257" s="1002"/>
      <c r="F257" s="1002"/>
      <c r="G257" s="1002"/>
      <c r="H257" s="1002"/>
      <c r="I257" s="1002"/>
      <c r="J257" s="1002"/>
      <c r="K257" s="66">
        <f>SUM(K256:K256)</f>
        <v>2</v>
      </c>
      <c r="L257" s="67"/>
    </row>
    <row r="258" spans="2:12" hidden="1">
      <c r="B258" s="63"/>
      <c r="C258" s="71"/>
      <c r="D258" s="71"/>
      <c r="E258" s="71"/>
      <c r="F258" s="71"/>
      <c r="G258" s="71"/>
      <c r="H258" s="71"/>
      <c r="I258" s="71"/>
      <c r="J258" s="71"/>
      <c r="K258" s="73"/>
      <c r="L258" s="67"/>
    </row>
    <row r="259" spans="2:12" ht="27.75" hidden="1" customHeight="1">
      <c r="B259" s="60" t="str">
        <f>'[6]PLANILHA ORÇAMENTÁRIA'!D80</f>
        <v>11.10</v>
      </c>
      <c r="C259" s="1003" t="str">
        <f>'[6]PLANILHA ORÇAMENTÁRIA'!E80</f>
        <v>TORNEIRA CROMADA DE MESA, 1/2" OU 3/4", PARA LAVATÓRIO, PADRÃO POPULAR - FORNECIMENTO E INSTALAÇÃO. AF_12/2013</v>
      </c>
      <c r="D259" s="1003"/>
      <c r="E259" s="1003"/>
      <c r="F259" s="1003"/>
      <c r="G259" s="1003"/>
      <c r="H259" s="1003"/>
      <c r="I259" s="1003"/>
      <c r="J259" s="1003"/>
      <c r="K259" s="61" t="str">
        <f>'[6]PLANILHA ORÇAMENTÁRIA'!F80</f>
        <v>UND</v>
      </c>
      <c r="L259" s="62" t="e">
        <f>#REF!</f>
        <v>#REF!</v>
      </c>
    </row>
    <row r="260" spans="2:12" hidden="1">
      <c r="B260" s="63"/>
      <c r="C260" s="1001"/>
      <c r="D260" s="1001"/>
      <c r="E260" s="1001"/>
      <c r="F260" s="68">
        <v>2</v>
      </c>
      <c r="G260" s="68"/>
      <c r="H260" s="68"/>
      <c r="I260" s="68"/>
      <c r="J260" s="68"/>
      <c r="K260" s="200">
        <f>F260</f>
        <v>2</v>
      </c>
      <c r="L260" s="67"/>
    </row>
    <row r="261" spans="2:12" hidden="1">
      <c r="B261" s="63"/>
      <c r="C261" s="1002" t="s">
        <v>116</v>
      </c>
      <c r="D261" s="1002"/>
      <c r="E261" s="1002"/>
      <c r="F261" s="1002"/>
      <c r="G261" s="1002"/>
      <c r="H261" s="1002"/>
      <c r="I261" s="1002"/>
      <c r="J261" s="1002"/>
      <c r="K261" s="66">
        <f>SUM(K260:K260)</f>
        <v>2</v>
      </c>
      <c r="L261" s="67"/>
    </row>
    <row r="262" spans="2:12" hidden="1">
      <c r="B262" s="63"/>
      <c r="C262" s="1001"/>
      <c r="D262" s="1001"/>
      <c r="E262" s="1001"/>
      <c r="F262" s="68">
        <v>1</v>
      </c>
      <c r="G262" s="68"/>
      <c r="H262" s="68"/>
      <c r="I262" s="68"/>
      <c r="J262" s="68"/>
      <c r="K262" s="200">
        <f>F262</f>
        <v>1</v>
      </c>
      <c r="L262" s="67"/>
    </row>
    <row r="263" spans="2:12" hidden="1">
      <c r="B263" s="63"/>
      <c r="C263" s="1002" t="s">
        <v>116</v>
      </c>
      <c r="D263" s="1002"/>
      <c r="E263" s="1002"/>
      <c r="F263" s="1002"/>
      <c r="G263" s="1002"/>
      <c r="H263" s="1002"/>
      <c r="I263" s="1002"/>
      <c r="J263" s="1002"/>
      <c r="K263" s="66">
        <f>SUM(K262:K262)</f>
        <v>1</v>
      </c>
      <c r="L263" s="67"/>
    </row>
    <row r="264" spans="2:12" hidden="1">
      <c r="B264" s="63"/>
      <c r="C264" s="71"/>
      <c r="D264" s="71"/>
      <c r="E264" s="71"/>
      <c r="F264" s="71"/>
      <c r="G264" s="71"/>
      <c r="H264" s="71"/>
      <c r="I264" s="71"/>
      <c r="J264" s="71"/>
      <c r="K264" s="73"/>
      <c r="L264" s="67"/>
    </row>
    <row r="265" spans="2:12" ht="31.5" hidden="1" customHeight="1">
      <c r="B265" s="60" t="str">
        <f>'[6]PLANILHA ORÇAMENTÁRIA'!D83</f>
        <v>11.13</v>
      </c>
      <c r="C265" s="1003" t="str">
        <f>'[6]PLANILHA ORÇAMENTÁRIA'!E83</f>
        <v>JOELHO 45 GRAUS, PVC, SERIE NORMAL, ESGOTO PREDIAL, DN 40 MM, JUNTA SOLDÁVEL, FORNECIDO E INSTALADO EM RAMAL DE DESCARGA OU RAMAL DE ESGOTO SANITÁRIO. AF_12/2014.</v>
      </c>
      <c r="D265" s="1003"/>
      <c r="E265" s="1003"/>
      <c r="F265" s="1003"/>
      <c r="G265" s="1003"/>
      <c r="H265" s="1003"/>
      <c r="I265" s="1003"/>
      <c r="J265" s="1003"/>
      <c r="K265" s="61" t="str">
        <f>'[6]PLANILHA ORÇAMENTÁRIA'!F83</f>
        <v>UND</v>
      </c>
      <c r="L265" s="62">
        <f>K268</f>
        <v>3</v>
      </c>
    </row>
    <row r="266" spans="2:12" hidden="1">
      <c r="B266" s="63"/>
      <c r="C266" s="1004" t="s">
        <v>20</v>
      </c>
      <c r="D266" s="1004"/>
      <c r="E266" s="1004"/>
      <c r="F266" s="64" t="s">
        <v>22</v>
      </c>
      <c r="G266" s="199" t="s">
        <v>111</v>
      </c>
      <c r="H266" s="199" t="s">
        <v>114</v>
      </c>
      <c r="I266" s="199" t="s">
        <v>113</v>
      </c>
      <c r="J266" s="199" t="s">
        <v>136</v>
      </c>
      <c r="K266" s="66" t="s">
        <v>25</v>
      </c>
      <c r="L266" s="67"/>
    </row>
    <row r="267" spans="2:12" hidden="1">
      <c r="B267" s="63"/>
      <c r="C267" s="1001"/>
      <c r="D267" s="1001"/>
      <c r="E267" s="1001"/>
      <c r="F267" s="68">
        <v>3</v>
      </c>
      <c r="G267" s="68"/>
      <c r="H267" s="68"/>
      <c r="I267" s="68"/>
      <c r="J267" s="68"/>
      <c r="K267" s="200">
        <f>F267</f>
        <v>3</v>
      </c>
      <c r="L267" s="67"/>
    </row>
    <row r="268" spans="2:12" hidden="1">
      <c r="B268" s="63"/>
      <c r="C268" s="1002" t="s">
        <v>116</v>
      </c>
      <c r="D268" s="1002"/>
      <c r="E268" s="1002"/>
      <c r="F268" s="1002"/>
      <c r="G268" s="1002"/>
      <c r="H268" s="1002"/>
      <c r="I268" s="1002"/>
      <c r="J268" s="1002"/>
      <c r="K268" s="66">
        <f>SUM(K267:K267)</f>
        <v>3</v>
      </c>
      <c r="L268" s="67"/>
    </row>
    <row r="269" spans="2:12" hidden="1"/>
    <row r="270" spans="2:12" ht="29.25" hidden="1" customHeight="1">
      <c r="B270" s="60" t="str">
        <f>'[6]PLANILHA ORÇAMENTÁRIA'!D84</f>
        <v>11.14</v>
      </c>
      <c r="C270" s="1003" t="str">
        <f>'[6]PLANILHA ORÇAMENTÁRIA'!E84</f>
        <v>JOELHO 90 GRAUS, PVC, SERIE NORMAL, ESGOTO PREDIAL, DN 40 MM, JUNTA SOLDÁVEL, FORNECIDO E INSTALADO EM RAMAL DE DESCARGA OU RAMAL DE ESGOTO SANITÁRIO. AF_12/2014.</v>
      </c>
      <c r="D270" s="1003"/>
      <c r="E270" s="1003"/>
      <c r="F270" s="1003"/>
      <c r="G270" s="1003"/>
      <c r="H270" s="1003"/>
      <c r="I270" s="1003"/>
      <c r="J270" s="1003"/>
      <c r="K270" s="61" t="str">
        <f>'[6]PLANILHA ORÇAMENTÁRIA'!F84</f>
        <v>UND</v>
      </c>
      <c r="L270" s="62">
        <f>K273</f>
        <v>3</v>
      </c>
    </row>
    <row r="271" spans="2:12" hidden="1">
      <c r="B271" s="63"/>
      <c r="C271" s="1004" t="s">
        <v>20</v>
      </c>
      <c r="D271" s="1004"/>
      <c r="E271" s="1004"/>
      <c r="F271" s="64" t="s">
        <v>22</v>
      </c>
      <c r="G271" s="199" t="s">
        <v>111</v>
      </c>
      <c r="H271" s="199" t="s">
        <v>114</v>
      </c>
      <c r="I271" s="199" t="s">
        <v>113</v>
      </c>
      <c r="J271" s="199" t="s">
        <v>136</v>
      </c>
      <c r="K271" s="66" t="s">
        <v>25</v>
      </c>
      <c r="L271" s="67"/>
    </row>
    <row r="272" spans="2:12" hidden="1">
      <c r="B272" s="63"/>
      <c r="C272" s="1001"/>
      <c r="D272" s="1001"/>
      <c r="E272" s="1001"/>
      <c r="F272" s="68">
        <v>3</v>
      </c>
      <c r="G272" s="68"/>
      <c r="H272" s="68"/>
      <c r="I272" s="68"/>
      <c r="J272" s="68"/>
      <c r="K272" s="200">
        <f>F272</f>
        <v>3</v>
      </c>
      <c r="L272" s="67"/>
    </row>
    <row r="273" spans="2:12" hidden="1">
      <c r="B273" s="63"/>
      <c r="C273" s="1002" t="s">
        <v>116</v>
      </c>
      <c r="D273" s="1002"/>
      <c r="E273" s="1002"/>
      <c r="F273" s="1002"/>
      <c r="G273" s="1002"/>
      <c r="H273" s="1002"/>
      <c r="I273" s="1002"/>
      <c r="J273" s="1002"/>
      <c r="K273" s="66">
        <f>SUM(K272:K272)</f>
        <v>3</v>
      </c>
      <c r="L273" s="67"/>
    </row>
    <row r="274" spans="2:12" hidden="1"/>
    <row r="275" spans="2:12" ht="25.5" hidden="1" customHeight="1">
      <c r="B275" s="60" t="str">
        <f>'[6]PLANILHA ORÇAMENTÁRIA'!D85</f>
        <v>11.15</v>
      </c>
      <c r="C275" s="1003" t="str">
        <f>'[6]PLANILHA ORÇAMENTÁRIA'!E85</f>
        <v>TUBO PVC, SERIE NORMAL, ESGOTO PREDIAL, DN 40 MM, FORNECIDO E INSTALADO EM RAMAL DE DESCARGA OU RAMAL DE ESGOTO SANITÁRIO. AF_12/2014.</v>
      </c>
      <c r="D275" s="1003"/>
      <c r="E275" s="1003"/>
      <c r="F275" s="1003"/>
      <c r="G275" s="1003"/>
      <c r="H275" s="1003"/>
      <c r="I275" s="1003"/>
      <c r="J275" s="1003"/>
      <c r="K275" s="61" t="str">
        <f>'[6]PLANILHA ORÇAMENTÁRIA'!F85</f>
        <v>M</v>
      </c>
      <c r="L275" s="62">
        <f>K278</f>
        <v>6</v>
      </c>
    </row>
    <row r="276" spans="2:12" hidden="1">
      <c r="B276" s="63"/>
      <c r="C276" s="1004" t="s">
        <v>20</v>
      </c>
      <c r="D276" s="1004"/>
      <c r="E276" s="1004"/>
      <c r="F276" s="64" t="s">
        <v>22</v>
      </c>
      <c r="G276" s="199" t="s">
        <v>111</v>
      </c>
      <c r="H276" s="199" t="s">
        <v>114</v>
      </c>
      <c r="I276" s="199" t="s">
        <v>113</v>
      </c>
      <c r="J276" s="199" t="s">
        <v>136</v>
      </c>
      <c r="K276" s="66" t="s">
        <v>25</v>
      </c>
      <c r="L276" s="67"/>
    </row>
    <row r="277" spans="2:12" hidden="1">
      <c r="B277" s="63"/>
      <c r="C277" s="1001"/>
      <c r="D277" s="1001"/>
      <c r="E277" s="1001"/>
      <c r="F277" s="68">
        <v>6</v>
      </c>
      <c r="G277" s="68"/>
      <c r="H277" s="68"/>
      <c r="I277" s="68"/>
      <c r="J277" s="68"/>
      <c r="K277" s="200">
        <f>F277</f>
        <v>6</v>
      </c>
      <c r="L277" s="67"/>
    </row>
    <row r="278" spans="2:12" hidden="1">
      <c r="B278" s="63"/>
      <c r="C278" s="1002" t="s">
        <v>116</v>
      </c>
      <c r="D278" s="1002"/>
      <c r="E278" s="1002"/>
      <c r="F278" s="1002"/>
      <c r="G278" s="1002"/>
      <c r="H278" s="1002"/>
      <c r="I278" s="1002"/>
      <c r="J278" s="1002"/>
      <c r="K278" s="66">
        <f>SUM(K277:K277)</f>
        <v>6</v>
      </c>
      <c r="L278" s="67"/>
    </row>
    <row r="279" spans="2:12" hidden="1"/>
    <row r="280" spans="2:12" ht="25.5" hidden="1" customHeight="1">
      <c r="B280" s="60" t="str">
        <f>'[6]PLANILHA ORÇAMENTÁRIA'!D86</f>
        <v>11.16</v>
      </c>
      <c r="C280" s="1003" t="str">
        <f>'[6]PLANILHA ORÇAMENTÁRIA'!E86</f>
        <v>LUVA SIMPLES, PVC, SERIE NORMAL, ESGOTO PREDIAL, DN 40 MM, JUNTA SOLDÁVEL, FORNECIDO E INSTALADO EM RAMAL DE DESCARGA OU RAMAL DE ESGOTO SANITÁRIO. AF_12/2014</v>
      </c>
      <c r="D280" s="1003"/>
      <c r="E280" s="1003"/>
      <c r="F280" s="1003"/>
      <c r="G280" s="1003"/>
      <c r="H280" s="1003"/>
      <c r="I280" s="1003"/>
      <c r="J280" s="1003"/>
      <c r="K280" s="61" t="str">
        <f>'[6]PLANILHA ORÇAMENTÁRIA'!F86</f>
        <v>UND</v>
      </c>
      <c r="L280" s="62">
        <f>K283</f>
        <v>3</v>
      </c>
    </row>
    <row r="281" spans="2:12" hidden="1">
      <c r="B281" s="63"/>
      <c r="C281" s="1004" t="s">
        <v>20</v>
      </c>
      <c r="D281" s="1004"/>
      <c r="E281" s="1004"/>
      <c r="F281" s="64" t="s">
        <v>22</v>
      </c>
      <c r="G281" s="199" t="s">
        <v>111</v>
      </c>
      <c r="H281" s="199" t="s">
        <v>114</v>
      </c>
      <c r="I281" s="199" t="s">
        <v>113</v>
      </c>
      <c r="J281" s="199" t="s">
        <v>136</v>
      </c>
      <c r="K281" s="66" t="s">
        <v>25</v>
      </c>
      <c r="L281" s="67"/>
    </row>
    <row r="282" spans="2:12" hidden="1">
      <c r="B282" s="63"/>
      <c r="C282" s="1001"/>
      <c r="D282" s="1001"/>
      <c r="E282" s="1001"/>
      <c r="F282" s="68">
        <v>3</v>
      </c>
      <c r="G282" s="68"/>
      <c r="H282" s="68"/>
      <c r="I282" s="68"/>
      <c r="J282" s="68"/>
      <c r="K282" s="200">
        <f>F282</f>
        <v>3</v>
      </c>
      <c r="L282" s="67"/>
    </row>
    <row r="283" spans="2:12" hidden="1">
      <c r="B283" s="63"/>
      <c r="C283" s="1002" t="s">
        <v>116</v>
      </c>
      <c r="D283" s="1002"/>
      <c r="E283" s="1002"/>
      <c r="F283" s="1002"/>
      <c r="G283" s="1002"/>
      <c r="H283" s="1002"/>
      <c r="I283" s="1002"/>
      <c r="J283" s="1002"/>
      <c r="K283" s="66">
        <f>SUM(K282:K282)</f>
        <v>3</v>
      </c>
      <c r="L283" s="67"/>
    </row>
    <row r="284" spans="2:12" hidden="1"/>
    <row r="285" spans="2:12" ht="27.75" hidden="1" customHeight="1">
      <c r="B285" s="60" t="str">
        <f>'[6]PLANILHA ORÇAMENTÁRIA'!D87</f>
        <v>11.17</v>
      </c>
      <c r="C285" s="1003" t="str">
        <f>'[6]PLANILHA ORÇAMENTÁRIA'!E87</f>
        <v>TUBO PVC, SERIE NORMAL, ESGOTO PREDIAL, DN 50 MM, FORNECIDO E INSTALADO EM RAMAL DE DESCARGA OU RAMAL DE ESGOTO SANITÁRIO. AF_12/2014.</v>
      </c>
      <c r="D285" s="1003"/>
      <c r="E285" s="1003"/>
      <c r="F285" s="1003"/>
      <c r="G285" s="1003"/>
      <c r="H285" s="1003"/>
      <c r="I285" s="1003"/>
      <c r="J285" s="1003"/>
      <c r="K285" s="61" t="str">
        <f>'[6]PLANILHA ORÇAMENTÁRIA'!F87</f>
        <v>M</v>
      </c>
      <c r="L285" s="62">
        <f>K288</f>
        <v>6</v>
      </c>
    </row>
    <row r="286" spans="2:12" hidden="1">
      <c r="B286" s="63"/>
      <c r="C286" s="1004" t="s">
        <v>20</v>
      </c>
      <c r="D286" s="1004"/>
      <c r="E286" s="1004"/>
      <c r="F286" s="64" t="s">
        <v>22</v>
      </c>
      <c r="G286" s="199" t="s">
        <v>111</v>
      </c>
      <c r="H286" s="199" t="s">
        <v>114</v>
      </c>
      <c r="I286" s="199" t="s">
        <v>113</v>
      </c>
      <c r="J286" s="199" t="s">
        <v>136</v>
      </c>
      <c r="K286" s="66" t="s">
        <v>25</v>
      </c>
      <c r="L286" s="67"/>
    </row>
    <row r="287" spans="2:12" hidden="1">
      <c r="B287" s="63"/>
      <c r="C287" s="1001"/>
      <c r="D287" s="1001"/>
      <c r="E287" s="1001"/>
      <c r="F287" s="68">
        <v>6</v>
      </c>
      <c r="G287" s="68"/>
      <c r="H287" s="68"/>
      <c r="I287" s="68"/>
      <c r="J287" s="68"/>
      <c r="K287" s="200">
        <f>F287</f>
        <v>6</v>
      </c>
      <c r="L287" s="67"/>
    </row>
    <row r="288" spans="2:12" hidden="1">
      <c r="B288" s="63"/>
      <c r="C288" s="1002" t="s">
        <v>116</v>
      </c>
      <c r="D288" s="1002"/>
      <c r="E288" s="1002"/>
      <c r="F288" s="1002"/>
      <c r="G288" s="1002"/>
      <c r="H288" s="1002"/>
      <c r="I288" s="1002"/>
      <c r="J288" s="1002"/>
      <c r="K288" s="66">
        <f>SUM(K287:K287)</f>
        <v>6</v>
      </c>
      <c r="L288" s="67"/>
    </row>
    <row r="289" spans="2:12" hidden="1"/>
    <row r="290" spans="2:12" ht="27" hidden="1" customHeight="1">
      <c r="B290" s="60" t="str">
        <f>'[6]PLANILHA ORÇAMENTÁRIA'!D88</f>
        <v>11.18</v>
      </c>
      <c r="C290" s="1003" t="str">
        <f>'[6]PLANILHA ORÇAMENTÁRIA'!E88</f>
        <v>JOELHO 45 GRAUS, PVC, SERIE NORMAL, ESGOTO PREDIAL, DN 100 MM, JUNTA ELÁSTICA, FORNECIDO E INSTALADO EM RAMAL DE DESCARGA OU RAMAL DE ESGOTO SANITÁRIO. AF_12/2014.</v>
      </c>
      <c r="D290" s="1003"/>
      <c r="E290" s="1003"/>
      <c r="F290" s="1003"/>
      <c r="G290" s="1003"/>
      <c r="H290" s="1003"/>
      <c r="I290" s="1003"/>
      <c r="J290" s="1003"/>
      <c r="K290" s="61" t="str">
        <f>'[6]PLANILHA ORÇAMENTÁRIA'!F88</f>
        <v>UND</v>
      </c>
      <c r="L290" s="62">
        <f>K293</f>
        <v>2</v>
      </c>
    </row>
    <row r="291" spans="2:12" hidden="1">
      <c r="B291" s="63"/>
      <c r="C291" s="1004" t="s">
        <v>20</v>
      </c>
      <c r="D291" s="1004"/>
      <c r="E291" s="1004"/>
      <c r="F291" s="64" t="s">
        <v>22</v>
      </c>
      <c r="G291" s="199" t="s">
        <v>111</v>
      </c>
      <c r="H291" s="199" t="s">
        <v>114</v>
      </c>
      <c r="I291" s="199" t="s">
        <v>113</v>
      </c>
      <c r="J291" s="199" t="s">
        <v>136</v>
      </c>
      <c r="K291" s="66" t="s">
        <v>25</v>
      </c>
      <c r="L291" s="67"/>
    </row>
    <row r="292" spans="2:12" hidden="1">
      <c r="B292" s="63"/>
      <c r="C292" s="1001"/>
      <c r="D292" s="1001"/>
      <c r="E292" s="1001"/>
      <c r="F292" s="68">
        <v>2</v>
      </c>
      <c r="G292" s="68"/>
      <c r="H292" s="68"/>
      <c r="I292" s="68"/>
      <c r="J292" s="68"/>
      <c r="K292" s="200">
        <f>F292</f>
        <v>2</v>
      </c>
      <c r="L292" s="67"/>
    </row>
    <row r="293" spans="2:12" hidden="1">
      <c r="B293" s="63"/>
      <c r="C293" s="1002" t="s">
        <v>116</v>
      </c>
      <c r="D293" s="1002"/>
      <c r="E293" s="1002"/>
      <c r="F293" s="1002"/>
      <c r="G293" s="1002"/>
      <c r="H293" s="1002"/>
      <c r="I293" s="1002"/>
      <c r="J293" s="1002"/>
      <c r="K293" s="66">
        <f>SUM(K292:K292)</f>
        <v>2</v>
      </c>
      <c r="L293" s="67"/>
    </row>
    <row r="294" spans="2:12" hidden="1"/>
    <row r="295" spans="2:12" ht="25.5" hidden="1" customHeight="1">
      <c r="B295" s="60" t="str">
        <f>'[6]PLANILHA ORÇAMENTÁRIA'!D89</f>
        <v>11.19</v>
      </c>
      <c r="C295" s="1003" t="str">
        <f>'[6]PLANILHA ORÇAMENTÁRIA'!E89</f>
        <v>JOELHO 90 GRAUS, PVC, SERIE NORMAL, ESGOTO PREDIAL, DN 100 MM, JUNTA ELÁSTICA, FORNECIDO E INSTALADO EM RAMAL DE DESCARGA OU RAMAL DE ESGOTO SANITÁRIO. AF_12/2014.</v>
      </c>
      <c r="D295" s="1003"/>
      <c r="E295" s="1003"/>
      <c r="F295" s="1003"/>
      <c r="G295" s="1003"/>
      <c r="H295" s="1003"/>
      <c r="I295" s="1003"/>
      <c r="J295" s="1003"/>
      <c r="K295" s="61" t="str">
        <f>'[6]PLANILHA ORÇAMENTÁRIA'!F89</f>
        <v>UND</v>
      </c>
      <c r="L295" s="62">
        <f>K298</f>
        <v>2</v>
      </c>
    </row>
    <row r="296" spans="2:12" hidden="1">
      <c r="B296" s="63"/>
      <c r="C296" s="1004" t="s">
        <v>20</v>
      </c>
      <c r="D296" s="1004"/>
      <c r="E296" s="1004"/>
      <c r="F296" s="64" t="s">
        <v>22</v>
      </c>
      <c r="G296" s="199" t="s">
        <v>111</v>
      </c>
      <c r="H296" s="199" t="s">
        <v>114</v>
      </c>
      <c r="I296" s="199" t="s">
        <v>113</v>
      </c>
      <c r="J296" s="199" t="s">
        <v>136</v>
      </c>
      <c r="K296" s="66" t="s">
        <v>25</v>
      </c>
      <c r="L296" s="67"/>
    </row>
    <row r="297" spans="2:12" hidden="1">
      <c r="B297" s="63"/>
      <c r="C297" s="1001"/>
      <c r="D297" s="1001"/>
      <c r="E297" s="1001"/>
      <c r="F297" s="68">
        <v>2</v>
      </c>
      <c r="G297" s="68"/>
      <c r="H297" s="68"/>
      <c r="I297" s="68"/>
      <c r="J297" s="68"/>
      <c r="K297" s="200">
        <f>F297</f>
        <v>2</v>
      </c>
      <c r="L297" s="67"/>
    </row>
    <row r="298" spans="2:12" hidden="1">
      <c r="B298" s="63"/>
      <c r="C298" s="1002" t="s">
        <v>116</v>
      </c>
      <c r="D298" s="1002"/>
      <c r="E298" s="1002"/>
      <c r="F298" s="1002"/>
      <c r="G298" s="1002"/>
      <c r="H298" s="1002"/>
      <c r="I298" s="1002"/>
      <c r="J298" s="1002"/>
      <c r="K298" s="66">
        <f>SUM(K297:K297)</f>
        <v>2</v>
      </c>
      <c r="L298" s="67"/>
    </row>
    <row r="299" spans="2:12" hidden="1"/>
    <row r="300" spans="2:12" ht="25.5" hidden="1" customHeight="1">
      <c r="B300" s="60" t="str">
        <f>'[6]PLANILHA ORÇAMENTÁRIA'!D90</f>
        <v>11.20</v>
      </c>
      <c r="C300" s="1003" t="str">
        <f>'[6]PLANILHA ORÇAMENTÁRIA'!E90</f>
        <v>TUBO PVC, SERIE NORMAL, ESGOTO PREDIAL, DN 100 MM, FORNECIDO E INSTALADO EM RAMAL DE DESCARGA OU RAMAL DE ESGOTO SANITÁRIO. AF_12/2014</v>
      </c>
      <c r="D300" s="1003"/>
      <c r="E300" s="1003"/>
      <c r="F300" s="1003"/>
      <c r="G300" s="1003"/>
      <c r="H300" s="1003"/>
      <c r="I300" s="1003"/>
      <c r="J300" s="1003"/>
      <c r="K300" s="61" t="str">
        <f>'[6]PLANILHA ORÇAMENTÁRIA'!F90</f>
        <v>M</v>
      </c>
      <c r="L300" s="62">
        <f>K303</f>
        <v>12</v>
      </c>
    </row>
    <row r="301" spans="2:12" hidden="1">
      <c r="B301" s="63"/>
      <c r="C301" s="1004" t="s">
        <v>20</v>
      </c>
      <c r="D301" s="1004"/>
      <c r="E301" s="1004"/>
      <c r="F301" s="64" t="s">
        <v>22</v>
      </c>
      <c r="G301" s="199" t="s">
        <v>111</v>
      </c>
      <c r="H301" s="199" t="s">
        <v>114</v>
      </c>
      <c r="I301" s="199" t="s">
        <v>113</v>
      </c>
      <c r="J301" s="199" t="s">
        <v>136</v>
      </c>
      <c r="K301" s="66" t="s">
        <v>25</v>
      </c>
      <c r="L301" s="67"/>
    </row>
    <row r="302" spans="2:12" hidden="1">
      <c r="B302" s="63"/>
      <c r="C302" s="1001"/>
      <c r="D302" s="1001"/>
      <c r="E302" s="1001"/>
      <c r="F302" s="68">
        <v>12</v>
      </c>
      <c r="G302" s="68"/>
      <c r="H302" s="68"/>
      <c r="I302" s="68"/>
      <c r="J302" s="68"/>
      <c r="K302" s="200">
        <f>F302</f>
        <v>12</v>
      </c>
      <c r="L302" s="67"/>
    </row>
    <row r="303" spans="2:12" hidden="1">
      <c r="B303" s="63"/>
      <c r="C303" s="1002" t="s">
        <v>116</v>
      </c>
      <c r="D303" s="1002"/>
      <c r="E303" s="1002"/>
      <c r="F303" s="1002"/>
      <c r="G303" s="1002"/>
      <c r="H303" s="1002"/>
      <c r="I303" s="1002"/>
      <c r="J303" s="1002"/>
      <c r="K303" s="66">
        <f>SUM(K302:K302)</f>
        <v>12</v>
      </c>
      <c r="L303" s="67"/>
    </row>
    <row r="304" spans="2:12" hidden="1"/>
    <row r="305" spans="2:12" ht="24" hidden="1" customHeight="1">
      <c r="B305" s="60" t="str">
        <f>'[6]PLANILHA ORÇAMENTÁRIA'!D91</f>
        <v>11.21</v>
      </c>
      <c r="C305" s="1003" t="str">
        <f>'[6]PLANILHA ORÇAMENTÁRIA'!E91</f>
        <v>LUVA SIMPLES, PVC, SERIE NORMAL, ESGOTO PREDIAL, DN 100 MM, JUNTA ELÁSTICA, FORNECIDO E INSTALADO EM RAMAL DE DESCARGA OU RAMAL DE ESGOTO SANITÁRIO. AF_12/2014</v>
      </c>
      <c r="D305" s="1003"/>
      <c r="E305" s="1003"/>
      <c r="F305" s="1003"/>
      <c r="G305" s="1003"/>
      <c r="H305" s="1003"/>
      <c r="I305" s="1003"/>
      <c r="J305" s="1003"/>
      <c r="K305" s="61" t="str">
        <f>'[6]PLANILHA ORÇAMENTÁRIA'!F91</f>
        <v>UND</v>
      </c>
      <c r="L305" s="62">
        <f>K308</f>
        <v>2</v>
      </c>
    </row>
    <row r="306" spans="2:12" hidden="1">
      <c r="B306" s="63"/>
      <c r="C306" s="1004" t="s">
        <v>20</v>
      </c>
      <c r="D306" s="1004"/>
      <c r="E306" s="1004"/>
      <c r="F306" s="64" t="s">
        <v>22</v>
      </c>
      <c r="G306" s="199" t="s">
        <v>111</v>
      </c>
      <c r="H306" s="199" t="s">
        <v>114</v>
      </c>
      <c r="I306" s="199" t="s">
        <v>113</v>
      </c>
      <c r="J306" s="199" t="s">
        <v>136</v>
      </c>
      <c r="K306" s="66" t="s">
        <v>25</v>
      </c>
      <c r="L306" s="67"/>
    </row>
    <row r="307" spans="2:12" hidden="1">
      <c r="B307" s="63"/>
      <c r="C307" s="1001"/>
      <c r="D307" s="1001"/>
      <c r="E307" s="1001"/>
      <c r="F307" s="68">
        <v>2</v>
      </c>
      <c r="G307" s="68"/>
      <c r="H307" s="68"/>
      <c r="I307" s="68"/>
      <c r="J307" s="68"/>
      <c r="K307" s="200">
        <f>F307</f>
        <v>2</v>
      </c>
      <c r="L307" s="67"/>
    </row>
    <row r="308" spans="2:12" hidden="1">
      <c r="B308" s="63"/>
      <c r="C308" s="1002" t="s">
        <v>116</v>
      </c>
      <c r="D308" s="1002"/>
      <c r="E308" s="1002"/>
      <c r="F308" s="1002"/>
      <c r="G308" s="1002"/>
      <c r="H308" s="1002"/>
      <c r="I308" s="1002"/>
      <c r="J308" s="1002"/>
      <c r="K308" s="66">
        <f>SUM(K307:K307)</f>
        <v>2</v>
      </c>
      <c r="L308" s="67"/>
    </row>
    <row r="309" spans="2:12" hidden="1"/>
    <row r="310" spans="2:12" ht="46.5" hidden="1" customHeight="1">
      <c r="B310" s="60" t="str">
        <f>'[6]PLANILHA ORÇAMENTÁRIA'!D92</f>
        <v>11.22</v>
      </c>
      <c r="C310" s="1003" t="str">
        <f>'[6]PLANILHA ORÇAMENTÁRIA'!E92</f>
        <v>COLETOR PREDIAL DE ESGOTO, DA CAIXA ATÉ A REDE (DISTÂNCIA = 8 M, LARGURA DA VALA = 0,65 M), INCLUINDO ESCAVAÇÃO MECANIZADA, PREPARO DE FUNDO DE VALA E REATERRO COM COMPACTAÇÃO MECANIZADA, TUBO PVC P/ REDE COLETORA ESGOTO JEI DN 100 MM E CONEXÕES - FORNECIMENTO E INSTALAÇÃO. AF_03/2016</v>
      </c>
      <c r="D310" s="1003"/>
      <c r="E310" s="1003"/>
      <c r="F310" s="1003"/>
      <c r="G310" s="1003"/>
      <c r="H310" s="1003"/>
      <c r="I310" s="1003"/>
      <c r="J310" s="1003"/>
      <c r="K310" s="61" t="str">
        <f>'[6]PLANILHA ORÇAMENTÁRIA'!F92</f>
        <v>UND</v>
      </c>
      <c r="L310" s="62">
        <f>K313</f>
        <v>1</v>
      </c>
    </row>
    <row r="311" spans="2:12" hidden="1">
      <c r="B311" s="63"/>
      <c r="C311" s="1004" t="s">
        <v>20</v>
      </c>
      <c r="D311" s="1004"/>
      <c r="E311" s="1004"/>
      <c r="F311" s="64" t="s">
        <v>22</v>
      </c>
      <c r="G311" s="199" t="s">
        <v>111</v>
      </c>
      <c r="H311" s="199" t="s">
        <v>114</v>
      </c>
      <c r="I311" s="199" t="s">
        <v>113</v>
      </c>
      <c r="J311" s="199" t="s">
        <v>136</v>
      </c>
      <c r="K311" s="66" t="s">
        <v>25</v>
      </c>
      <c r="L311" s="67"/>
    </row>
    <row r="312" spans="2:12" hidden="1">
      <c r="B312" s="63"/>
      <c r="C312" s="1001"/>
      <c r="D312" s="1001"/>
      <c r="E312" s="1001"/>
      <c r="F312" s="68">
        <v>1</v>
      </c>
      <c r="G312" s="68"/>
      <c r="H312" s="68"/>
      <c r="I312" s="68"/>
      <c r="J312" s="68"/>
      <c r="K312" s="200">
        <f>F312</f>
        <v>1</v>
      </c>
      <c r="L312" s="67"/>
    </row>
    <row r="313" spans="2:12" hidden="1">
      <c r="B313" s="63"/>
      <c r="C313" s="1002" t="s">
        <v>116</v>
      </c>
      <c r="D313" s="1002"/>
      <c r="E313" s="1002"/>
      <c r="F313" s="1002"/>
      <c r="G313" s="1002"/>
      <c r="H313" s="1002"/>
      <c r="I313" s="1002"/>
      <c r="J313" s="1002"/>
      <c r="K313" s="66">
        <f>SUM(K312:K312)</f>
        <v>1</v>
      </c>
      <c r="L313" s="67"/>
    </row>
    <row r="314" spans="2:12" hidden="1"/>
    <row r="315" spans="2:12" hidden="1">
      <c r="B315" s="58" t="str">
        <f>'[6]PLANILHA ORÇAMENTÁRIA'!D93</f>
        <v>12.0</v>
      </c>
      <c r="C315" s="1000" t="str">
        <f>'[6]PLANILHA ORÇAMENTÁRIA'!E93</f>
        <v>INSTALAÇÕES ELÉTRICAS</v>
      </c>
      <c r="D315" s="1000"/>
      <c r="E315" s="1000"/>
      <c r="F315" s="1000"/>
      <c r="G315" s="1000"/>
      <c r="H315" s="1000"/>
      <c r="I315" s="1000"/>
      <c r="J315" s="1000"/>
      <c r="K315" s="59"/>
      <c r="L315" s="59"/>
    </row>
    <row r="316" spans="2:12" ht="27.75" hidden="1" customHeight="1">
      <c r="B316" s="60" t="str">
        <f>'[6]PLANILHA ORÇAMENTÁRIA'!D94</f>
        <v>12.1</v>
      </c>
      <c r="C316" s="1003" t="str">
        <f>'[6]PLANILHA ORÇAMENTÁRIA'!E94</f>
        <v>PONTO DE ILUMINAÇÃO RESIDENCIAL INCLUINDO INTERRUPTOR SIMPLES, CAIXA ELÉTRICA, ELETRODUTO, CABO, RASGO, QUEBRA E CHUMBAMENTO (EXCLUINDO LUMINÁRIA E LÂMPADA). AF_01/2016</v>
      </c>
      <c r="D316" s="1003"/>
      <c r="E316" s="1003"/>
      <c r="F316" s="1003"/>
      <c r="G316" s="1003"/>
      <c r="H316" s="1003"/>
      <c r="I316" s="1003"/>
      <c r="J316" s="1003"/>
      <c r="K316" s="61" t="str">
        <f>'[6]PLANILHA ORÇAMENTÁRIA'!F94</f>
        <v>UND</v>
      </c>
      <c r="L316" s="62">
        <f>K319</f>
        <v>7</v>
      </c>
    </row>
    <row r="317" spans="2:12" hidden="1">
      <c r="B317" s="63"/>
      <c r="C317" s="1004" t="s">
        <v>20</v>
      </c>
      <c r="D317" s="1004"/>
      <c r="E317" s="1004"/>
      <c r="F317" s="64" t="s">
        <v>22</v>
      </c>
      <c r="G317" s="199" t="s">
        <v>111</v>
      </c>
      <c r="H317" s="199" t="s">
        <v>114</v>
      </c>
      <c r="I317" s="199" t="s">
        <v>113</v>
      </c>
      <c r="J317" s="199" t="s">
        <v>136</v>
      </c>
      <c r="K317" s="66" t="s">
        <v>25</v>
      </c>
      <c r="L317" s="67"/>
    </row>
    <row r="318" spans="2:12" hidden="1">
      <c r="B318" s="63"/>
      <c r="C318" s="1001"/>
      <c r="D318" s="1001"/>
      <c r="E318" s="1001"/>
      <c r="F318" s="68">
        <f>'[6]PLANILHA ORÇAMENTÁRIA'!G94</f>
        <v>7</v>
      </c>
      <c r="G318" s="68"/>
      <c r="H318" s="68"/>
      <c r="I318" s="68"/>
      <c r="J318" s="68"/>
      <c r="K318" s="200">
        <f>F318</f>
        <v>7</v>
      </c>
      <c r="L318" s="67"/>
    </row>
    <row r="319" spans="2:12" hidden="1">
      <c r="B319" s="63"/>
      <c r="C319" s="1002" t="s">
        <v>116</v>
      </c>
      <c r="D319" s="1002"/>
      <c r="E319" s="1002"/>
      <c r="F319" s="1002"/>
      <c r="G319" s="1002"/>
      <c r="H319" s="1002"/>
      <c r="I319" s="1002"/>
      <c r="J319" s="1002"/>
      <c r="K319" s="66">
        <f>SUM(K318:K318)</f>
        <v>7</v>
      </c>
      <c r="L319" s="67"/>
    </row>
    <row r="320" spans="2:12" hidden="1">
      <c r="B320" s="74"/>
      <c r="C320" s="74"/>
      <c r="D320" s="74"/>
      <c r="E320" s="74"/>
      <c r="F320" s="74"/>
      <c r="G320" s="74"/>
      <c r="H320" s="74"/>
      <c r="I320" s="74"/>
      <c r="J320" s="74"/>
      <c r="K320" s="74"/>
      <c r="L320" s="74"/>
    </row>
    <row r="321" spans="2:12" ht="29.25" hidden="1" customHeight="1">
      <c r="B321" s="60" t="str">
        <f>'[6]PLANILHA ORÇAMENTÁRIA'!D95</f>
        <v>12.2</v>
      </c>
      <c r="C321" s="1003" t="str">
        <f>'[6]PLANILHA ORÇAMENTÁRIA'!E95</f>
        <v>PONTO DE TOMADA RESIDENCIAL INCLUINDO TOMADA (2 MÓDULOS) 10A/250V, CAIXA ELÉTRICA, ELETRODUTO, CABO, RASGO, QUEBRA E CHUMBAMENTO. AF_01/2016</v>
      </c>
      <c r="D321" s="1003"/>
      <c r="E321" s="1003"/>
      <c r="F321" s="1003"/>
      <c r="G321" s="1003"/>
      <c r="H321" s="1003"/>
      <c r="I321" s="1003"/>
      <c r="J321" s="1003"/>
      <c r="K321" s="61" t="str">
        <f>'[6]PLANILHA ORÇAMENTÁRIA'!F95</f>
        <v>UND</v>
      </c>
      <c r="L321" s="62">
        <f>K324</f>
        <v>3</v>
      </c>
    </row>
    <row r="322" spans="2:12" hidden="1">
      <c r="B322" s="63"/>
      <c r="C322" s="1004" t="s">
        <v>20</v>
      </c>
      <c r="D322" s="1004"/>
      <c r="E322" s="1004"/>
      <c r="F322" s="64" t="s">
        <v>22</v>
      </c>
      <c r="G322" s="199" t="s">
        <v>111</v>
      </c>
      <c r="H322" s="199" t="s">
        <v>114</v>
      </c>
      <c r="I322" s="199" t="s">
        <v>113</v>
      </c>
      <c r="J322" s="199" t="s">
        <v>136</v>
      </c>
      <c r="K322" s="66" t="s">
        <v>25</v>
      </c>
      <c r="L322" s="67"/>
    </row>
    <row r="323" spans="2:12" hidden="1">
      <c r="B323" s="63"/>
      <c r="C323" s="1001"/>
      <c r="D323" s="1001"/>
      <c r="E323" s="1001"/>
      <c r="F323" s="68">
        <f>'[6]PLANILHA ORÇAMENTÁRIA'!G95</f>
        <v>3</v>
      </c>
      <c r="G323" s="68"/>
      <c r="H323" s="68"/>
      <c r="I323" s="68"/>
      <c r="J323" s="68"/>
      <c r="K323" s="200">
        <f>F323</f>
        <v>3</v>
      </c>
      <c r="L323" s="67"/>
    </row>
    <row r="324" spans="2:12" hidden="1">
      <c r="B324" s="63"/>
      <c r="C324" s="1002" t="s">
        <v>116</v>
      </c>
      <c r="D324" s="1002"/>
      <c r="E324" s="1002"/>
      <c r="F324" s="1002"/>
      <c r="G324" s="1002"/>
      <c r="H324" s="1002"/>
      <c r="I324" s="1002"/>
      <c r="J324" s="1002"/>
      <c r="K324" s="66">
        <f>SUM(K323:K323)</f>
        <v>3</v>
      </c>
      <c r="L324" s="67"/>
    </row>
    <row r="325" spans="2:12" hidden="1">
      <c r="B325" s="74"/>
      <c r="C325" s="74"/>
      <c r="D325" s="74"/>
      <c r="E325" s="74"/>
      <c r="F325" s="74"/>
      <c r="G325" s="74"/>
      <c r="H325" s="74"/>
      <c r="I325" s="74"/>
      <c r="J325" s="74"/>
      <c r="K325" s="74"/>
      <c r="L325" s="74"/>
    </row>
    <row r="326" spans="2:12" ht="27.75" hidden="1" customHeight="1">
      <c r="B326" s="60" t="str">
        <f>'[6]PLANILHA ORÇAMENTÁRIA'!D96</f>
        <v>12.3</v>
      </c>
      <c r="C326" s="1003" t="str">
        <f>'[6]PLANILHA ORÇAMENTÁRIA'!E96</f>
        <v>POSTE DE ACO CONICO CONTINUO CURVO DUPLO, FLANGEADO, COM JANELA DE INSPECAO H=9M - FORNECIMENTO E INSTALACAO</v>
      </c>
      <c r="D326" s="1003"/>
      <c r="E326" s="1003"/>
      <c r="F326" s="1003"/>
      <c r="G326" s="1003"/>
      <c r="H326" s="1003"/>
      <c r="I326" s="1003"/>
      <c r="J326" s="1003"/>
      <c r="K326" s="61" t="str">
        <f>'[6]PLANILHA ORÇAMENTÁRIA'!F96</f>
        <v>UND</v>
      </c>
      <c r="L326" s="62">
        <f>K329</f>
        <v>4</v>
      </c>
    </row>
    <row r="327" spans="2:12" hidden="1">
      <c r="B327" s="63"/>
      <c r="C327" s="1004" t="s">
        <v>20</v>
      </c>
      <c r="D327" s="1004"/>
      <c r="E327" s="1004"/>
      <c r="F327" s="64" t="s">
        <v>22</v>
      </c>
      <c r="G327" s="199" t="s">
        <v>111</v>
      </c>
      <c r="H327" s="199" t="s">
        <v>114</v>
      </c>
      <c r="I327" s="199" t="s">
        <v>113</v>
      </c>
      <c r="J327" s="199" t="s">
        <v>136</v>
      </c>
      <c r="K327" s="66" t="s">
        <v>25</v>
      </c>
      <c r="L327" s="67"/>
    </row>
    <row r="328" spans="2:12" hidden="1">
      <c r="B328" s="63"/>
      <c r="C328" s="1001"/>
      <c r="D328" s="1001"/>
      <c r="E328" s="1001"/>
      <c r="F328" s="68">
        <f>'[6]PLANILHA ORÇAMENTÁRIA'!G96</f>
        <v>4</v>
      </c>
      <c r="G328" s="68"/>
      <c r="H328" s="68"/>
      <c r="I328" s="68"/>
      <c r="J328" s="68"/>
      <c r="K328" s="200">
        <f>F328</f>
        <v>4</v>
      </c>
      <c r="L328" s="67"/>
    </row>
    <row r="329" spans="2:12" hidden="1">
      <c r="B329" s="63"/>
      <c r="C329" s="1002" t="s">
        <v>116</v>
      </c>
      <c r="D329" s="1002"/>
      <c r="E329" s="1002"/>
      <c r="F329" s="1002"/>
      <c r="G329" s="1002"/>
      <c r="H329" s="1002"/>
      <c r="I329" s="1002"/>
      <c r="J329" s="1002"/>
      <c r="K329" s="66">
        <f>SUM(K328:K328)</f>
        <v>4</v>
      </c>
      <c r="L329" s="67"/>
    </row>
    <row r="330" spans="2:12" hidden="1">
      <c r="B330" s="74"/>
      <c r="C330" s="74"/>
      <c r="D330" s="74"/>
      <c r="E330" s="74"/>
      <c r="F330" s="74"/>
      <c r="G330" s="74"/>
      <c r="H330" s="74"/>
      <c r="I330" s="74"/>
      <c r="J330" s="74"/>
      <c r="K330" s="74"/>
      <c r="L330" s="74"/>
    </row>
    <row r="331" spans="2:12" ht="42.75" hidden="1" customHeight="1">
      <c r="B331" s="60" t="str">
        <f>'[6]PLANILHA ORÇAMENTÁRIA'!D97</f>
        <v>12.4</v>
      </c>
      <c r="C331" s="1003" t="str">
        <f>'[6]PLANILHA ORÇAMENTÁRIA'!E97</f>
        <v>QUADRO DE DISTRIBUICAO DE ENERGIA DE EMBUTIR, EM CHAPA METALICA, PARA 18 DISJUNTORES TERMOMAGNETICOS MONOPOLARES, COM BARRAMENTO TRIFASICO E NEUTRO, FORNECIMENTO E INSTALACAO</v>
      </c>
      <c r="D331" s="1003"/>
      <c r="E331" s="1003"/>
      <c r="F331" s="1003"/>
      <c r="G331" s="1003"/>
      <c r="H331" s="1003"/>
      <c r="I331" s="1003"/>
      <c r="J331" s="1003"/>
      <c r="K331" s="61" t="str">
        <f>'[6]PLANILHA ORÇAMENTÁRIA'!F97</f>
        <v>UND</v>
      </c>
      <c r="L331" s="62">
        <f>K334</f>
        <v>1</v>
      </c>
    </row>
    <row r="332" spans="2:12" hidden="1">
      <c r="B332" s="63"/>
      <c r="C332" s="1004" t="s">
        <v>20</v>
      </c>
      <c r="D332" s="1004"/>
      <c r="E332" s="1004"/>
      <c r="F332" s="64" t="s">
        <v>22</v>
      </c>
      <c r="G332" s="199" t="s">
        <v>111</v>
      </c>
      <c r="H332" s="199" t="s">
        <v>114</v>
      </c>
      <c r="I332" s="199" t="s">
        <v>113</v>
      </c>
      <c r="J332" s="199" t="s">
        <v>136</v>
      </c>
      <c r="K332" s="66" t="s">
        <v>25</v>
      </c>
      <c r="L332" s="67"/>
    </row>
    <row r="333" spans="2:12" hidden="1">
      <c r="B333" s="63"/>
      <c r="C333" s="1001"/>
      <c r="D333" s="1001"/>
      <c r="E333" s="1001"/>
      <c r="F333" s="68">
        <f>'[6]PLANILHA ORÇAMENTÁRIA'!G97</f>
        <v>1</v>
      </c>
      <c r="G333" s="68"/>
      <c r="H333" s="68"/>
      <c r="I333" s="68"/>
      <c r="J333" s="68"/>
      <c r="K333" s="200">
        <f>F333</f>
        <v>1</v>
      </c>
      <c r="L333" s="67"/>
    </row>
    <row r="334" spans="2:12" hidden="1">
      <c r="B334" s="63"/>
      <c r="C334" s="1002" t="s">
        <v>116</v>
      </c>
      <c r="D334" s="1002"/>
      <c r="E334" s="1002"/>
      <c r="F334" s="1002"/>
      <c r="G334" s="1002"/>
      <c r="H334" s="1002"/>
      <c r="I334" s="1002"/>
      <c r="J334" s="1002"/>
      <c r="K334" s="66">
        <f>SUM(K333:K333)</f>
        <v>1</v>
      </c>
      <c r="L334" s="67"/>
    </row>
    <row r="335" spans="2:12" hidden="1"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</row>
    <row r="336" spans="2:12" ht="28.5" hidden="1" customHeight="1">
      <c r="B336" s="60" t="str">
        <f>'[6]PLANILHA ORÇAMENTÁRIA'!D98</f>
        <v>12.5</v>
      </c>
      <c r="C336" s="1003" t="str">
        <f>'[6]PLANILHA ORÇAMENTÁRIA'!E98</f>
        <v>DISJUNTOR TERMOMAGNETICO MONOPOLAR PADRAO NEMA (AMERICANO) 10 A 30A 240V, FORNECIMENTO E INSTALACAO</v>
      </c>
      <c r="D336" s="1003"/>
      <c r="E336" s="1003"/>
      <c r="F336" s="1003"/>
      <c r="G336" s="1003"/>
      <c r="H336" s="1003"/>
      <c r="I336" s="1003"/>
      <c r="J336" s="1003"/>
      <c r="K336" s="61" t="str">
        <f>'[6]PLANILHA ORÇAMENTÁRIA'!F98</f>
        <v>UND</v>
      </c>
      <c r="L336" s="62">
        <f>K339</f>
        <v>3</v>
      </c>
    </row>
    <row r="337" spans="2:12" hidden="1">
      <c r="B337" s="63"/>
      <c r="C337" s="1004" t="s">
        <v>20</v>
      </c>
      <c r="D337" s="1004"/>
      <c r="E337" s="1004"/>
      <c r="F337" s="64" t="s">
        <v>22</v>
      </c>
      <c r="G337" s="199" t="s">
        <v>111</v>
      </c>
      <c r="H337" s="199" t="s">
        <v>114</v>
      </c>
      <c r="I337" s="199" t="s">
        <v>113</v>
      </c>
      <c r="J337" s="199" t="s">
        <v>136</v>
      </c>
      <c r="K337" s="66" t="s">
        <v>25</v>
      </c>
      <c r="L337" s="67"/>
    </row>
    <row r="338" spans="2:12" hidden="1">
      <c r="B338" s="63"/>
      <c r="C338" s="1001"/>
      <c r="D338" s="1001"/>
      <c r="E338" s="1001"/>
      <c r="F338" s="68">
        <f>'[6]PLANILHA ORÇAMENTÁRIA'!G98</f>
        <v>3</v>
      </c>
      <c r="G338" s="68"/>
      <c r="H338" s="68"/>
      <c r="I338" s="68"/>
      <c r="J338" s="68"/>
      <c r="K338" s="200">
        <f>F338</f>
        <v>3</v>
      </c>
      <c r="L338" s="67"/>
    </row>
    <row r="339" spans="2:12" hidden="1">
      <c r="B339" s="63"/>
      <c r="C339" s="1002" t="s">
        <v>116</v>
      </c>
      <c r="D339" s="1002"/>
      <c r="E339" s="1002"/>
      <c r="F339" s="1002"/>
      <c r="G339" s="1002"/>
      <c r="H339" s="1002"/>
      <c r="I339" s="1002"/>
      <c r="J339" s="1002"/>
      <c r="K339" s="66">
        <f>SUM(K338:K338)</f>
        <v>3</v>
      </c>
      <c r="L339" s="67"/>
    </row>
    <row r="340" spans="2:12" hidden="1">
      <c r="B340" s="63"/>
      <c r="C340" s="71"/>
      <c r="D340" s="71"/>
      <c r="E340" s="71"/>
      <c r="F340" s="71"/>
      <c r="G340" s="71"/>
      <c r="H340" s="71"/>
      <c r="I340" s="71"/>
      <c r="J340" s="71"/>
      <c r="K340" s="73"/>
      <c r="L340" s="67"/>
    </row>
    <row r="341" spans="2:12" ht="15" hidden="1" customHeight="1">
      <c r="B341" s="60" t="str">
        <f>'[6]PLANILHA ORÇAMENTÁRIA'!D99</f>
        <v>12.6</v>
      </c>
      <c r="C341" s="1003" t="str">
        <f>'[6]PLANILHA ORÇAMENTÁRIA'!E99</f>
        <v>DISJUNTOR TERMOMAGNETICO BIPOLAR PADRAO NEMA (AMERICANO) 10 A 50A 240V, FORNECIMENTO E INSTALACAO</v>
      </c>
      <c r="D341" s="1003"/>
      <c r="E341" s="1003"/>
      <c r="F341" s="1003"/>
      <c r="G341" s="1003"/>
      <c r="H341" s="1003"/>
      <c r="I341" s="1003"/>
      <c r="J341" s="1003"/>
      <c r="K341" s="61" t="str">
        <f>'[6]PLANILHA ORÇAMENTÁRIA'!F99</f>
        <v>UND</v>
      </c>
      <c r="L341" s="62">
        <f>K344</f>
        <v>1</v>
      </c>
    </row>
    <row r="342" spans="2:12" hidden="1">
      <c r="B342" s="63"/>
      <c r="C342" s="1004" t="s">
        <v>20</v>
      </c>
      <c r="D342" s="1004"/>
      <c r="E342" s="1004"/>
      <c r="F342" s="64" t="s">
        <v>22</v>
      </c>
      <c r="G342" s="199" t="s">
        <v>111</v>
      </c>
      <c r="H342" s="199" t="s">
        <v>114</v>
      </c>
      <c r="I342" s="199" t="s">
        <v>113</v>
      </c>
      <c r="J342" s="199" t="s">
        <v>136</v>
      </c>
      <c r="K342" s="66" t="s">
        <v>25</v>
      </c>
      <c r="L342" s="67"/>
    </row>
    <row r="343" spans="2:12" hidden="1">
      <c r="B343" s="63"/>
      <c r="C343" s="1001"/>
      <c r="D343" s="1001"/>
      <c r="E343" s="1001"/>
      <c r="F343" s="68">
        <f>'[6]PLANILHA ORÇAMENTÁRIA'!G99</f>
        <v>1</v>
      </c>
      <c r="G343" s="68"/>
      <c r="H343" s="68"/>
      <c r="I343" s="68"/>
      <c r="J343" s="68"/>
      <c r="K343" s="200">
        <f>F343</f>
        <v>1</v>
      </c>
      <c r="L343" s="67"/>
    </row>
    <row r="344" spans="2:12" hidden="1">
      <c r="B344" s="63"/>
      <c r="C344" s="1002" t="s">
        <v>116</v>
      </c>
      <c r="D344" s="1002"/>
      <c r="E344" s="1002"/>
      <c r="F344" s="1002"/>
      <c r="G344" s="1002"/>
      <c r="H344" s="1002"/>
      <c r="I344" s="1002"/>
      <c r="J344" s="1002"/>
      <c r="K344" s="66">
        <f>SUM(K343:K343)</f>
        <v>1</v>
      </c>
      <c r="L344" s="67"/>
    </row>
    <row r="345" spans="2:12" hidden="1">
      <c r="B345" s="63"/>
      <c r="C345" s="71"/>
      <c r="D345" s="71"/>
      <c r="E345" s="71"/>
      <c r="F345" s="71"/>
      <c r="G345" s="71"/>
      <c r="H345" s="71"/>
      <c r="I345" s="71"/>
      <c r="J345" s="71"/>
      <c r="K345" s="73"/>
      <c r="L345" s="67"/>
    </row>
    <row r="346" spans="2:12" ht="30.75" hidden="1" customHeight="1">
      <c r="B346" s="60" t="str">
        <f>'[6]PLANILHA ORÇAMENTÁRIA'!D100</f>
        <v>12.7</v>
      </c>
      <c r="C346" s="1003" t="str">
        <f>'[6]PLANILHA ORÇAMENTÁRIA'!E100</f>
        <v>DISJUNTOR TERMOMAGNETICO TRIPOLAR PADRAO NEMA (AMERICANO) 10 A 50A 240V, FORNECIMENTO E INSTALACAO</v>
      </c>
      <c r="D346" s="1003"/>
      <c r="E346" s="1003"/>
      <c r="F346" s="1003"/>
      <c r="G346" s="1003"/>
      <c r="H346" s="1003"/>
      <c r="I346" s="1003"/>
      <c r="J346" s="1003"/>
      <c r="K346" s="61" t="str">
        <f>'[6]PLANILHA ORÇAMENTÁRIA'!F100</f>
        <v>UND</v>
      </c>
      <c r="L346" s="62">
        <f>K349</f>
        <v>1</v>
      </c>
    </row>
    <row r="347" spans="2:12" hidden="1">
      <c r="B347" s="63"/>
      <c r="C347" s="1004" t="s">
        <v>20</v>
      </c>
      <c r="D347" s="1004"/>
      <c r="E347" s="1004"/>
      <c r="F347" s="64" t="s">
        <v>22</v>
      </c>
      <c r="G347" s="199" t="s">
        <v>111</v>
      </c>
      <c r="H347" s="199" t="s">
        <v>114</v>
      </c>
      <c r="I347" s="199" t="s">
        <v>113</v>
      </c>
      <c r="J347" s="199" t="s">
        <v>136</v>
      </c>
      <c r="K347" s="66" t="s">
        <v>25</v>
      </c>
      <c r="L347" s="67"/>
    </row>
    <row r="348" spans="2:12" hidden="1">
      <c r="B348" s="63"/>
      <c r="C348" s="1001"/>
      <c r="D348" s="1001"/>
      <c r="E348" s="1001"/>
      <c r="F348" s="68">
        <f>'[6]PLANILHA ORÇAMENTÁRIA'!G100</f>
        <v>1</v>
      </c>
      <c r="G348" s="68"/>
      <c r="H348" s="68"/>
      <c r="I348" s="68"/>
      <c r="J348" s="68"/>
      <c r="K348" s="200">
        <f>F348</f>
        <v>1</v>
      </c>
      <c r="L348" s="67"/>
    </row>
    <row r="349" spans="2:12" hidden="1">
      <c r="B349" s="63"/>
      <c r="C349" s="1002" t="s">
        <v>116</v>
      </c>
      <c r="D349" s="1002"/>
      <c r="E349" s="1002"/>
      <c r="F349" s="1002"/>
      <c r="G349" s="1002"/>
      <c r="H349" s="1002"/>
      <c r="I349" s="1002"/>
      <c r="J349" s="1002"/>
      <c r="K349" s="66">
        <f>SUM(K348:K348)</f>
        <v>1</v>
      </c>
      <c r="L349" s="67"/>
    </row>
    <row r="350" spans="2:12" hidden="1">
      <c r="B350" s="63"/>
      <c r="C350" s="71"/>
      <c r="D350" s="71"/>
      <c r="E350" s="71"/>
      <c r="F350" s="71"/>
      <c r="G350" s="71"/>
      <c r="H350" s="71"/>
      <c r="I350" s="71"/>
      <c r="J350" s="71"/>
      <c r="K350" s="73"/>
      <c r="L350" s="67"/>
    </row>
    <row r="351" spans="2:12" ht="15" hidden="1" customHeight="1">
      <c r="B351" s="60" t="str">
        <f>'[6]PLANILHA ORÇAMENTÁRIA'!D101</f>
        <v>12.8</v>
      </c>
      <c r="C351" s="1003" t="str">
        <f>'[6]PLANILHA ORÇAMENTÁRIA'!E101</f>
        <v>LUMINÁRIA TIPO PLAFON, DE SOBREPOR, COM 1 LÂMPADA LED - FORNECIMENTO E INSTALAÇÃO. AF_11/2017</v>
      </c>
      <c r="D351" s="1003"/>
      <c r="E351" s="1003"/>
      <c r="F351" s="1003"/>
      <c r="G351" s="1003"/>
      <c r="H351" s="1003"/>
      <c r="I351" s="1003"/>
      <c r="J351" s="1003"/>
      <c r="K351" s="61" t="str">
        <f>'[6]PLANILHA ORÇAMENTÁRIA'!F101</f>
        <v>UND</v>
      </c>
      <c r="L351" s="62">
        <f>K354</f>
        <v>3</v>
      </c>
    </row>
    <row r="352" spans="2:12" hidden="1">
      <c r="B352" s="63"/>
      <c r="C352" s="1004" t="s">
        <v>20</v>
      </c>
      <c r="D352" s="1004"/>
      <c r="E352" s="1004"/>
      <c r="F352" s="64" t="s">
        <v>22</v>
      </c>
      <c r="G352" s="199" t="s">
        <v>111</v>
      </c>
      <c r="H352" s="199" t="s">
        <v>114</v>
      </c>
      <c r="I352" s="199" t="s">
        <v>113</v>
      </c>
      <c r="J352" s="199" t="s">
        <v>136</v>
      </c>
      <c r="K352" s="66" t="s">
        <v>25</v>
      </c>
      <c r="L352" s="67"/>
    </row>
    <row r="353" spans="2:12" hidden="1">
      <c r="B353" s="63"/>
      <c r="C353" s="1001"/>
      <c r="D353" s="1001"/>
      <c r="E353" s="1001"/>
      <c r="F353" s="68">
        <f>'[6]PLANILHA ORÇAMENTÁRIA'!G101</f>
        <v>3</v>
      </c>
      <c r="G353" s="68"/>
      <c r="H353" s="68"/>
      <c r="I353" s="68"/>
      <c r="J353" s="68"/>
      <c r="K353" s="200">
        <f>F353</f>
        <v>3</v>
      </c>
      <c r="L353" s="67"/>
    </row>
    <row r="354" spans="2:12" hidden="1">
      <c r="B354" s="63"/>
      <c r="C354" s="1002" t="s">
        <v>116</v>
      </c>
      <c r="D354" s="1002"/>
      <c r="E354" s="1002"/>
      <c r="F354" s="1002"/>
      <c r="G354" s="1002"/>
      <c r="H354" s="1002"/>
      <c r="I354" s="1002"/>
      <c r="J354" s="1002"/>
      <c r="K354" s="66">
        <f>SUM(K353:K353)</f>
        <v>3</v>
      </c>
      <c r="L354" s="67"/>
    </row>
    <row r="355" spans="2:12" hidden="1"/>
    <row r="356" spans="2:12" ht="21.75" hidden="1" customHeight="1">
      <c r="B356" s="60" t="str">
        <f>'[6]PLANILHA ORÇAMENTÁRIA'!D102</f>
        <v>12.9</v>
      </c>
      <c r="C356" s="1003" t="str">
        <f>'[6]PLANILHA ORÇAMENTÁRIA'!E102</f>
        <v>LUMINÁRIAS TIPO CALHA, DE SOBREPOR E LÂMPADAS EM LED 2X2X18W, COMPLETAS, FORNECIMENTO E INSTALAÇÃO</v>
      </c>
      <c r="D356" s="1003"/>
      <c r="E356" s="1003"/>
      <c r="F356" s="1003"/>
      <c r="G356" s="1003"/>
      <c r="H356" s="1003"/>
      <c r="I356" s="1003"/>
      <c r="J356" s="1003"/>
      <c r="K356" s="61" t="str">
        <f>'[6]PLANILHA ORÇAMENTÁRIA'!F102</f>
        <v>UND</v>
      </c>
      <c r="L356" s="62">
        <f>K359</f>
        <v>4</v>
      </c>
    </row>
    <row r="357" spans="2:12" hidden="1">
      <c r="B357" s="63"/>
      <c r="C357" s="1004" t="s">
        <v>20</v>
      </c>
      <c r="D357" s="1004"/>
      <c r="E357" s="1004"/>
      <c r="F357" s="64" t="s">
        <v>22</v>
      </c>
      <c r="G357" s="199" t="s">
        <v>111</v>
      </c>
      <c r="H357" s="199" t="s">
        <v>114</v>
      </c>
      <c r="I357" s="199" t="s">
        <v>113</v>
      </c>
      <c r="J357" s="199" t="s">
        <v>136</v>
      </c>
      <c r="K357" s="66" t="s">
        <v>25</v>
      </c>
      <c r="L357" s="67"/>
    </row>
    <row r="358" spans="2:12" hidden="1">
      <c r="B358" s="63"/>
      <c r="C358" s="1001"/>
      <c r="D358" s="1001"/>
      <c r="E358" s="1001"/>
      <c r="F358" s="68">
        <f>'[6]PLANILHA ORÇAMENTÁRIA'!G102</f>
        <v>4</v>
      </c>
      <c r="G358" s="68"/>
      <c r="H358" s="68"/>
      <c r="I358" s="68"/>
      <c r="J358" s="68"/>
      <c r="K358" s="200">
        <f>F358</f>
        <v>4</v>
      </c>
      <c r="L358" s="67"/>
    </row>
    <row r="359" spans="2:12" hidden="1">
      <c r="B359" s="63"/>
      <c r="C359" s="1002" t="s">
        <v>116</v>
      </c>
      <c r="D359" s="1002"/>
      <c r="E359" s="1002"/>
      <c r="F359" s="1002"/>
      <c r="G359" s="1002"/>
      <c r="H359" s="1002"/>
      <c r="I359" s="1002"/>
      <c r="J359" s="1002"/>
      <c r="K359" s="66">
        <f>SUM(K358:K358)</f>
        <v>4</v>
      </c>
      <c r="L359" s="67"/>
    </row>
    <row r="360" spans="2:12" hidden="1"/>
    <row r="361" spans="2:12" ht="27.75" hidden="1" customHeight="1">
      <c r="B361" s="60" t="str">
        <f>'[6]PLANILHA ORÇAMENTÁRIA'!D103</f>
        <v>12.10</v>
      </c>
      <c r="C361" s="1003" t="str">
        <f>'[6]PLANILHA ORÇAMENTÁRIA'!E103</f>
        <v>RELE FOTOELETRICO P/ COMANDO DE ILUMINACAO EXTERNA 220V/1000W - FORNECIMENTO E INSTALACAO</v>
      </c>
      <c r="D361" s="1003"/>
      <c r="E361" s="1003"/>
      <c r="F361" s="1003"/>
      <c r="G361" s="1003"/>
      <c r="H361" s="1003"/>
      <c r="I361" s="1003"/>
      <c r="J361" s="1003"/>
      <c r="K361" s="61" t="str">
        <f>'[6]PLANILHA ORÇAMENTÁRIA'!F103</f>
        <v>UND</v>
      </c>
      <c r="L361" s="62">
        <f>K364</f>
        <v>1</v>
      </c>
    </row>
    <row r="362" spans="2:12" hidden="1">
      <c r="B362" s="63"/>
      <c r="C362" s="1004" t="s">
        <v>20</v>
      </c>
      <c r="D362" s="1004"/>
      <c r="E362" s="1004"/>
      <c r="F362" s="64" t="s">
        <v>22</v>
      </c>
      <c r="G362" s="199" t="s">
        <v>111</v>
      </c>
      <c r="H362" s="199" t="s">
        <v>114</v>
      </c>
      <c r="I362" s="199" t="s">
        <v>113</v>
      </c>
      <c r="J362" s="199" t="s">
        <v>136</v>
      </c>
      <c r="K362" s="66" t="s">
        <v>25</v>
      </c>
      <c r="L362" s="67"/>
    </row>
    <row r="363" spans="2:12" hidden="1">
      <c r="B363" s="63"/>
      <c r="C363" s="1001"/>
      <c r="D363" s="1001"/>
      <c r="E363" s="1001"/>
      <c r="F363" s="68">
        <f>'[6]PLANILHA ORÇAMENTÁRIA'!G103</f>
        <v>1</v>
      </c>
      <c r="G363" s="68"/>
      <c r="H363" s="68"/>
      <c r="I363" s="68"/>
      <c r="J363" s="68"/>
      <c r="K363" s="200">
        <f>F363</f>
        <v>1</v>
      </c>
      <c r="L363" s="67"/>
    </row>
    <row r="364" spans="2:12" hidden="1">
      <c r="B364" s="63"/>
      <c r="C364" s="1002" t="s">
        <v>116</v>
      </c>
      <c r="D364" s="1002"/>
      <c r="E364" s="1002"/>
      <c r="F364" s="1002"/>
      <c r="G364" s="1002"/>
      <c r="H364" s="1002"/>
      <c r="I364" s="1002"/>
      <c r="J364" s="1002"/>
      <c r="K364" s="66">
        <f>SUM(K363:K363)</f>
        <v>1</v>
      </c>
      <c r="L364" s="67"/>
    </row>
    <row r="365" spans="2:12" hidden="1"/>
    <row r="366" spans="2:12" ht="29.25" hidden="1" customHeight="1">
      <c r="B366" s="60" t="str">
        <f>'[6]PLANILHA ORÇAMENTÁRIA'!D104</f>
        <v>12.11</v>
      </c>
      <c r="C366" s="1003" t="str">
        <f>'[6]PLANILHA ORÇAMENTÁRIA'!E104</f>
        <v>ELETRODUTO RÍGIDO ROSCÁVEL, PVC, DN 32 MM (1"), PARA CIRCUITOS TERMINAIS, INSTALADO EM FORRO - FORNECIMENTO E INSTALAÇÃO. AF_12/2015</v>
      </c>
      <c r="D366" s="1003"/>
      <c r="E366" s="1003"/>
      <c r="F366" s="1003"/>
      <c r="G366" s="1003"/>
      <c r="H366" s="1003"/>
      <c r="I366" s="1003"/>
      <c r="J366" s="1003"/>
      <c r="K366" s="61" t="str">
        <f>'[6]PLANILHA ORÇAMENTÁRIA'!F104</f>
        <v>M</v>
      </c>
      <c r="L366" s="62">
        <f>K369</f>
        <v>70</v>
      </c>
    </row>
    <row r="367" spans="2:12" hidden="1">
      <c r="B367" s="63"/>
      <c r="C367" s="1004" t="s">
        <v>20</v>
      </c>
      <c r="D367" s="1004"/>
      <c r="E367" s="1004"/>
      <c r="F367" s="64" t="s">
        <v>22</v>
      </c>
      <c r="G367" s="199" t="s">
        <v>111</v>
      </c>
      <c r="H367" s="199" t="s">
        <v>114</v>
      </c>
      <c r="I367" s="199" t="s">
        <v>113</v>
      </c>
      <c r="J367" s="199" t="s">
        <v>136</v>
      </c>
      <c r="K367" s="66" t="s">
        <v>25</v>
      </c>
      <c r="L367" s="67"/>
    </row>
    <row r="368" spans="2:12" hidden="1">
      <c r="B368" s="63"/>
      <c r="C368" s="1001"/>
      <c r="D368" s="1001"/>
      <c r="E368" s="1001"/>
      <c r="F368" s="68"/>
      <c r="G368" s="68"/>
      <c r="H368" s="68"/>
      <c r="I368" s="68">
        <f>'[6]PLANILHA ORÇAMENTÁRIA'!G104</f>
        <v>70</v>
      </c>
      <c r="J368" s="68"/>
      <c r="K368" s="200">
        <f>I368</f>
        <v>70</v>
      </c>
      <c r="L368" s="67"/>
    </row>
    <row r="369" spans="2:12" hidden="1">
      <c r="B369" s="63"/>
      <c r="C369" s="1002" t="s">
        <v>116</v>
      </c>
      <c r="D369" s="1002"/>
      <c r="E369" s="1002"/>
      <c r="F369" s="1002"/>
      <c r="G369" s="1002"/>
      <c r="H369" s="1002"/>
      <c r="I369" s="1002"/>
      <c r="J369" s="1002"/>
      <c r="K369" s="66">
        <f>SUM(K368:K368)</f>
        <v>70</v>
      </c>
      <c r="L369" s="67"/>
    </row>
    <row r="370" spans="2:12" hidden="1"/>
    <row r="371" spans="2:12" ht="15" hidden="1" customHeight="1">
      <c r="B371" s="60" t="str">
        <f>'[6]PLANILHA ORÇAMENTÁRIA'!D105</f>
        <v>12.12</v>
      </c>
      <c r="C371" s="1003" t="str">
        <f>'[6]PLANILHA ORÇAMENTÁRIA'!E105</f>
        <v>REFLETOR SIMPLES LED 150W DE POTÊNCIA, BRANCO FRIO, 6500K, AUTOVOLT, MARCA G-LIGHT OU SIMILAR</v>
      </c>
      <c r="D371" s="1003"/>
      <c r="E371" s="1003"/>
      <c r="F371" s="1003"/>
      <c r="G371" s="1003"/>
      <c r="H371" s="1003"/>
      <c r="I371" s="1003"/>
      <c r="J371" s="1003"/>
      <c r="K371" s="61" t="str">
        <f>'[6]PLANILHA ORÇAMENTÁRIA'!F105</f>
        <v>UND</v>
      </c>
      <c r="L371" s="62">
        <f>K374</f>
        <v>8</v>
      </c>
    </row>
    <row r="372" spans="2:12" hidden="1">
      <c r="B372" s="63"/>
      <c r="C372" s="1004" t="s">
        <v>20</v>
      </c>
      <c r="D372" s="1004"/>
      <c r="E372" s="1004"/>
      <c r="F372" s="64" t="s">
        <v>22</v>
      </c>
      <c r="G372" s="199" t="s">
        <v>111</v>
      </c>
      <c r="H372" s="199" t="s">
        <v>114</v>
      </c>
      <c r="I372" s="199" t="s">
        <v>113</v>
      </c>
      <c r="J372" s="199" t="s">
        <v>136</v>
      </c>
      <c r="K372" s="66" t="s">
        <v>25</v>
      </c>
      <c r="L372" s="67"/>
    </row>
    <row r="373" spans="2:12" hidden="1">
      <c r="B373" s="63"/>
      <c r="C373" s="1001"/>
      <c r="D373" s="1001"/>
      <c r="E373" s="1001"/>
      <c r="F373" s="68">
        <f>'[6]PLANILHA ORÇAMENTÁRIA'!G105</f>
        <v>8</v>
      </c>
      <c r="G373" s="68"/>
      <c r="H373" s="68"/>
      <c r="I373" s="68"/>
      <c r="J373" s="68"/>
      <c r="K373" s="200">
        <f>F373</f>
        <v>8</v>
      </c>
      <c r="L373" s="67"/>
    </row>
    <row r="374" spans="2:12" hidden="1">
      <c r="B374" s="63"/>
      <c r="C374" s="1002" t="s">
        <v>116</v>
      </c>
      <c r="D374" s="1002"/>
      <c r="E374" s="1002"/>
      <c r="F374" s="1002"/>
      <c r="G374" s="1002"/>
      <c r="H374" s="1002"/>
      <c r="I374" s="1002"/>
      <c r="J374" s="1002"/>
      <c r="K374" s="66">
        <f>SUM(K373:K373)</f>
        <v>8</v>
      </c>
      <c r="L374" s="67"/>
    </row>
    <row r="375" spans="2:12" hidden="1"/>
    <row r="376" spans="2:12" ht="21.75" hidden="1" customHeight="1">
      <c r="B376" s="60" t="str">
        <f>'[6]PLANILHA ORÇAMENTÁRIA'!D106</f>
        <v>12.13</v>
      </c>
      <c r="C376" s="1003" t="str">
        <f>'[6]PLANILHA ORÇAMENTÁRIA'!E106</f>
        <v>CAIXA ENTERRADA ELÉTRICA RETANGULAR, EM ALVENARIA COM TIJOLOS CERÂMICOS MACIÇOS, FUNDO COM BRITA, DIMENSÕES INTERNAS: 0,3X0,3X0,3 M. AF_05/2018</v>
      </c>
      <c r="D376" s="1003"/>
      <c r="E376" s="1003"/>
      <c r="F376" s="1003"/>
      <c r="G376" s="1003"/>
      <c r="H376" s="1003"/>
      <c r="I376" s="1003"/>
      <c r="J376" s="1003"/>
      <c r="K376" s="61" t="str">
        <f>'[6]PLANILHA ORÇAMENTÁRIA'!F106</f>
        <v>UND</v>
      </c>
      <c r="L376" s="62">
        <f>K379</f>
        <v>0</v>
      </c>
    </row>
    <row r="377" spans="2:12" hidden="1">
      <c r="B377" s="63"/>
      <c r="C377" s="1004" t="s">
        <v>20</v>
      </c>
      <c r="D377" s="1004"/>
      <c r="E377" s="1004"/>
      <c r="F377" s="64" t="s">
        <v>22</v>
      </c>
      <c r="G377" s="199" t="s">
        <v>111</v>
      </c>
      <c r="H377" s="199" t="s">
        <v>114</v>
      </c>
      <c r="I377" s="199" t="s">
        <v>113</v>
      </c>
      <c r="J377" s="199" t="s">
        <v>136</v>
      </c>
      <c r="K377" s="66" t="s">
        <v>25</v>
      </c>
      <c r="L377" s="67"/>
    </row>
    <row r="378" spans="2:12" hidden="1">
      <c r="B378" s="63"/>
      <c r="C378" s="1001"/>
      <c r="D378" s="1001"/>
      <c r="E378" s="1001"/>
      <c r="F378" s="68">
        <f>'[6]PLANILHA ORÇAMENTÁRIA'!G106</f>
        <v>4</v>
      </c>
      <c r="G378" s="68"/>
      <c r="H378" s="68"/>
      <c r="I378" s="68"/>
      <c r="J378" s="68"/>
      <c r="K378" s="200">
        <f>I378</f>
        <v>0</v>
      </c>
      <c r="L378" s="67"/>
    </row>
    <row r="379" spans="2:12" hidden="1">
      <c r="B379" s="63"/>
      <c r="C379" s="1002" t="s">
        <v>116</v>
      </c>
      <c r="D379" s="1002"/>
      <c r="E379" s="1002"/>
      <c r="F379" s="1002"/>
      <c r="G379" s="1002"/>
      <c r="H379" s="1002"/>
      <c r="I379" s="1002"/>
      <c r="J379" s="1002"/>
      <c r="K379" s="66">
        <f>SUM(K378:K378)</f>
        <v>0</v>
      </c>
      <c r="L379" s="67"/>
    </row>
    <row r="380" spans="2:12" hidden="1"/>
    <row r="381" spans="2:12" ht="24.75" hidden="1" customHeight="1">
      <c r="B381" s="60" t="str">
        <f>'[6]PLANILHA ORÇAMENTÁRIA'!D107</f>
        <v>12.14</v>
      </c>
      <c r="C381" s="1003" t="str">
        <f>'[6]PLANILHA ORÇAMENTÁRIA'!E107</f>
        <v>CABO DE COBRE FLEXÍVEL ISOLADO, 4 MM², ANTI-CHAMA 450/750 V, PARA CIRCUITOS TERMINAIS - FORNECIMENTO E INSTALAÇÃO. AF_12/2015</v>
      </c>
      <c r="D381" s="1003"/>
      <c r="E381" s="1003"/>
      <c r="F381" s="1003"/>
      <c r="G381" s="1003"/>
      <c r="H381" s="1003"/>
      <c r="I381" s="1003"/>
      <c r="J381" s="1003"/>
      <c r="K381" s="61" t="str">
        <f>'[6]PLANILHA ORÇAMENTÁRIA'!F107</f>
        <v>M</v>
      </c>
      <c r="L381" s="62">
        <f>K384</f>
        <v>160</v>
      </c>
    </row>
    <row r="382" spans="2:12" hidden="1">
      <c r="B382" s="63"/>
      <c r="C382" s="1004" t="s">
        <v>20</v>
      </c>
      <c r="D382" s="1004"/>
      <c r="E382" s="1004"/>
      <c r="F382" s="64" t="s">
        <v>22</v>
      </c>
      <c r="G382" s="199" t="s">
        <v>111</v>
      </c>
      <c r="H382" s="199" t="s">
        <v>114</v>
      </c>
      <c r="I382" s="199" t="s">
        <v>113</v>
      </c>
      <c r="J382" s="199" t="s">
        <v>136</v>
      </c>
      <c r="K382" s="66" t="s">
        <v>25</v>
      </c>
      <c r="L382" s="67"/>
    </row>
    <row r="383" spans="2:12" hidden="1">
      <c r="B383" s="63"/>
      <c r="C383" s="1001"/>
      <c r="D383" s="1001"/>
      <c r="E383" s="1001"/>
      <c r="F383" s="68"/>
      <c r="G383" s="68"/>
      <c r="H383" s="68"/>
      <c r="I383" s="68">
        <f>'[6]PLANILHA ORÇAMENTÁRIA'!G107</f>
        <v>160</v>
      </c>
      <c r="J383" s="68"/>
      <c r="K383" s="200">
        <f>I383</f>
        <v>160</v>
      </c>
      <c r="L383" s="67"/>
    </row>
    <row r="384" spans="2:12" hidden="1">
      <c r="B384" s="63"/>
      <c r="C384" s="1002" t="s">
        <v>116</v>
      </c>
      <c r="D384" s="1002"/>
      <c r="E384" s="1002"/>
      <c r="F384" s="1002"/>
      <c r="G384" s="1002"/>
      <c r="H384" s="1002"/>
      <c r="I384" s="1002"/>
      <c r="J384" s="1002"/>
      <c r="K384" s="66">
        <f>SUM(K383:K383)</f>
        <v>160</v>
      </c>
      <c r="L384" s="67"/>
    </row>
    <row r="385" spans="2:12" hidden="1">
      <c r="B385" s="63"/>
      <c r="C385" s="71"/>
      <c r="D385" s="71"/>
      <c r="E385" s="71"/>
      <c r="F385" s="71"/>
      <c r="G385" s="71"/>
      <c r="H385" s="71"/>
      <c r="I385" s="71"/>
      <c r="J385" s="71"/>
      <c r="K385" s="73"/>
      <c r="L385" s="67"/>
    </row>
    <row r="386" spans="2:12" ht="32.25" hidden="1" customHeight="1">
      <c r="B386" s="60" t="str">
        <f>'[6]PLANILHA ORÇAMENTÁRIA'!D108</f>
        <v>12.15</v>
      </c>
      <c r="C386" s="1003" t="str">
        <f>'[6]PLANILHA ORÇAMENTÁRIA'!E108</f>
        <v>CABO DE COBRE FLEXÍVEL ISOLADO, 2,5 MM², ANTI-CHAMA 450/750 V, PARA CIRCUITOS TERMINAIS - FORNECIMENTO E INSTALAÇÃO. AF_12/2015</v>
      </c>
      <c r="D386" s="1003"/>
      <c r="E386" s="1003"/>
      <c r="F386" s="1003"/>
      <c r="G386" s="1003"/>
      <c r="H386" s="1003"/>
      <c r="I386" s="1003"/>
      <c r="J386" s="1003"/>
      <c r="K386" s="61" t="str">
        <f>'[6]PLANILHA ORÇAMENTÁRIA'!F108</f>
        <v>M</v>
      </c>
      <c r="L386" s="62">
        <f>K389</f>
        <v>160</v>
      </c>
    </row>
    <row r="387" spans="2:12" hidden="1">
      <c r="B387" s="63"/>
      <c r="C387" s="1004" t="s">
        <v>20</v>
      </c>
      <c r="D387" s="1004"/>
      <c r="E387" s="1004"/>
      <c r="F387" s="64" t="s">
        <v>22</v>
      </c>
      <c r="G387" s="199" t="s">
        <v>111</v>
      </c>
      <c r="H387" s="199" t="s">
        <v>114</v>
      </c>
      <c r="I387" s="199" t="s">
        <v>113</v>
      </c>
      <c r="J387" s="199" t="s">
        <v>136</v>
      </c>
      <c r="K387" s="66" t="s">
        <v>25</v>
      </c>
      <c r="L387" s="67"/>
    </row>
    <row r="388" spans="2:12" hidden="1">
      <c r="B388" s="63"/>
      <c r="C388" s="1001"/>
      <c r="D388" s="1001"/>
      <c r="E388" s="1001"/>
      <c r="F388" s="68"/>
      <c r="G388" s="68"/>
      <c r="H388" s="68"/>
      <c r="I388" s="68">
        <f>'[6]PLANILHA ORÇAMENTÁRIA'!G108</f>
        <v>160</v>
      </c>
      <c r="J388" s="68"/>
      <c r="K388" s="200">
        <f>I388</f>
        <v>160</v>
      </c>
      <c r="L388" s="67"/>
    </row>
    <row r="389" spans="2:12" hidden="1">
      <c r="B389" s="63"/>
      <c r="C389" s="1002" t="s">
        <v>116</v>
      </c>
      <c r="D389" s="1002"/>
      <c r="E389" s="1002"/>
      <c r="F389" s="1002"/>
      <c r="G389" s="1002"/>
      <c r="H389" s="1002"/>
      <c r="I389" s="1002"/>
      <c r="J389" s="1002"/>
      <c r="K389" s="66">
        <f>SUM(K388:K388)</f>
        <v>160</v>
      </c>
      <c r="L389" s="67"/>
    </row>
    <row r="390" spans="2:12" hidden="1"/>
    <row r="391" spans="2:12" hidden="1">
      <c r="B391" s="58" t="str">
        <f>'[6]PLANILHA ORÇAMENTÁRIA'!D109</f>
        <v>13.0</v>
      </c>
      <c r="C391" s="1000" t="str">
        <f>'[6]PLANILHA ORÇAMENTÁRIA'!E109</f>
        <v>PINTURA</v>
      </c>
      <c r="D391" s="1000"/>
      <c r="E391" s="1000"/>
      <c r="F391" s="1000"/>
      <c r="G391" s="1000"/>
      <c r="H391" s="1000"/>
      <c r="I391" s="1000"/>
      <c r="J391" s="1000"/>
      <c r="K391" s="59"/>
      <c r="L391" s="59"/>
    </row>
    <row r="392" spans="2:12" ht="15" hidden="1" customHeight="1">
      <c r="B392" s="60" t="str">
        <f>'[6]PLANILHA ORÇAMENTÁRIA'!D110</f>
        <v>13.1</v>
      </c>
      <c r="C392" s="1003" t="str">
        <f>'[6]PLANILHA ORÇAMENTÁRIA'!E110</f>
        <v>APLICAÇÃO DE FUNDO SELADOR LÁTEX PVA EM TETO, UMA DEMÃO. AF_06/2014</v>
      </c>
      <c r="D392" s="1003"/>
      <c r="E392" s="1003"/>
      <c r="F392" s="1003"/>
      <c r="G392" s="1003"/>
      <c r="H392" s="1003"/>
      <c r="I392" s="1003"/>
      <c r="J392" s="1003"/>
      <c r="K392" s="61" t="str">
        <f>'[6]PLANILHA ORÇAMENTÁRIA'!F110</f>
        <v>M2</v>
      </c>
      <c r="L392" s="62">
        <f>K399</f>
        <v>23.02</v>
      </c>
    </row>
    <row r="393" spans="2:12" hidden="1">
      <c r="B393" s="63"/>
      <c r="C393" s="1004" t="s">
        <v>20</v>
      </c>
      <c r="D393" s="1004"/>
      <c r="E393" s="1004"/>
      <c r="F393" s="64" t="s">
        <v>22</v>
      </c>
      <c r="G393" s="199" t="s">
        <v>111</v>
      </c>
      <c r="H393" s="64" t="s">
        <v>112</v>
      </c>
      <c r="I393" s="199" t="s">
        <v>113</v>
      </c>
      <c r="J393" s="199" t="s">
        <v>114</v>
      </c>
      <c r="K393" s="66" t="s">
        <v>25</v>
      </c>
      <c r="L393" s="67"/>
    </row>
    <row r="394" spans="2:12" hidden="1">
      <c r="B394" s="63"/>
      <c r="C394" s="1001" t="s">
        <v>167</v>
      </c>
      <c r="D394" s="1001"/>
      <c r="E394" s="1001"/>
      <c r="F394" s="68"/>
      <c r="G394" s="68"/>
      <c r="H394" s="68">
        <v>2</v>
      </c>
      <c r="I394" s="68">
        <v>4.2</v>
      </c>
      <c r="J394" s="68"/>
      <c r="K394" s="200">
        <f>TRUNC(H394*I394,2)</f>
        <v>8.4</v>
      </c>
      <c r="L394" s="67"/>
    </row>
    <row r="395" spans="2:12" hidden="1">
      <c r="B395" s="63"/>
      <c r="C395" s="1001" t="s">
        <v>168</v>
      </c>
      <c r="D395" s="1001"/>
      <c r="E395" s="1001"/>
      <c r="F395" s="68"/>
      <c r="G395" s="68"/>
      <c r="H395" s="68">
        <v>2</v>
      </c>
      <c r="I395" s="68">
        <v>3.13</v>
      </c>
      <c r="J395" s="68"/>
      <c r="K395" s="200">
        <f>TRUNC(H395*I395,2)</f>
        <v>6.26</v>
      </c>
      <c r="L395" s="67"/>
    </row>
    <row r="396" spans="2:12" hidden="1">
      <c r="B396" s="63"/>
      <c r="C396" s="1001" t="s">
        <v>169</v>
      </c>
      <c r="D396" s="1001"/>
      <c r="E396" s="1001"/>
      <c r="F396" s="68"/>
      <c r="G396" s="68"/>
      <c r="H396" s="68">
        <v>1</v>
      </c>
      <c r="I396" s="68">
        <v>1.05</v>
      </c>
      <c r="J396" s="68"/>
      <c r="K396" s="200">
        <f>TRUNC(H396*I396,2)</f>
        <v>1.05</v>
      </c>
      <c r="L396" s="67"/>
    </row>
    <row r="397" spans="2:12" hidden="1">
      <c r="B397" s="63"/>
      <c r="C397" s="1001" t="s">
        <v>170</v>
      </c>
      <c r="D397" s="1001"/>
      <c r="E397" s="1001"/>
      <c r="F397" s="68"/>
      <c r="G397" s="68"/>
      <c r="H397" s="68">
        <v>2</v>
      </c>
      <c r="I397" s="68">
        <v>3.13</v>
      </c>
      <c r="J397" s="68"/>
      <c r="K397" s="200">
        <f>TRUNC(H397*I397,2)</f>
        <v>6.26</v>
      </c>
      <c r="L397" s="67"/>
    </row>
    <row r="398" spans="2:12" hidden="1">
      <c r="B398" s="63"/>
      <c r="C398" s="1001" t="s">
        <v>171</v>
      </c>
      <c r="D398" s="1001"/>
      <c r="E398" s="1001"/>
      <c r="F398" s="68"/>
      <c r="G398" s="68"/>
      <c r="H398" s="68">
        <v>1</v>
      </c>
      <c r="I398" s="68">
        <v>1.05</v>
      </c>
      <c r="J398" s="68"/>
      <c r="K398" s="200">
        <f>TRUNC(H398*I398,2)</f>
        <v>1.05</v>
      </c>
      <c r="L398" s="67"/>
    </row>
    <row r="399" spans="2:12" hidden="1">
      <c r="B399" s="63"/>
      <c r="C399" s="1002" t="s">
        <v>116</v>
      </c>
      <c r="D399" s="1002"/>
      <c r="E399" s="1002"/>
      <c r="F399" s="1002"/>
      <c r="G399" s="1002"/>
      <c r="H399" s="1002"/>
      <c r="I399" s="1002"/>
      <c r="J399" s="1002"/>
      <c r="K399" s="66">
        <f>SUM(K394:K398)</f>
        <v>23.02</v>
      </c>
      <c r="L399" s="67"/>
    </row>
    <row r="400" spans="2:12" hidden="1"/>
    <row r="401" spans="2:12" ht="15" hidden="1" customHeight="1">
      <c r="B401" s="60" t="str">
        <f>'[6]PLANILHA ORÇAMENTÁRIA'!D111</f>
        <v>13.2</v>
      </c>
      <c r="C401" s="1003" t="str">
        <f>'[6]PLANILHA ORÇAMENTÁRIA'!E111</f>
        <v>APLICAÇÃO E LIXAMENTO DE MASSA LÁTEX EM TETO, DUAS DEMÃOS. AF_06/2014</v>
      </c>
      <c r="D401" s="1003"/>
      <c r="E401" s="1003"/>
      <c r="F401" s="1003"/>
      <c r="G401" s="1003"/>
      <c r="H401" s="1003"/>
      <c r="I401" s="1003"/>
      <c r="J401" s="1003"/>
      <c r="K401" s="61" t="str">
        <f>'[6]PLANILHA ORÇAMENTÁRIA'!F111</f>
        <v>M2</v>
      </c>
      <c r="L401" s="62">
        <f>K408</f>
        <v>23.02</v>
      </c>
    </row>
    <row r="402" spans="2:12" hidden="1">
      <c r="B402" s="63"/>
      <c r="C402" s="1004" t="s">
        <v>20</v>
      </c>
      <c r="D402" s="1004"/>
      <c r="E402" s="1004"/>
      <c r="F402" s="64" t="s">
        <v>22</v>
      </c>
      <c r="G402" s="199" t="s">
        <v>111</v>
      </c>
      <c r="H402" s="64" t="s">
        <v>112</v>
      </c>
      <c r="I402" s="199" t="s">
        <v>113</v>
      </c>
      <c r="J402" s="199" t="s">
        <v>114</v>
      </c>
      <c r="K402" s="66" t="s">
        <v>25</v>
      </c>
      <c r="L402" s="67"/>
    </row>
    <row r="403" spans="2:12" hidden="1">
      <c r="B403" s="63"/>
      <c r="C403" s="1001" t="s">
        <v>167</v>
      </c>
      <c r="D403" s="1001"/>
      <c r="E403" s="1001"/>
      <c r="F403" s="68"/>
      <c r="G403" s="68"/>
      <c r="H403" s="68">
        <v>2</v>
      </c>
      <c r="I403" s="68">
        <v>4.2</v>
      </c>
      <c r="J403" s="68"/>
      <c r="K403" s="200">
        <f>TRUNC(H403*I403,2)</f>
        <v>8.4</v>
      </c>
      <c r="L403" s="67"/>
    </row>
    <row r="404" spans="2:12" hidden="1">
      <c r="B404" s="63"/>
      <c r="C404" s="1001" t="s">
        <v>168</v>
      </c>
      <c r="D404" s="1001"/>
      <c r="E404" s="1001"/>
      <c r="F404" s="68"/>
      <c r="G404" s="68"/>
      <c r="H404" s="68">
        <v>2</v>
      </c>
      <c r="I404" s="68">
        <v>3.13</v>
      </c>
      <c r="J404" s="68"/>
      <c r="K404" s="200">
        <f>TRUNC(H404*I404,2)</f>
        <v>6.26</v>
      </c>
      <c r="L404" s="67"/>
    </row>
    <row r="405" spans="2:12" hidden="1">
      <c r="B405" s="63"/>
      <c r="C405" s="1001" t="s">
        <v>169</v>
      </c>
      <c r="D405" s="1001"/>
      <c r="E405" s="1001"/>
      <c r="F405" s="68"/>
      <c r="G405" s="68"/>
      <c r="H405" s="68">
        <v>1</v>
      </c>
      <c r="I405" s="68">
        <v>1.05</v>
      </c>
      <c r="J405" s="68"/>
      <c r="K405" s="200">
        <f>TRUNC(H405*I405,2)</f>
        <v>1.05</v>
      </c>
      <c r="L405" s="67"/>
    </row>
    <row r="406" spans="2:12" hidden="1">
      <c r="B406" s="63"/>
      <c r="C406" s="1001" t="s">
        <v>170</v>
      </c>
      <c r="D406" s="1001"/>
      <c r="E406" s="1001"/>
      <c r="F406" s="68"/>
      <c r="G406" s="68"/>
      <c r="H406" s="68">
        <v>2</v>
      </c>
      <c r="I406" s="68">
        <v>3.13</v>
      </c>
      <c r="J406" s="68"/>
      <c r="K406" s="200">
        <f>TRUNC(H406*I406,2)</f>
        <v>6.26</v>
      </c>
      <c r="L406" s="67"/>
    </row>
    <row r="407" spans="2:12" hidden="1">
      <c r="B407" s="63"/>
      <c r="C407" s="1001" t="s">
        <v>171</v>
      </c>
      <c r="D407" s="1001"/>
      <c r="E407" s="1001"/>
      <c r="F407" s="68"/>
      <c r="G407" s="68"/>
      <c r="H407" s="68">
        <v>1</v>
      </c>
      <c r="I407" s="68">
        <v>1.05</v>
      </c>
      <c r="J407" s="68"/>
      <c r="K407" s="200">
        <f>TRUNC(H407*I407,2)</f>
        <v>1.05</v>
      </c>
      <c r="L407" s="67"/>
    </row>
    <row r="408" spans="2:12" hidden="1">
      <c r="B408" s="63"/>
      <c r="C408" s="1002" t="s">
        <v>116</v>
      </c>
      <c r="D408" s="1002"/>
      <c r="E408" s="1002"/>
      <c r="F408" s="1002"/>
      <c r="G408" s="1002"/>
      <c r="H408" s="1002"/>
      <c r="I408" s="1002"/>
      <c r="J408" s="1002"/>
      <c r="K408" s="66">
        <f>SUM(K403:K407)</f>
        <v>23.02</v>
      </c>
      <c r="L408" s="67"/>
    </row>
    <row r="409" spans="2:12" hidden="1"/>
    <row r="410" spans="2:12" ht="15" hidden="1" customHeight="1">
      <c r="B410" s="60" t="str">
        <f>'[6]PLANILHA ORÇAMENTÁRIA'!D112</f>
        <v>13.3</v>
      </c>
      <c r="C410" s="1003" t="str">
        <f>'[6]PLANILHA ORÇAMENTÁRIA'!E112</f>
        <v>APLICAÇÃO MANUAL DE PINTURA COM TINTA LÁTEX PVA EM TETO, DUAS DEMÃOS. AF_06/2014</v>
      </c>
      <c r="D410" s="1003"/>
      <c r="E410" s="1003"/>
      <c r="F410" s="1003"/>
      <c r="G410" s="1003"/>
      <c r="H410" s="1003"/>
      <c r="I410" s="1003"/>
      <c r="J410" s="1003"/>
      <c r="K410" s="61" t="str">
        <f>'[6]PLANILHA ORÇAMENTÁRIA'!F112</f>
        <v>M2</v>
      </c>
      <c r="L410" s="62">
        <f>K417</f>
        <v>23.02</v>
      </c>
    </row>
    <row r="411" spans="2:12" hidden="1">
      <c r="B411" s="63"/>
      <c r="C411" s="1004" t="s">
        <v>20</v>
      </c>
      <c r="D411" s="1004"/>
      <c r="E411" s="1004"/>
      <c r="F411" s="64" t="s">
        <v>22</v>
      </c>
      <c r="G411" s="199" t="s">
        <v>111</v>
      </c>
      <c r="H411" s="64" t="s">
        <v>112</v>
      </c>
      <c r="I411" s="199" t="s">
        <v>113</v>
      </c>
      <c r="J411" s="199" t="s">
        <v>114</v>
      </c>
      <c r="K411" s="66" t="s">
        <v>25</v>
      </c>
      <c r="L411" s="67"/>
    </row>
    <row r="412" spans="2:12" hidden="1">
      <c r="B412" s="63"/>
      <c r="C412" s="1001" t="s">
        <v>167</v>
      </c>
      <c r="D412" s="1001"/>
      <c r="E412" s="1001"/>
      <c r="F412" s="68"/>
      <c r="G412" s="68"/>
      <c r="H412" s="68">
        <v>2</v>
      </c>
      <c r="I412" s="68">
        <v>4.2</v>
      </c>
      <c r="J412" s="68"/>
      <c r="K412" s="200">
        <f>TRUNC(H412*I412,2)</f>
        <v>8.4</v>
      </c>
      <c r="L412" s="67"/>
    </row>
    <row r="413" spans="2:12" hidden="1">
      <c r="B413" s="63"/>
      <c r="C413" s="1001" t="s">
        <v>168</v>
      </c>
      <c r="D413" s="1001"/>
      <c r="E413" s="1001"/>
      <c r="F413" s="68"/>
      <c r="G413" s="68"/>
      <c r="H413" s="68">
        <v>2</v>
      </c>
      <c r="I413" s="68">
        <v>3.13</v>
      </c>
      <c r="J413" s="68"/>
      <c r="K413" s="200">
        <f>TRUNC(H413*I413,2)</f>
        <v>6.26</v>
      </c>
      <c r="L413" s="67"/>
    </row>
    <row r="414" spans="2:12" hidden="1">
      <c r="B414" s="63"/>
      <c r="C414" s="1001" t="s">
        <v>169</v>
      </c>
      <c r="D414" s="1001"/>
      <c r="E414" s="1001"/>
      <c r="F414" s="68"/>
      <c r="G414" s="68"/>
      <c r="H414" s="68">
        <v>1</v>
      </c>
      <c r="I414" s="68">
        <v>1.05</v>
      </c>
      <c r="J414" s="68"/>
      <c r="K414" s="200">
        <f>TRUNC(H414*I414,2)</f>
        <v>1.05</v>
      </c>
      <c r="L414" s="67"/>
    </row>
    <row r="415" spans="2:12" hidden="1">
      <c r="B415" s="63"/>
      <c r="C415" s="1001" t="s">
        <v>170</v>
      </c>
      <c r="D415" s="1001"/>
      <c r="E415" s="1001"/>
      <c r="F415" s="68"/>
      <c r="G415" s="68"/>
      <c r="H415" s="68">
        <v>2</v>
      </c>
      <c r="I415" s="68">
        <v>3.13</v>
      </c>
      <c r="J415" s="68"/>
      <c r="K415" s="200">
        <f>TRUNC(H415*I415,2)</f>
        <v>6.26</v>
      </c>
      <c r="L415" s="67"/>
    </row>
    <row r="416" spans="2:12" hidden="1">
      <c r="B416" s="63"/>
      <c r="C416" s="1001" t="s">
        <v>171</v>
      </c>
      <c r="D416" s="1001"/>
      <c r="E416" s="1001"/>
      <c r="F416" s="68"/>
      <c r="G416" s="68"/>
      <c r="H416" s="68">
        <v>1</v>
      </c>
      <c r="I416" s="68">
        <v>1.05</v>
      </c>
      <c r="J416" s="68"/>
      <c r="K416" s="200">
        <f>TRUNC(H416*I416,2)</f>
        <v>1.05</v>
      </c>
      <c r="L416" s="67"/>
    </row>
    <row r="417" spans="2:12" hidden="1">
      <c r="B417" s="63"/>
      <c r="C417" s="1002" t="s">
        <v>116</v>
      </c>
      <c r="D417" s="1002"/>
      <c r="E417" s="1002"/>
      <c r="F417" s="1002"/>
      <c r="G417" s="1002"/>
      <c r="H417" s="1002"/>
      <c r="I417" s="1002"/>
      <c r="J417" s="1002"/>
      <c r="K417" s="66">
        <f>SUM(K412:K416)</f>
        <v>23.02</v>
      </c>
      <c r="L417" s="67"/>
    </row>
    <row r="418" spans="2:12" hidden="1"/>
    <row r="419" spans="2:12" hidden="1">
      <c r="B419" s="60" t="str">
        <f>'[6]PLANILHA ORÇAMENTÁRIA'!D113</f>
        <v>13.4</v>
      </c>
      <c r="C419" s="1003" t="str">
        <f>'[6]PLANILHA ORÇAMENTÁRIA'!E113</f>
        <v>APLICAÇÃO DE FUNDO SELADOR ACRÍLICO EM PAREDES, UMA DEMÃO. AF_06/2014</v>
      </c>
      <c r="D419" s="1003"/>
      <c r="E419" s="1003"/>
      <c r="F419" s="1003"/>
      <c r="G419" s="1003"/>
      <c r="H419" s="1003"/>
      <c r="I419" s="1003"/>
      <c r="J419" s="1003"/>
      <c r="K419" s="61" t="str">
        <f>'[6]PLANILHA ORÇAMENTÁRIA'!F113</f>
        <v>M2</v>
      </c>
      <c r="L419" s="62">
        <f>K423</f>
        <v>50.4</v>
      </c>
    </row>
    <row r="420" spans="2:12" hidden="1">
      <c r="B420" s="63"/>
      <c r="C420" s="1004" t="s">
        <v>20</v>
      </c>
      <c r="D420" s="1004"/>
      <c r="E420" s="1004"/>
      <c r="F420" s="64" t="s">
        <v>22</v>
      </c>
      <c r="G420" s="199" t="s">
        <v>111</v>
      </c>
      <c r="H420" s="64" t="s">
        <v>112</v>
      </c>
      <c r="I420" s="199" t="s">
        <v>154</v>
      </c>
      <c r="J420" s="199" t="s">
        <v>114</v>
      </c>
      <c r="K420" s="66" t="s">
        <v>25</v>
      </c>
      <c r="L420" s="67"/>
    </row>
    <row r="421" spans="2:12" ht="25.5" hidden="1" customHeight="1">
      <c r="B421" s="63"/>
      <c r="C421" s="1001" t="s">
        <v>172</v>
      </c>
      <c r="D421" s="1001"/>
      <c r="E421" s="1001"/>
      <c r="F421" s="68">
        <v>1</v>
      </c>
      <c r="G421" s="68">
        <v>2.4</v>
      </c>
      <c r="H421" s="68"/>
      <c r="I421" s="68">
        <v>12.6</v>
      </c>
      <c r="J421" s="68"/>
      <c r="K421" s="200">
        <f>TRUNC(((G421*I421)*F421)-J421,2)</f>
        <v>30.24</v>
      </c>
      <c r="L421" s="67"/>
    </row>
    <row r="422" spans="2:12" hidden="1">
      <c r="B422" s="63"/>
      <c r="C422" s="1001" t="s">
        <v>173</v>
      </c>
      <c r="D422" s="1001"/>
      <c r="E422" s="1001"/>
      <c r="F422" s="68">
        <v>1</v>
      </c>
      <c r="G422" s="68">
        <v>2.4</v>
      </c>
      <c r="H422" s="68"/>
      <c r="I422" s="68">
        <v>8.4</v>
      </c>
      <c r="J422" s="68"/>
      <c r="K422" s="200">
        <f>TRUNC(((G422*I422)*F422),2)</f>
        <v>20.16</v>
      </c>
      <c r="L422" s="67"/>
    </row>
    <row r="423" spans="2:12" hidden="1">
      <c r="C423" s="1002" t="s">
        <v>116</v>
      </c>
      <c r="D423" s="1002"/>
      <c r="E423" s="1002"/>
      <c r="F423" s="1002"/>
      <c r="G423" s="1002"/>
      <c r="H423" s="1002"/>
      <c r="I423" s="1002"/>
      <c r="J423" s="1002"/>
      <c r="K423" s="66">
        <f>SUM(K421:K422)</f>
        <v>50.4</v>
      </c>
    </row>
    <row r="424" spans="2:12" hidden="1"/>
    <row r="425" spans="2:12" hidden="1">
      <c r="B425" s="60" t="str">
        <f>'[6]PLANILHA ORÇAMENTÁRIA'!D114</f>
        <v>13.5</v>
      </c>
      <c r="C425" s="1003" t="str">
        <f>'[6]PLANILHA ORÇAMENTÁRIA'!E114</f>
        <v>APLICAÇÃO E LIXAMENTO DE MASSA LÁTEX EM PAREDES, UMA DEMÃO. AF_06/2014</v>
      </c>
      <c r="D425" s="1003"/>
      <c r="E425" s="1003"/>
      <c r="F425" s="1003"/>
      <c r="G425" s="1003"/>
      <c r="H425" s="1003"/>
      <c r="I425" s="1003"/>
      <c r="J425" s="1003"/>
      <c r="K425" s="61" t="str">
        <f>'[6]PLANILHA ORÇAMENTÁRIA'!F114</f>
        <v>M2</v>
      </c>
      <c r="L425" s="62">
        <f>K429</f>
        <v>50.4</v>
      </c>
    </row>
    <row r="426" spans="2:12" hidden="1">
      <c r="B426" s="63"/>
      <c r="C426" s="1004" t="s">
        <v>20</v>
      </c>
      <c r="D426" s="1004"/>
      <c r="E426" s="1004"/>
      <c r="F426" s="64" t="s">
        <v>22</v>
      </c>
      <c r="G426" s="199" t="s">
        <v>111</v>
      </c>
      <c r="H426" s="64" t="s">
        <v>112</v>
      </c>
      <c r="I426" s="199" t="s">
        <v>154</v>
      </c>
      <c r="J426" s="199" t="s">
        <v>114</v>
      </c>
      <c r="K426" s="66" t="s">
        <v>25</v>
      </c>
      <c r="L426" s="67"/>
    </row>
    <row r="427" spans="2:12" hidden="1">
      <c r="B427" s="63"/>
      <c r="C427" s="1001" t="s">
        <v>172</v>
      </c>
      <c r="D427" s="1001"/>
      <c r="E427" s="1001"/>
      <c r="F427" s="68">
        <v>1</v>
      </c>
      <c r="G427" s="68">
        <v>2.4</v>
      </c>
      <c r="H427" s="68"/>
      <c r="I427" s="68">
        <v>12.6</v>
      </c>
      <c r="J427" s="68"/>
      <c r="K427" s="200">
        <f>TRUNC(((G427*I427)*F427)-J427,2)</f>
        <v>30.24</v>
      </c>
      <c r="L427" s="67"/>
    </row>
    <row r="428" spans="2:12" hidden="1">
      <c r="B428" s="63"/>
      <c r="C428" s="1001" t="s">
        <v>173</v>
      </c>
      <c r="D428" s="1001"/>
      <c r="E428" s="1001"/>
      <c r="F428" s="68">
        <v>1</v>
      </c>
      <c r="G428" s="68">
        <v>2.4</v>
      </c>
      <c r="H428" s="68"/>
      <c r="I428" s="68">
        <v>8.4</v>
      </c>
      <c r="J428" s="68"/>
      <c r="K428" s="200">
        <f>TRUNC(((G428*I428)*F428),2)</f>
        <v>20.16</v>
      </c>
      <c r="L428" s="67"/>
    </row>
    <row r="429" spans="2:12" hidden="1">
      <c r="C429" s="1002" t="s">
        <v>116</v>
      </c>
      <c r="D429" s="1002"/>
      <c r="E429" s="1002"/>
      <c r="F429" s="1002"/>
      <c r="G429" s="1002"/>
      <c r="H429" s="1002"/>
      <c r="I429" s="1002"/>
      <c r="J429" s="1002"/>
      <c r="K429" s="66">
        <f>SUM(K427:K428)</f>
        <v>50.4</v>
      </c>
    </row>
    <row r="430" spans="2:12" hidden="1"/>
    <row r="431" spans="2:12" hidden="1">
      <c r="B431" s="60" t="str">
        <f>'[6]PLANILHA ORÇAMENTÁRIA'!D115</f>
        <v>13.6</v>
      </c>
      <c r="C431" s="1003" t="str">
        <f>'[6]PLANILHA ORÇAMENTÁRIA'!E115</f>
        <v>APLICAÇÃO MANUAL DE PINTURA COM TINTA LÁTEX ACRÍLICA EM PAREDES, DUAS DEMÃOS. AF_06/2014</v>
      </c>
      <c r="D431" s="1003"/>
      <c r="E431" s="1003"/>
      <c r="F431" s="1003"/>
      <c r="G431" s="1003"/>
      <c r="H431" s="1003"/>
      <c r="I431" s="1003"/>
      <c r="J431" s="1003"/>
      <c r="K431" s="61" t="str">
        <f>'[6]PLANILHA ORÇAMENTÁRIA'!F115</f>
        <v>M2</v>
      </c>
      <c r="L431" s="62">
        <f>K435</f>
        <v>50.4</v>
      </c>
    </row>
    <row r="432" spans="2:12" hidden="1">
      <c r="B432" s="63"/>
      <c r="C432" s="1004" t="s">
        <v>20</v>
      </c>
      <c r="D432" s="1004"/>
      <c r="E432" s="1004"/>
      <c r="F432" s="64" t="s">
        <v>22</v>
      </c>
      <c r="G432" s="199" t="s">
        <v>111</v>
      </c>
      <c r="H432" s="64" t="s">
        <v>112</v>
      </c>
      <c r="I432" s="199" t="s">
        <v>154</v>
      </c>
      <c r="J432" s="199" t="s">
        <v>114</v>
      </c>
      <c r="K432" s="66" t="s">
        <v>25</v>
      </c>
      <c r="L432" s="67"/>
    </row>
    <row r="433" spans="2:12" hidden="1">
      <c r="B433" s="63"/>
      <c r="C433" s="1001" t="s">
        <v>172</v>
      </c>
      <c r="D433" s="1001"/>
      <c r="E433" s="1001"/>
      <c r="F433" s="68">
        <v>1</v>
      </c>
      <c r="G433" s="68">
        <v>2.4</v>
      </c>
      <c r="H433" s="68"/>
      <c r="I433" s="68">
        <v>12.6</v>
      </c>
      <c r="J433" s="68"/>
      <c r="K433" s="200">
        <f>TRUNC(((G433*I433)*F433)-J433,2)</f>
        <v>30.24</v>
      </c>
      <c r="L433" s="67"/>
    </row>
    <row r="434" spans="2:12" hidden="1">
      <c r="B434" s="63"/>
      <c r="C434" s="1001" t="s">
        <v>173</v>
      </c>
      <c r="D434" s="1001"/>
      <c r="E434" s="1001"/>
      <c r="F434" s="68">
        <v>1</v>
      </c>
      <c r="G434" s="68">
        <v>2.4</v>
      </c>
      <c r="H434" s="68"/>
      <c r="I434" s="68">
        <v>8.4</v>
      </c>
      <c r="J434" s="68"/>
      <c r="K434" s="200">
        <f>TRUNC(((G434*I434)*F434),2)</f>
        <v>20.16</v>
      </c>
      <c r="L434" s="67"/>
    </row>
    <row r="435" spans="2:12" hidden="1">
      <c r="C435" s="1002" t="s">
        <v>116</v>
      </c>
      <c r="D435" s="1002"/>
      <c r="E435" s="1002"/>
      <c r="F435" s="1002"/>
      <c r="G435" s="1002"/>
      <c r="H435" s="1002"/>
      <c r="I435" s="1002"/>
      <c r="J435" s="1002"/>
      <c r="K435" s="66">
        <f>SUM(K433:K434)</f>
        <v>50.4</v>
      </c>
    </row>
    <row r="436" spans="2:12" hidden="1"/>
    <row r="437" spans="2:12" hidden="1">
      <c r="B437" s="58" t="str">
        <f>'[6]PLANILHA ORÇAMENTÁRIA'!D116</f>
        <v>14.0</v>
      </c>
      <c r="C437" s="1000" t="str">
        <f>'[6]PLANILHA ORÇAMENTÁRIA'!E116</f>
        <v>APARELHOS DA ACADEMIA</v>
      </c>
      <c r="D437" s="1000"/>
      <c r="E437" s="1000"/>
      <c r="F437" s="1000"/>
      <c r="G437" s="1000"/>
      <c r="H437" s="1000"/>
      <c r="I437" s="1000"/>
      <c r="J437" s="1000"/>
      <c r="K437" s="59"/>
      <c r="L437" s="59"/>
    </row>
    <row r="438" spans="2:12" hidden="1">
      <c r="B438" s="58" t="str">
        <f>'[6]PLANILHA ORÇAMENTÁRIA'!D117</f>
        <v>14.1</v>
      </c>
      <c r="C438" s="1000" t="str">
        <f>'[6]PLANILHA ORÇAMENTÁRIA'!E117</f>
        <v>BARRA PARALELA</v>
      </c>
      <c r="D438" s="1000"/>
      <c r="E438" s="1000"/>
      <c r="F438" s="1000"/>
      <c r="G438" s="1000"/>
      <c r="H438" s="1000"/>
      <c r="I438" s="1000"/>
      <c r="J438" s="1000"/>
      <c r="K438" s="59"/>
      <c r="L438" s="59"/>
    </row>
    <row r="439" spans="2:12" ht="15" hidden="1" customHeight="1">
      <c r="B439" s="60" t="str">
        <f>'[6]PLANILHA ORÇAMENTÁRIA'!D118</f>
        <v>14.1.1</v>
      </c>
      <c r="C439" s="1003" t="str">
        <f>'[6]PLANILHA ORÇAMENTÁRIA'!E118</f>
        <v>ESCAVAÇÃO MANUAL DE VALA COM PROFUNDIDADE MENOR OU IGUAL A 1,30 M</v>
      </c>
      <c r="D439" s="1003"/>
      <c r="E439" s="1003"/>
      <c r="F439" s="1003"/>
      <c r="G439" s="1003"/>
      <c r="H439" s="1003"/>
      <c r="I439" s="1003"/>
      <c r="J439" s="1003"/>
      <c r="K439" s="61" t="str">
        <f>'[6]PLANILHA ORÇAMENTÁRIA'!F118</f>
        <v>M3</v>
      </c>
      <c r="L439" s="62">
        <f>K442</f>
        <v>9.9000000000000005E-2</v>
      </c>
    </row>
    <row r="440" spans="2:12" hidden="1">
      <c r="B440" s="63"/>
      <c r="C440" s="1004" t="s">
        <v>20</v>
      </c>
      <c r="D440" s="1004"/>
      <c r="E440" s="1004"/>
      <c r="F440" s="64" t="s">
        <v>22</v>
      </c>
      <c r="G440" s="199" t="s">
        <v>111</v>
      </c>
      <c r="H440" s="64" t="s">
        <v>112</v>
      </c>
      <c r="I440" s="199" t="s">
        <v>113</v>
      </c>
      <c r="J440" s="199" t="s">
        <v>114</v>
      </c>
      <c r="K440" s="66" t="s">
        <v>25</v>
      </c>
      <c r="L440" s="67"/>
    </row>
    <row r="441" spans="2:12" hidden="1">
      <c r="B441" s="63"/>
      <c r="C441" s="1001" t="s">
        <v>174</v>
      </c>
      <c r="D441" s="1001"/>
      <c r="E441" s="1001"/>
      <c r="F441" s="68">
        <v>8</v>
      </c>
      <c r="G441" s="68">
        <v>0.55000000000000004</v>
      </c>
      <c r="H441" s="68">
        <v>0.15</v>
      </c>
      <c r="I441" s="68">
        <v>0.15</v>
      </c>
      <c r="J441" s="68"/>
      <c r="K441" s="69">
        <f>PRODUCT(F441:I441)</f>
        <v>9.9000000000000005E-2</v>
      </c>
      <c r="L441" s="67"/>
    </row>
    <row r="442" spans="2:12" hidden="1">
      <c r="B442" s="63"/>
      <c r="C442" s="1002" t="s">
        <v>116</v>
      </c>
      <c r="D442" s="1002"/>
      <c r="E442" s="1002"/>
      <c r="F442" s="1002"/>
      <c r="G442" s="1002"/>
      <c r="H442" s="1002"/>
      <c r="I442" s="1002"/>
      <c r="J442" s="1002"/>
      <c r="K442" s="70">
        <f>SUM(K441:K441)</f>
        <v>9.9000000000000005E-2</v>
      </c>
      <c r="L442" s="67"/>
    </row>
    <row r="443" spans="2:12" hidden="1">
      <c r="B443" s="63"/>
      <c r="C443" s="71"/>
      <c r="D443" s="71"/>
      <c r="E443" s="71"/>
      <c r="F443" s="71"/>
      <c r="G443" s="71"/>
      <c r="H443" s="71"/>
      <c r="I443" s="71"/>
      <c r="J443" s="71"/>
      <c r="K443" s="72"/>
      <c r="L443" s="67"/>
    </row>
    <row r="444" spans="2:12" ht="22.5" hidden="1" customHeight="1">
      <c r="B444" s="60" t="str">
        <f>'[6]PLANILHA ORÇAMENTÁRIA'!D119</f>
        <v>14.1.2</v>
      </c>
      <c r="C444" s="1003" t="str">
        <f>'[6]PLANILHA ORÇAMENTÁRIA'!E119</f>
        <v>LASTRO DE CONCRETO MAGRO, APLICADO EM PISOS OU RADIERS, ESPESSURA DE 5CM. AF_07_2016</v>
      </c>
      <c r="D444" s="1003"/>
      <c r="E444" s="1003"/>
      <c r="F444" s="1003"/>
      <c r="G444" s="1003"/>
      <c r="H444" s="1003"/>
      <c r="I444" s="1003"/>
      <c r="J444" s="1003"/>
      <c r="K444" s="61" t="str">
        <f>'[6]PLANILHA ORÇAMENTÁRIA'!F119</f>
        <v>M2</v>
      </c>
      <c r="L444" s="62">
        <f>K447</f>
        <v>0.18</v>
      </c>
    </row>
    <row r="445" spans="2:12" hidden="1">
      <c r="B445" s="63"/>
      <c r="C445" s="1004" t="s">
        <v>20</v>
      </c>
      <c r="D445" s="1004"/>
      <c r="E445" s="1004"/>
      <c r="F445" s="64" t="s">
        <v>22</v>
      </c>
      <c r="G445" s="199" t="s">
        <v>111</v>
      </c>
      <c r="H445" s="64" t="s">
        <v>112</v>
      </c>
      <c r="I445" s="199" t="s">
        <v>113</v>
      </c>
      <c r="J445" s="199" t="s">
        <v>114</v>
      </c>
      <c r="K445" s="66" t="s">
        <v>25</v>
      </c>
      <c r="L445" s="67"/>
    </row>
    <row r="446" spans="2:12" hidden="1">
      <c r="B446" s="63"/>
      <c r="C446" s="1001"/>
      <c r="D446" s="1001"/>
      <c r="E446" s="1001"/>
      <c r="F446" s="68">
        <v>8</v>
      </c>
      <c r="G446" s="68"/>
      <c r="H446" s="68">
        <v>0.15</v>
      </c>
      <c r="I446" s="68">
        <v>0.15</v>
      </c>
      <c r="J446" s="68"/>
      <c r="K446" s="69">
        <f>PRODUCT(F446:I446)</f>
        <v>0.18</v>
      </c>
      <c r="L446" s="67"/>
    </row>
    <row r="447" spans="2:12" hidden="1">
      <c r="B447" s="63"/>
      <c r="C447" s="1002" t="s">
        <v>116</v>
      </c>
      <c r="D447" s="1002"/>
      <c r="E447" s="1002"/>
      <c r="F447" s="1002"/>
      <c r="G447" s="1002"/>
      <c r="H447" s="1002"/>
      <c r="I447" s="1002"/>
      <c r="J447" s="1002"/>
      <c r="K447" s="70">
        <f>SUM(K446:K446)</f>
        <v>0.18</v>
      </c>
      <c r="L447" s="67"/>
    </row>
    <row r="448" spans="2:12" hidden="1">
      <c r="B448" s="63"/>
      <c r="C448" s="71"/>
      <c r="D448" s="71"/>
      <c r="E448" s="71"/>
      <c r="F448" s="71"/>
      <c r="G448" s="71"/>
      <c r="H448" s="71"/>
      <c r="I448" s="71"/>
      <c r="J448" s="71"/>
      <c r="K448" s="72"/>
      <c r="L448" s="67"/>
    </row>
    <row r="449" spans="2:12" ht="24" hidden="1" customHeight="1">
      <c r="B449" s="60" t="str">
        <f>'[6]PLANILHA ORÇAMENTÁRIA'!D120</f>
        <v>14.1.3</v>
      </c>
      <c r="C449" s="1003" t="str">
        <f>'[6]PLANILHA ORÇAMENTÁRIA'!E120</f>
        <v>CONCRETAGEM DE BLOCOS DE COROAMENTO E VIGAS BALDRAMES, FCK 30 MPA, COM USO DE BOMBA LANÇAMENTO, ADENSAMENTO E ACABAMENTO. AF_06/2017</v>
      </c>
      <c r="D449" s="1003"/>
      <c r="E449" s="1003"/>
      <c r="F449" s="1003"/>
      <c r="G449" s="1003"/>
      <c r="H449" s="1003"/>
      <c r="I449" s="1003"/>
      <c r="J449" s="1003"/>
      <c r="K449" s="61" t="str">
        <f>'[6]PLANILHA ORÇAMENTÁRIA'!F120</f>
        <v>M3</v>
      </c>
      <c r="L449" s="62">
        <f>K452</f>
        <v>7.0000000000000007E-2</v>
      </c>
    </row>
    <row r="450" spans="2:12" hidden="1">
      <c r="B450" s="63"/>
      <c r="C450" s="1004" t="s">
        <v>20</v>
      </c>
      <c r="D450" s="1004"/>
      <c r="E450" s="1004"/>
      <c r="F450" s="64" t="s">
        <v>22</v>
      </c>
      <c r="G450" s="199" t="s">
        <v>111</v>
      </c>
      <c r="H450" s="64" t="s">
        <v>112</v>
      </c>
      <c r="I450" s="199" t="s">
        <v>113</v>
      </c>
      <c r="J450" s="199" t="s">
        <v>114</v>
      </c>
      <c r="K450" s="66" t="s">
        <v>25</v>
      </c>
      <c r="L450" s="67"/>
    </row>
    <row r="451" spans="2:12" hidden="1">
      <c r="B451" s="63"/>
      <c r="C451" s="1001" t="s">
        <v>175</v>
      </c>
      <c r="D451" s="1001"/>
      <c r="E451" s="1001"/>
      <c r="F451" s="68">
        <v>8</v>
      </c>
      <c r="G451" s="68">
        <v>0.4</v>
      </c>
      <c r="H451" s="68">
        <v>0.15</v>
      </c>
      <c r="I451" s="68">
        <v>0.15</v>
      </c>
      <c r="J451" s="68"/>
      <c r="K451" s="200">
        <f>TRUNC(G451*H451*F451*I451,2)</f>
        <v>7.0000000000000007E-2</v>
      </c>
      <c r="L451" s="67"/>
    </row>
    <row r="452" spans="2:12" hidden="1">
      <c r="B452" s="63"/>
      <c r="C452" s="1002" t="s">
        <v>116</v>
      </c>
      <c r="D452" s="1002"/>
      <c r="E452" s="1002"/>
      <c r="F452" s="1002"/>
      <c r="G452" s="1002"/>
      <c r="H452" s="1002"/>
      <c r="I452" s="1002"/>
      <c r="J452" s="1002"/>
      <c r="K452" s="66">
        <f>SUM(K451:K451)</f>
        <v>7.0000000000000007E-2</v>
      </c>
      <c r="L452" s="67"/>
    </row>
    <row r="453" spans="2:12" hidden="1"/>
    <row r="454" spans="2:12" ht="15" hidden="1" customHeight="1">
      <c r="B454" s="60" t="str">
        <f>'[6]PLANILHA ORÇAMENTÁRIA'!D121</f>
        <v>14.1.4</v>
      </c>
      <c r="C454" s="1003" t="str">
        <f>'[6]PLANILHA ORÇAMENTÁRIA'!E121</f>
        <v>TUBO DE AÇO GALVANIZADO COM COSTURA 2" - FORNECIMENTO E INSTALACAO.</v>
      </c>
      <c r="D454" s="1003"/>
      <c r="E454" s="1003"/>
      <c r="F454" s="1003"/>
      <c r="G454" s="1003"/>
      <c r="H454" s="1003"/>
      <c r="I454" s="1003"/>
      <c r="J454" s="1003"/>
      <c r="K454" s="61" t="str">
        <f>'[6]PLANILHA ORÇAMENTÁRIA'!F121</f>
        <v>M</v>
      </c>
      <c r="L454" s="62">
        <f>K458</f>
        <v>21.2</v>
      </c>
    </row>
    <row r="455" spans="2:12" hidden="1">
      <c r="B455" s="63"/>
      <c r="C455" s="1004" t="s">
        <v>20</v>
      </c>
      <c r="D455" s="1004"/>
      <c r="E455" s="1004"/>
      <c r="F455" s="64" t="s">
        <v>22</v>
      </c>
      <c r="G455" s="199" t="s">
        <v>111</v>
      </c>
      <c r="H455" s="64" t="s">
        <v>112</v>
      </c>
      <c r="I455" s="199" t="s">
        <v>113</v>
      </c>
      <c r="J455" s="199" t="s">
        <v>114</v>
      </c>
      <c r="K455" s="66" t="s">
        <v>25</v>
      </c>
      <c r="L455" s="67"/>
    </row>
    <row r="456" spans="2:12" hidden="1">
      <c r="B456" s="63"/>
      <c r="C456" s="1001" t="s">
        <v>176</v>
      </c>
      <c r="D456" s="1001"/>
      <c r="E456" s="1001"/>
      <c r="F456" s="68">
        <v>8</v>
      </c>
      <c r="G456" s="68"/>
      <c r="H456" s="68"/>
      <c r="I456" s="68">
        <v>1.65</v>
      </c>
      <c r="J456" s="68"/>
      <c r="K456" s="200">
        <f>F456*I456</f>
        <v>13.2</v>
      </c>
      <c r="L456" s="67"/>
    </row>
    <row r="457" spans="2:12" hidden="1">
      <c r="B457" s="63"/>
      <c r="C457" s="1005" t="s">
        <v>177</v>
      </c>
      <c r="D457" s="1006"/>
      <c r="E457" s="1007"/>
      <c r="F457" s="68">
        <v>4</v>
      </c>
      <c r="G457" s="68"/>
      <c r="H457" s="68"/>
      <c r="I457" s="68">
        <v>2</v>
      </c>
      <c r="J457" s="68"/>
      <c r="K457" s="200">
        <f>F457*I457</f>
        <v>8</v>
      </c>
      <c r="L457" s="67"/>
    </row>
    <row r="458" spans="2:12" hidden="1">
      <c r="B458" s="63"/>
      <c r="C458" s="1002" t="s">
        <v>116</v>
      </c>
      <c r="D458" s="1002"/>
      <c r="E458" s="1002"/>
      <c r="F458" s="1002"/>
      <c r="G458" s="1002"/>
      <c r="H458" s="1002"/>
      <c r="I458" s="1002"/>
      <c r="J458" s="1002"/>
      <c r="K458" s="66">
        <f>SUM(K456:K457)</f>
        <v>21.2</v>
      </c>
      <c r="L458" s="67"/>
    </row>
    <row r="459" spans="2:12" hidden="1">
      <c r="B459" s="63"/>
      <c r="C459" s="71"/>
      <c r="D459" s="71"/>
      <c r="E459" s="71"/>
      <c r="F459" s="71"/>
      <c r="G459" s="71"/>
      <c r="H459" s="71"/>
      <c r="I459" s="71"/>
      <c r="J459" s="71"/>
      <c r="K459" s="73"/>
      <c r="L459" s="67"/>
    </row>
    <row r="460" spans="2:12" ht="15" hidden="1" customHeight="1">
      <c r="B460" s="60" t="str">
        <f>'[6]PLANILHA ORÇAMENTÁRIA'!D122</f>
        <v>14.1.5</v>
      </c>
      <c r="C460" s="1003" t="str">
        <f>'[6]PLANILHA ORÇAMENTÁRIA'!E122</f>
        <v>PINTURA ESMALTE ALTO BRILHO, DUAS DEMAOS, SOBRE SUPERFICIE METALICA</v>
      </c>
      <c r="D460" s="1003"/>
      <c r="E460" s="1003"/>
      <c r="F460" s="1003"/>
      <c r="G460" s="1003"/>
      <c r="H460" s="1003"/>
      <c r="I460" s="1003"/>
      <c r="J460" s="1003"/>
      <c r="K460" s="61" t="str">
        <f>'[6]PLANILHA ORÇAMENTÁRIA'!F122</f>
        <v>M2</v>
      </c>
      <c r="L460" s="62">
        <f>K465</f>
        <v>2.76</v>
      </c>
    </row>
    <row r="461" spans="2:12" hidden="1">
      <c r="B461" s="63"/>
      <c r="C461" s="1004" t="s">
        <v>20</v>
      </c>
      <c r="D461" s="1004"/>
      <c r="E461" s="1004"/>
      <c r="F461" s="64" t="s">
        <v>22</v>
      </c>
      <c r="G461" s="199" t="s">
        <v>111</v>
      </c>
      <c r="H461" s="64" t="s">
        <v>178</v>
      </c>
      <c r="I461" s="199" t="s">
        <v>113</v>
      </c>
      <c r="J461" s="199" t="s">
        <v>114</v>
      </c>
      <c r="K461" s="66" t="s">
        <v>25</v>
      </c>
      <c r="L461" s="67"/>
    </row>
    <row r="462" spans="2:12" hidden="1">
      <c r="B462" s="63"/>
      <c r="C462" s="1001" t="s">
        <v>176</v>
      </c>
      <c r="D462" s="1001"/>
      <c r="E462" s="1001"/>
      <c r="F462" s="68">
        <v>8</v>
      </c>
      <c r="G462" s="68"/>
      <c r="H462" s="75">
        <v>2.5000000000000001E-2</v>
      </c>
      <c r="I462" s="68">
        <v>1.2</v>
      </c>
      <c r="J462" s="68"/>
      <c r="K462" s="200">
        <f>TRUNC((2*3.14*H462*I462)*F462,2)</f>
        <v>1.5</v>
      </c>
      <c r="L462" s="67"/>
    </row>
    <row r="463" spans="2:12" hidden="1">
      <c r="B463" s="63"/>
      <c r="C463" s="1005" t="s">
        <v>177</v>
      </c>
      <c r="D463" s="1006"/>
      <c r="E463" s="1007"/>
      <c r="F463" s="68">
        <v>4</v>
      </c>
      <c r="G463" s="68"/>
      <c r="H463" s="75">
        <v>2.5000000000000001E-2</v>
      </c>
      <c r="I463" s="68">
        <v>2</v>
      </c>
      <c r="J463" s="68"/>
      <c r="K463" s="200">
        <f>TRUNC((2*3.14*H463*I463)*F463,2)</f>
        <v>1.25</v>
      </c>
      <c r="L463" s="67"/>
    </row>
    <row r="464" spans="2:12" hidden="1">
      <c r="B464" s="63"/>
      <c r="C464" s="1005" t="s">
        <v>179</v>
      </c>
      <c r="D464" s="1006"/>
      <c r="E464" s="1007"/>
      <c r="F464" s="68">
        <v>8</v>
      </c>
      <c r="G464" s="68"/>
      <c r="H464" s="75">
        <v>2.5000000000000001E-2</v>
      </c>
      <c r="I464" s="68"/>
      <c r="J464" s="68"/>
      <c r="K464" s="200">
        <f>TRUNC((3.14*H464^2)*F464,2)</f>
        <v>0.01</v>
      </c>
      <c r="L464" s="67"/>
    </row>
    <row r="465" spans="2:12" hidden="1">
      <c r="B465" s="63"/>
      <c r="C465" s="1002" t="s">
        <v>116</v>
      </c>
      <c r="D465" s="1002"/>
      <c r="E465" s="1002"/>
      <c r="F465" s="1002"/>
      <c r="G465" s="1002"/>
      <c r="H465" s="1002"/>
      <c r="I465" s="1002"/>
      <c r="J465" s="1002"/>
      <c r="K465" s="66">
        <f>SUM(K462:K464)</f>
        <v>2.76</v>
      </c>
      <c r="L465" s="67"/>
    </row>
    <row r="466" spans="2:12" hidden="1">
      <c r="B466" s="63"/>
      <c r="C466" s="71"/>
      <c r="D466" s="71"/>
      <c r="E466" s="71"/>
      <c r="F466" s="71"/>
      <c r="G466" s="71"/>
      <c r="H466" s="71"/>
      <c r="I466" s="71"/>
      <c r="J466" s="71"/>
      <c r="K466" s="73"/>
      <c r="L466" s="67"/>
    </row>
    <row r="467" spans="2:12" hidden="1">
      <c r="B467" s="58" t="str">
        <f>'[6]PLANILHA ORÇAMENTÁRIA'!D123</f>
        <v>14.2</v>
      </c>
      <c r="C467" s="1000" t="str">
        <f>'[6]PLANILHA ORÇAMENTÁRIA'!E123</f>
        <v>BARRAS MARINHEIRO</v>
      </c>
      <c r="D467" s="1000"/>
      <c r="E467" s="1000"/>
      <c r="F467" s="1000"/>
      <c r="G467" s="1000"/>
      <c r="H467" s="1000"/>
      <c r="I467" s="1000"/>
      <c r="J467" s="1000"/>
      <c r="K467" s="59"/>
      <c r="L467" s="59"/>
    </row>
    <row r="468" spans="2:12" ht="15" hidden="1" customHeight="1">
      <c r="B468" s="60" t="str">
        <f>'[6]PLANILHA ORÇAMENTÁRIA'!D124</f>
        <v>14.2.1</v>
      </c>
      <c r="C468" s="1003" t="str">
        <f>'[6]PLANILHA ORÇAMENTÁRIA'!E124</f>
        <v>ESCAVAÇÃO MANUAL DE VALA COM PROFUNDIDADE MENOR OU IGUAL A 1,30 M</v>
      </c>
      <c r="D468" s="1003"/>
      <c r="E468" s="1003"/>
      <c r="F468" s="1003"/>
      <c r="G468" s="1003"/>
      <c r="H468" s="1003"/>
      <c r="I468" s="1003"/>
      <c r="J468" s="1003"/>
      <c r="K468" s="61" t="str">
        <f>'[6]PLANILHA ORÇAMENTÁRIA'!F124</f>
        <v>M3</v>
      </c>
      <c r="L468" s="62">
        <f>K471</f>
        <v>0.14849999999999999</v>
      </c>
    </row>
    <row r="469" spans="2:12" hidden="1">
      <c r="B469" s="63"/>
      <c r="C469" s="1004" t="s">
        <v>20</v>
      </c>
      <c r="D469" s="1004"/>
      <c r="E469" s="1004"/>
      <c r="F469" s="64" t="s">
        <v>22</v>
      </c>
      <c r="G469" s="199" t="s">
        <v>111</v>
      </c>
      <c r="H469" s="64" t="s">
        <v>112</v>
      </c>
      <c r="I469" s="199" t="s">
        <v>113</v>
      </c>
      <c r="J469" s="199" t="s">
        <v>114</v>
      </c>
      <c r="K469" s="66" t="s">
        <v>25</v>
      </c>
      <c r="L469" s="67"/>
    </row>
    <row r="470" spans="2:12" hidden="1">
      <c r="B470" s="63"/>
      <c r="C470" s="1001" t="s">
        <v>174</v>
      </c>
      <c r="D470" s="1001"/>
      <c r="E470" s="1001"/>
      <c r="F470" s="68">
        <v>12</v>
      </c>
      <c r="G470" s="68">
        <v>0.55000000000000004</v>
      </c>
      <c r="H470" s="68">
        <v>0.15</v>
      </c>
      <c r="I470" s="68">
        <v>0.15</v>
      </c>
      <c r="J470" s="68"/>
      <c r="K470" s="69">
        <f>PRODUCT(F470:I470)</f>
        <v>0.14849999999999999</v>
      </c>
      <c r="L470" s="67"/>
    </row>
    <row r="471" spans="2:12" hidden="1">
      <c r="B471" s="63"/>
      <c r="C471" s="1002" t="s">
        <v>116</v>
      </c>
      <c r="D471" s="1002"/>
      <c r="E471" s="1002"/>
      <c r="F471" s="1002"/>
      <c r="G471" s="1002"/>
      <c r="H471" s="1002"/>
      <c r="I471" s="1002"/>
      <c r="J471" s="1002"/>
      <c r="K471" s="70">
        <f>SUM(K470:K470)</f>
        <v>0.14849999999999999</v>
      </c>
      <c r="L471" s="67"/>
    </row>
    <row r="472" spans="2:12" hidden="1">
      <c r="B472" s="63"/>
      <c r="C472" s="71"/>
      <c r="D472" s="71"/>
      <c r="E472" s="71"/>
      <c r="F472" s="71"/>
      <c r="G472" s="71"/>
      <c r="H472" s="71"/>
      <c r="I472" s="71"/>
      <c r="J472" s="71"/>
      <c r="K472" s="72"/>
      <c r="L472" s="67"/>
    </row>
    <row r="473" spans="2:12" ht="15" hidden="1" customHeight="1">
      <c r="B473" s="60" t="str">
        <f>'[6]PLANILHA ORÇAMENTÁRIA'!D125</f>
        <v>14.2.2</v>
      </c>
      <c r="C473" s="1003" t="str">
        <f>'[6]PLANILHA ORÇAMENTÁRIA'!E125</f>
        <v>LASTRO DE CONCRETO MAGRO, APLICADO EM PISOS OU RADIERS, ESPESSURA DE 5CM. AF_07_2016</v>
      </c>
      <c r="D473" s="1003"/>
      <c r="E473" s="1003"/>
      <c r="F473" s="1003"/>
      <c r="G473" s="1003"/>
      <c r="H473" s="1003"/>
      <c r="I473" s="1003"/>
      <c r="J473" s="1003"/>
      <c r="K473" s="61" t="str">
        <f>'[6]PLANILHA ORÇAMENTÁRIA'!F125</f>
        <v>M2</v>
      </c>
      <c r="L473" s="62">
        <f>K476</f>
        <v>0.26999999999999996</v>
      </c>
    </row>
    <row r="474" spans="2:12" hidden="1">
      <c r="B474" s="63"/>
      <c r="C474" s="1004" t="s">
        <v>20</v>
      </c>
      <c r="D474" s="1004"/>
      <c r="E474" s="1004"/>
      <c r="F474" s="64" t="s">
        <v>22</v>
      </c>
      <c r="G474" s="199" t="s">
        <v>111</v>
      </c>
      <c r="H474" s="64" t="s">
        <v>112</v>
      </c>
      <c r="I474" s="199" t="s">
        <v>113</v>
      </c>
      <c r="J474" s="199" t="s">
        <v>114</v>
      </c>
      <c r="K474" s="66" t="s">
        <v>25</v>
      </c>
      <c r="L474" s="67"/>
    </row>
    <row r="475" spans="2:12" hidden="1">
      <c r="B475" s="63"/>
      <c r="C475" s="1001"/>
      <c r="D475" s="1001"/>
      <c r="E475" s="1001"/>
      <c r="F475" s="68">
        <v>12</v>
      </c>
      <c r="G475" s="68"/>
      <c r="H475" s="68">
        <v>0.15</v>
      </c>
      <c r="I475" s="68">
        <v>0.15</v>
      </c>
      <c r="J475" s="68"/>
      <c r="K475" s="69">
        <f>PRODUCT(F475:I475)</f>
        <v>0.26999999999999996</v>
      </c>
      <c r="L475" s="67"/>
    </row>
    <row r="476" spans="2:12" hidden="1">
      <c r="B476" s="63"/>
      <c r="C476" s="1002" t="s">
        <v>116</v>
      </c>
      <c r="D476" s="1002"/>
      <c r="E476" s="1002"/>
      <c r="F476" s="1002"/>
      <c r="G476" s="1002"/>
      <c r="H476" s="1002"/>
      <c r="I476" s="1002"/>
      <c r="J476" s="1002"/>
      <c r="K476" s="70">
        <f>SUM(K475:K475)</f>
        <v>0.26999999999999996</v>
      </c>
      <c r="L476" s="67"/>
    </row>
    <row r="477" spans="2:12" hidden="1">
      <c r="B477" s="63"/>
      <c r="C477" s="71"/>
      <c r="D477" s="71"/>
      <c r="E477" s="71"/>
      <c r="F477" s="71"/>
      <c r="G477" s="71"/>
      <c r="H477" s="71"/>
      <c r="I477" s="71"/>
      <c r="J477" s="71"/>
      <c r="K477" s="72"/>
      <c r="L477" s="67"/>
    </row>
    <row r="478" spans="2:12" ht="22.5" hidden="1" customHeight="1">
      <c r="B478" s="60" t="str">
        <f>'[6]PLANILHA ORÇAMENTÁRIA'!D126</f>
        <v>14.2.3</v>
      </c>
      <c r="C478" s="1003" t="str">
        <f>'[6]PLANILHA ORÇAMENTÁRIA'!E126</f>
        <v>CONCRETAGEM DE BLOCOS DE COROAMENTO E VIGAS BALDRAMES, FCK 30 MPA, COM USO DE BOMBA LANÇAMENTO, ADENSAMENTO E ACABAMENTO. AF_06/2017</v>
      </c>
      <c r="D478" s="1003"/>
      <c r="E478" s="1003"/>
      <c r="F478" s="1003"/>
      <c r="G478" s="1003"/>
      <c r="H478" s="1003"/>
      <c r="I478" s="1003"/>
      <c r="J478" s="1003"/>
      <c r="K478" s="61" t="str">
        <f>'[6]PLANILHA ORÇAMENTÁRIA'!F126</f>
        <v>M3</v>
      </c>
      <c r="L478" s="62">
        <f>K481</f>
        <v>0.1</v>
      </c>
    </row>
    <row r="479" spans="2:12" hidden="1">
      <c r="B479" s="63"/>
      <c r="C479" s="1004" t="s">
        <v>20</v>
      </c>
      <c r="D479" s="1004"/>
      <c r="E479" s="1004"/>
      <c r="F479" s="64" t="s">
        <v>22</v>
      </c>
      <c r="G479" s="199" t="s">
        <v>111</v>
      </c>
      <c r="H479" s="64" t="s">
        <v>112</v>
      </c>
      <c r="I479" s="199" t="s">
        <v>113</v>
      </c>
      <c r="J479" s="199" t="s">
        <v>114</v>
      </c>
      <c r="K479" s="66" t="s">
        <v>25</v>
      </c>
      <c r="L479" s="67"/>
    </row>
    <row r="480" spans="2:12" hidden="1">
      <c r="B480" s="63"/>
      <c r="C480" s="1001" t="s">
        <v>175</v>
      </c>
      <c r="D480" s="1001"/>
      <c r="E480" s="1001"/>
      <c r="F480" s="68">
        <v>12</v>
      </c>
      <c r="G480" s="68">
        <v>0.4</v>
      </c>
      <c r="H480" s="68">
        <v>0.15</v>
      </c>
      <c r="I480" s="68">
        <v>0.15</v>
      </c>
      <c r="J480" s="68"/>
      <c r="K480" s="200">
        <f>TRUNC(G480*H480*F480*I480,2)</f>
        <v>0.1</v>
      </c>
      <c r="L480" s="67"/>
    </row>
    <row r="481" spans="2:12" hidden="1">
      <c r="B481" s="63"/>
      <c r="C481" s="1002" t="s">
        <v>116</v>
      </c>
      <c r="D481" s="1002"/>
      <c r="E481" s="1002"/>
      <c r="F481" s="1002"/>
      <c r="G481" s="1002"/>
      <c r="H481" s="1002"/>
      <c r="I481" s="1002"/>
      <c r="J481" s="1002"/>
      <c r="K481" s="66">
        <f>SUM(K480:K480)</f>
        <v>0.1</v>
      </c>
      <c r="L481" s="67"/>
    </row>
    <row r="482" spans="2:12" hidden="1"/>
    <row r="483" spans="2:12" ht="15" hidden="1" customHeight="1">
      <c r="B483" s="60" t="str">
        <f>'[6]PLANILHA ORÇAMENTÁRIA'!D127</f>
        <v>14.2.4</v>
      </c>
      <c r="C483" s="1003" t="str">
        <f>'[6]PLANILHA ORÇAMENTÁRIA'!E127</f>
        <v>TUBO DE AÇO GALVANIZADO COM COSTURA 2" - FORNECIMENTO E INSTALACAO. - M</v>
      </c>
      <c r="D483" s="1003"/>
      <c r="E483" s="1003"/>
      <c r="F483" s="1003"/>
      <c r="G483" s="1003"/>
      <c r="H483" s="1003"/>
      <c r="I483" s="1003"/>
      <c r="J483" s="1003"/>
      <c r="K483" s="61" t="str">
        <f>'[6]PLANILHA ORÇAMENTÁRIA'!F127</f>
        <v>M</v>
      </c>
      <c r="L483" s="62">
        <f>K488</f>
        <v>19.100000000000001</v>
      </c>
    </row>
    <row r="484" spans="2:12" hidden="1">
      <c r="B484" s="63"/>
      <c r="C484" s="1004" t="s">
        <v>20</v>
      </c>
      <c r="D484" s="1004"/>
      <c r="E484" s="1004"/>
      <c r="F484" s="64" t="s">
        <v>22</v>
      </c>
      <c r="G484" s="199" t="s">
        <v>111</v>
      </c>
      <c r="H484" s="64" t="s">
        <v>112</v>
      </c>
      <c r="I484" s="199" t="s">
        <v>113</v>
      </c>
      <c r="J484" s="199" t="s">
        <v>114</v>
      </c>
      <c r="K484" s="66" t="s">
        <v>25</v>
      </c>
      <c r="L484" s="67"/>
    </row>
    <row r="485" spans="2:12" hidden="1">
      <c r="B485" s="63"/>
      <c r="C485" s="1001" t="s">
        <v>180</v>
      </c>
      <c r="D485" s="1001"/>
      <c r="E485" s="1001"/>
      <c r="F485" s="68">
        <v>2</v>
      </c>
      <c r="G485" s="68"/>
      <c r="H485" s="68"/>
      <c r="I485" s="68">
        <v>3.56</v>
      </c>
      <c r="J485" s="68"/>
      <c r="K485" s="200">
        <f>F485*I485</f>
        <v>7.12</v>
      </c>
      <c r="L485" s="67"/>
    </row>
    <row r="486" spans="2:12" hidden="1">
      <c r="B486" s="63"/>
      <c r="C486" s="1005" t="s">
        <v>181</v>
      </c>
      <c r="D486" s="1006"/>
      <c r="E486" s="1007"/>
      <c r="F486" s="68">
        <v>2</v>
      </c>
      <c r="G486" s="68"/>
      <c r="H486" s="68"/>
      <c r="I486" s="68">
        <v>3.16</v>
      </c>
      <c r="J486" s="68"/>
      <c r="K486" s="200">
        <f>F486*I486</f>
        <v>6.32</v>
      </c>
      <c r="L486" s="67"/>
    </row>
    <row r="487" spans="2:12" hidden="1">
      <c r="B487" s="63"/>
      <c r="C487" s="1005" t="s">
        <v>182</v>
      </c>
      <c r="D487" s="1006"/>
      <c r="E487" s="1007"/>
      <c r="F487" s="68">
        <v>2</v>
      </c>
      <c r="G487" s="68"/>
      <c r="H487" s="68"/>
      <c r="I487" s="68">
        <v>2.83</v>
      </c>
      <c r="J487" s="68"/>
      <c r="K487" s="200">
        <f>F487*I487</f>
        <v>5.66</v>
      </c>
      <c r="L487" s="67"/>
    </row>
    <row r="488" spans="2:12" hidden="1">
      <c r="B488" s="63"/>
      <c r="C488" s="1002" t="s">
        <v>116</v>
      </c>
      <c r="D488" s="1002"/>
      <c r="E488" s="1002"/>
      <c r="F488" s="1002"/>
      <c r="G488" s="1002"/>
      <c r="H488" s="1002"/>
      <c r="I488" s="1002"/>
      <c r="J488" s="1002"/>
      <c r="K488" s="66">
        <f>SUM(K485:K487)</f>
        <v>19.100000000000001</v>
      </c>
      <c r="L488" s="67"/>
    </row>
    <row r="489" spans="2:12" hidden="1">
      <c r="B489" s="63"/>
      <c r="C489" s="71"/>
      <c r="D489" s="71"/>
      <c r="E489" s="71"/>
      <c r="F489" s="71"/>
      <c r="G489" s="71"/>
      <c r="H489" s="71"/>
      <c r="I489" s="71"/>
      <c r="J489" s="71"/>
      <c r="K489" s="73"/>
      <c r="L489" s="67"/>
    </row>
    <row r="490" spans="2:12" ht="15" hidden="1" customHeight="1">
      <c r="B490" s="60" t="str">
        <f>'[6]PLANILHA ORÇAMENTÁRIA'!D128</f>
        <v>14.2.5</v>
      </c>
      <c r="C490" s="1003" t="str">
        <f>'[6]PLANILHA ORÇAMENTÁRIA'!E128</f>
        <v>PINTURA ESMALTE ALTO BRILHO, DUAS DEMAOS, SOBRE SUPERFICIE METALICA</v>
      </c>
      <c r="D490" s="1003"/>
      <c r="E490" s="1003"/>
      <c r="F490" s="1003"/>
      <c r="G490" s="1003"/>
      <c r="H490" s="1003"/>
      <c r="I490" s="1003"/>
      <c r="J490" s="1003"/>
      <c r="K490" s="61" t="str">
        <f>'[6]PLANILHA ORÇAMENTÁRIA'!F128</f>
        <v>M2</v>
      </c>
      <c r="L490" s="62">
        <f>K495</f>
        <v>2.13</v>
      </c>
    </row>
    <row r="491" spans="2:12" hidden="1">
      <c r="B491" s="63"/>
      <c r="C491" s="1004" t="s">
        <v>20</v>
      </c>
      <c r="D491" s="1004"/>
      <c r="E491" s="1004"/>
      <c r="F491" s="64" t="s">
        <v>22</v>
      </c>
      <c r="G491" s="199" t="s">
        <v>111</v>
      </c>
      <c r="H491" s="64" t="s">
        <v>178</v>
      </c>
      <c r="I491" s="199" t="s">
        <v>113</v>
      </c>
      <c r="J491" s="199" t="s">
        <v>114</v>
      </c>
      <c r="K491" s="66" t="s">
        <v>25</v>
      </c>
      <c r="L491" s="67"/>
    </row>
    <row r="492" spans="2:12" hidden="1">
      <c r="B492" s="63"/>
      <c r="C492" s="1001" t="s">
        <v>180</v>
      </c>
      <c r="D492" s="1001"/>
      <c r="E492" s="1001"/>
      <c r="F492" s="68">
        <v>2</v>
      </c>
      <c r="G492" s="68"/>
      <c r="H492" s="75">
        <v>2.5000000000000001E-2</v>
      </c>
      <c r="I492" s="68">
        <f>I485-0.9</f>
        <v>2.66</v>
      </c>
      <c r="J492" s="68"/>
      <c r="K492" s="200">
        <f>TRUNC((2*3.14*H492*I492)*F492,2)</f>
        <v>0.83</v>
      </c>
      <c r="L492" s="67"/>
    </row>
    <row r="493" spans="2:12" hidden="1">
      <c r="B493" s="63"/>
      <c r="C493" s="1005" t="s">
        <v>181</v>
      </c>
      <c r="D493" s="1006"/>
      <c r="E493" s="1007"/>
      <c r="F493" s="68">
        <v>2</v>
      </c>
      <c r="G493" s="68"/>
      <c r="H493" s="75">
        <v>2.5000000000000001E-2</v>
      </c>
      <c r="I493" s="68">
        <f>I486-0.9</f>
        <v>2.2600000000000002</v>
      </c>
      <c r="J493" s="68"/>
      <c r="K493" s="200">
        <f>TRUNC((2*3.14*H493*I493)*F493,2)</f>
        <v>0.7</v>
      </c>
      <c r="L493" s="67"/>
    </row>
    <row r="494" spans="2:12" hidden="1">
      <c r="B494" s="63"/>
      <c r="C494" s="1005" t="s">
        <v>182</v>
      </c>
      <c r="D494" s="1006"/>
      <c r="E494" s="1007"/>
      <c r="F494" s="68">
        <v>2</v>
      </c>
      <c r="G494" s="68"/>
      <c r="H494" s="75">
        <v>2.5000000000000001E-2</v>
      </c>
      <c r="I494" s="68">
        <f>I487-0.9</f>
        <v>1.9300000000000002</v>
      </c>
      <c r="J494" s="68"/>
      <c r="K494" s="200">
        <f>TRUNC((2*3.14*H494*I494)*F494,2)</f>
        <v>0.6</v>
      </c>
      <c r="L494" s="67"/>
    </row>
    <row r="495" spans="2:12" hidden="1">
      <c r="B495" s="63"/>
      <c r="C495" s="1002" t="s">
        <v>116</v>
      </c>
      <c r="D495" s="1002"/>
      <c r="E495" s="1002"/>
      <c r="F495" s="1002"/>
      <c r="G495" s="1002"/>
      <c r="H495" s="1002"/>
      <c r="I495" s="1002"/>
      <c r="J495" s="1002"/>
      <c r="K495" s="66">
        <f>SUM(K492:K494)</f>
        <v>2.13</v>
      </c>
      <c r="L495" s="67"/>
    </row>
    <row r="496" spans="2:12" hidden="1"/>
    <row r="497" spans="2:12" hidden="1">
      <c r="B497" s="58" t="str">
        <f>'[6]PLANILHA ORÇAMENTÁRIA'!D129</f>
        <v>14.3</v>
      </c>
      <c r="C497" s="1000" t="str">
        <f>'[6]PLANILHA ORÇAMENTÁRIA'!E129</f>
        <v>BARRA HORIZONTAL TRIPLA</v>
      </c>
      <c r="D497" s="1000"/>
      <c r="E497" s="1000"/>
      <c r="F497" s="1000"/>
      <c r="G497" s="1000"/>
      <c r="H497" s="1000"/>
      <c r="I497" s="1000"/>
      <c r="J497" s="1000"/>
      <c r="K497" s="59"/>
      <c r="L497" s="59"/>
    </row>
    <row r="498" spans="2:12" ht="15" hidden="1" customHeight="1">
      <c r="B498" s="60" t="str">
        <f>'[6]PLANILHA ORÇAMENTÁRIA'!D130</f>
        <v>14.3.1</v>
      </c>
      <c r="C498" s="1003" t="str">
        <f>'[6]PLANILHA ORÇAMENTÁRIA'!E130</f>
        <v>ESCAVAÇÃO MANUAL DE VALA COM PROFUNDIDADE MENOR OU IGUAL A 1,30 M</v>
      </c>
      <c r="D498" s="1003"/>
      <c r="E498" s="1003"/>
      <c r="F498" s="1003"/>
      <c r="G498" s="1003"/>
      <c r="H498" s="1003"/>
      <c r="I498" s="1003"/>
      <c r="J498" s="1003"/>
      <c r="K498" s="61" t="str">
        <f>'[6]PLANILHA ORÇAMENTÁRIA'!F130</f>
        <v>M3</v>
      </c>
      <c r="L498" s="62">
        <f>K503</f>
        <v>7.5374999999999998E-2</v>
      </c>
    </row>
    <row r="499" spans="2:12" hidden="1">
      <c r="B499" s="63"/>
      <c r="C499" s="1004" t="s">
        <v>20</v>
      </c>
      <c r="D499" s="1004"/>
      <c r="E499" s="1004"/>
      <c r="F499" s="64" t="s">
        <v>22</v>
      </c>
      <c r="G499" s="199" t="s">
        <v>111</v>
      </c>
      <c r="H499" s="64" t="s">
        <v>112</v>
      </c>
      <c r="I499" s="199" t="s">
        <v>113</v>
      </c>
      <c r="J499" s="199" t="s">
        <v>114</v>
      </c>
      <c r="K499" s="66" t="s">
        <v>25</v>
      </c>
      <c r="L499" s="67"/>
    </row>
    <row r="500" spans="2:12" hidden="1">
      <c r="B500" s="63"/>
      <c r="C500" s="1001" t="s">
        <v>183</v>
      </c>
      <c r="D500" s="1001"/>
      <c r="E500" s="1001"/>
      <c r="F500" s="68">
        <v>2</v>
      </c>
      <c r="G500" s="68">
        <v>0.9</v>
      </c>
      <c r="H500" s="68">
        <v>0.15</v>
      </c>
      <c r="I500" s="68">
        <v>0.15</v>
      </c>
      <c r="J500" s="68"/>
      <c r="K500" s="69">
        <f>PRODUCT(F500:I500)</f>
        <v>4.0500000000000001E-2</v>
      </c>
      <c r="L500" s="67"/>
    </row>
    <row r="501" spans="2:12" hidden="1">
      <c r="B501" s="63"/>
      <c r="C501" s="1001" t="s">
        <v>184</v>
      </c>
      <c r="D501" s="1001"/>
      <c r="E501" s="1001"/>
      <c r="F501" s="68">
        <v>1</v>
      </c>
      <c r="G501" s="68">
        <v>0.8</v>
      </c>
      <c r="H501" s="68">
        <v>0.15</v>
      </c>
      <c r="I501" s="68">
        <v>0.15</v>
      </c>
      <c r="J501" s="68"/>
      <c r="K501" s="69">
        <f>PRODUCT(F501:I501)</f>
        <v>1.7999999999999999E-2</v>
      </c>
      <c r="L501" s="67"/>
    </row>
    <row r="502" spans="2:12" hidden="1">
      <c r="B502" s="63"/>
      <c r="C502" s="1001" t="s">
        <v>185</v>
      </c>
      <c r="D502" s="1001"/>
      <c r="E502" s="1001"/>
      <c r="F502" s="68">
        <v>1</v>
      </c>
      <c r="G502" s="68">
        <v>0.75</v>
      </c>
      <c r="H502" s="68">
        <v>0.15</v>
      </c>
      <c r="I502" s="68">
        <v>0.15</v>
      </c>
      <c r="J502" s="68"/>
      <c r="K502" s="69">
        <f>PRODUCT(F502:I502)</f>
        <v>1.6874999999999998E-2</v>
      </c>
      <c r="L502" s="67"/>
    </row>
    <row r="503" spans="2:12" hidden="1">
      <c r="B503" s="63"/>
      <c r="C503" s="1002" t="s">
        <v>116</v>
      </c>
      <c r="D503" s="1002"/>
      <c r="E503" s="1002"/>
      <c r="F503" s="1002"/>
      <c r="G503" s="1002"/>
      <c r="H503" s="1002"/>
      <c r="I503" s="1002"/>
      <c r="J503" s="1002"/>
      <c r="K503" s="70">
        <f>SUM(K500:K502)</f>
        <v>7.5374999999999998E-2</v>
      </c>
      <c r="L503" s="67"/>
    </row>
    <row r="504" spans="2:12" hidden="1">
      <c r="B504" s="63"/>
      <c r="C504" s="71"/>
      <c r="D504" s="71"/>
      <c r="E504" s="71"/>
      <c r="F504" s="71"/>
      <c r="G504" s="71"/>
      <c r="H504" s="71"/>
      <c r="I504" s="71"/>
      <c r="J504" s="71"/>
      <c r="K504" s="72"/>
      <c r="L504" s="67"/>
    </row>
    <row r="505" spans="2:12" ht="15" hidden="1" customHeight="1">
      <c r="B505" s="60" t="str">
        <f>'[6]PLANILHA ORÇAMENTÁRIA'!D131</f>
        <v>14.3.2</v>
      </c>
      <c r="C505" s="1003" t="str">
        <f>'[6]PLANILHA ORÇAMENTÁRIA'!E131</f>
        <v>LASTRO DE CONCRETO MAGRO, APLICADO EM PISOS OU RADIERS, ESPESSURA DE 5CM. AF_07_2016</v>
      </c>
      <c r="D505" s="1003"/>
      <c r="E505" s="1003"/>
      <c r="F505" s="1003"/>
      <c r="G505" s="1003"/>
      <c r="H505" s="1003"/>
      <c r="I505" s="1003"/>
      <c r="J505" s="1003"/>
      <c r="K505" s="61" t="str">
        <f>'[6]PLANILHA ORÇAMENTÁRIA'!F131</f>
        <v>M2</v>
      </c>
      <c r="L505" s="62">
        <f>K508</f>
        <v>0.09</v>
      </c>
    </row>
    <row r="506" spans="2:12" hidden="1">
      <c r="B506" s="63"/>
      <c r="C506" s="1004" t="s">
        <v>20</v>
      </c>
      <c r="D506" s="1004"/>
      <c r="E506" s="1004"/>
      <c r="F506" s="64" t="s">
        <v>22</v>
      </c>
      <c r="G506" s="199" t="s">
        <v>111</v>
      </c>
      <c r="H506" s="64" t="s">
        <v>112</v>
      </c>
      <c r="I506" s="199" t="s">
        <v>113</v>
      </c>
      <c r="J506" s="199" t="s">
        <v>114</v>
      </c>
      <c r="K506" s="66" t="s">
        <v>25</v>
      </c>
      <c r="L506" s="67"/>
    </row>
    <row r="507" spans="2:12" hidden="1">
      <c r="B507" s="63"/>
      <c r="C507" s="1001"/>
      <c r="D507" s="1001"/>
      <c r="E507" s="1001"/>
      <c r="F507" s="68">
        <v>4</v>
      </c>
      <c r="G507" s="68"/>
      <c r="H507" s="68">
        <v>0.15</v>
      </c>
      <c r="I507" s="68">
        <v>0.15</v>
      </c>
      <c r="J507" s="68"/>
      <c r="K507" s="69">
        <f>PRODUCT(F507:I507)</f>
        <v>0.09</v>
      </c>
      <c r="L507" s="67"/>
    </row>
    <row r="508" spans="2:12" hidden="1">
      <c r="B508" s="63"/>
      <c r="C508" s="1002" t="s">
        <v>116</v>
      </c>
      <c r="D508" s="1002"/>
      <c r="E508" s="1002"/>
      <c r="F508" s="1002"/>
      <c r="G508" s="1002"/>
      <c r="H508" s="1002"/>
      <c r="I508" s="1002"/>
      <c r="J508" s="1002"/>
      <c r="K508" s="70">
        <f>SUM(K507:K507)</f>
        <v>0.09</v>
      </c>
      <c r="L508" s="67"/>
    </row>
    <row r="509" spans="2:12" hidden="1">
      <c r="B509" s="63"/>
      <c r="C509" s="71"/>
      <c r="D509" s="71"/>
      <c r="E509" s="71"/>
      <c r="F509" s="71"/>
      <c r="G509" s="71"/>
      <c r="H509" s="71"/>
      <c r="I509" s="71"/>
      <c r="J509" s="71"/>
      <c r="K509" s="72"/>
      <c r="L509" s="67"/>
    </row>
    <row r="510" spans="2:12" ht="27" hidden="1" customHeight="1">
      <c r="B510" s="60" t="str">
        <f>'[6]PLANILHA ORÇAMENTÁRIA'!D132</f>
        <v>14.3.3</v>
      </c>
      <c r="C510" s="1003" t="str">
        <f>'[6]PLANILHA ORÇAMENTÁRIA'!E132</f>
        <v>CONCRETAGEM DE BLOCOS DE COROAMENTO E VIGAS BALDRAMES, FCK 30 MPA, COM USO DE BOMBA LANÇAMENTO, ADENSAMENTO E ACABAMENTO. AF_06/2017</v>
      </c>
      <c r="D510" s="1003"/>
      <c r="E510" s="1003"/>
      <c r="F510" s="1003"/>
      <c r="G510" s="1003"/>
      <c r="H510" s="1003"/>
      <c r="I510" s="1003"/>
      <c r="J510" s="1003"/>
      <c r="K510" s="61" t="str">
        <f>'[6]PLANILHA ORÇAMENTÁRIA'!F132</f>
        <v>M3</v>
      </c>
      <c r="L510" s="62">
        <f>K515</f>
        <v>0.05</v>
      </c>
    </row>
    <row r="511" spans="2:12" hidden="1">
      <c r="B511" s="63"/>
      <c r="C511" s="1004" t="s">
        <v>20</v>
      </c>
      <c r="D511" s="1004"/>
      <c r="E511" s="1004"/>
      <c r="F511" s="64" t="s">
        <v>22</v>
      </c>
      <c r="G511" s="199" t="s">
        <v>111</v>
      </c>
      <c r="H511" s="64" t="s">
        <v>112</v>
      </c>
      <c r="I511" s="199" t="s">
        <v>113</v>
      </c>
      <c r="J511" s="199" t="s">
        <v>114</v>
      </c>
      <c r="K511" s="66" t="s">
        <v>25</v>
      </c>
      <c r="L511" s="67"/>
    </row>
    <row r="512" spans="2:12" hidden="1">
      <c r="B512" s="63"/>
      <c r="C512" s="1001" t="s">
        <v>186</v>
      </c>
      <c r="D512" s="1001"/>
      <c r="E512" s="1001"/>
      <c r="F512" s="68">
        <v>2</v>
      </c>
      <c r="G512" s="68">
        <v>0.75</v>
      </c>
      <c r="H512" s="68">
        <v>0.15</v>
      </c>
      <c r="I512" s="68">
        <v>0.15</v>
      </c>
      <c r="J512" s="68"/>
      <c r="K512" s="200">
        <f>TRUNC(G512*H512*F512*I512,2)</f>
        <v>0.03</v>
      </c>
      <c r="L512" s="67"/>
    </row>
    <row r="513" spans="2:12" hidden="1">
      <c r="B513" s="63"/>
      <c r="C513" s="1001" t="s">
        <v>187</v>
      </c>
      <c r="D513" s="1001"/>
      <c r="E513" s="1001"/>
      <c r="F513" s="68">
        <v>1</v>
      </c>
      <c r="G513" s="68">
        <v>0.65</v>
      </c>
      <c r="H513" s="68">
        <v>0.15</v>
      </c>
      <c r="I513" s="68">
        <v>0.15</v>
      </c>
      <c r="J513" s="68"/>
      <c r="K513" s="200">
        <f>TRUNC(G513*H513*F513*I513,2)</f>
        <v>0.01</v>
      </c>
      <c r="L513" s="67"/>
    </row>
    <row r="514" spans="2:12" hidden="1">
      <c r="B514" s="63"/>
      <c r="C514" s="1001" t="s">
        <v>188</v>
      </c>
      <c r="D514" s="1001"/>
      <c r="E514" s="1001"/>
      <c r="F514" s="68">
        <v>1</v>
      </c>
      <c r="G514" s="68">
        <v>0.6</v>
      </c>
      <c r="H514" s="68">
        <v>0.15</v>
      </c>
      <c r="I514" s="68">
        <v>0.15</v>
      </c>
      <c r="J514" s="68"/>
      <c r="K514" s="200">
        <f>TRUNC(G514*H514*F514*I514,2)</f>
        <v>0.01</v>
      </c>
      <c r="L514" s="67"/>
    </row>
    <row r="515" spans="2:12" hidden="1">
      <c r="B515" s="63"/>
      <c r="C515" s="1002" t="s">
        <v>116</v>
      </c>
      <c r="D515" s="1002"/>
      <c r="E515" s="1002"/>
      <c r="F515" s="1002"/>
      <c r="G515" s="1002"/>
      <c r="H515" s="1002"/>
      <c r="I515" s="1002"/>
      <c r="J515" s="1002"/>
      <c r="K515" s="66">
        <f>SUM(K512:K514)</f>
        <v>0.05</v>
      </c>
      <c r="L515" s="67"/>
    </row>
    <row r="516" spans="2:12" hidden="1"/>
    <row r="517" spans="2:12" ht="15" hidden="1" customHeight="1">
      <c r="B517" s="60" t="str">
        <f>'[6]PLANILHA ORÇAMENTÁRIA'!D133</f>
        <v>14.3.4</v>
      </c>
      <c r="C517" s="1003" t="str">
        <f>'[6]PLANILHA ORÇAMENTÁRIA'!E133</f>
        <v>TUBO DE AÇO GALVANIZADO COM COSTURA 2" - FORNECIMENTO E INSTALACAO. - M</v>
      </c>
      <c r="D517" s="1003"/>
      <c r="E517" s="1003"/>
      <c r="F517" s="1003"/>
      <c r="G517" s="1003"/>
      <c r="H517" s="1003"/>
      <c r="I517" s="1003"/>
      <c r="J517" s="1003"/>
      <c r="K517" s="61" t="str">
        <f>'[6]PLANILHA ORÇAMENTÁRIA'!F133</f>
        <v>M</v>
      </c>
      <c r="L517" s="62">
        <f>K521</f>
        <v>13.2</v>
      </c>
    </row>
    <row r="518" spans="2:12" hidden="1">
      <c r="B518" s="63"/>
      <c r="C518" s="1004" t="s">
        <v>20</v>
      </c>
      <c r="D518" s="1004"/>
      <c r="E518" s="1004"/>
      <c r="F518" s="64" t="s">
        <v>22</v>
      </c>
      <c r="G518" s="199" t="s">
        <v>111</v>
      </c>
      <c r="H518" s="64" t="s">
        <v>112</v>
      </c>
      <c r="I518" s="199" t="s">
        <v>113</v>
      </c>
      <c r="J518" s="199" t="s">
        <v>114</v>
      </c>
      <c r="K518" s="66" t="s">
        <v>25</v>
      </c>
      <c r="L518" s="67"/>
    </row>
    <row r="519" spans="2:12" hidden="1">
      <c r="B519" s="63"/>
      <c r="C519" s="1001" t="s">
        <v>189</v>
      </c>
      <c r="D519" s="1001"/>
      <c r="E519" s="1001"/>
      <c r="F519" s="68">
        <v>1</v>
      </c>
      <c r="G519" s="68"/>
      <c r="H519" s="68"/>
      <c r="I519" s="68">
        <v>10.199999999999999</v>
      </c>
      <c r="J519" s="68"/>
      <c r="K519" s="200">
        <f>F519*I519</f>
        <v>10.199999999999999</v>
      </c>
      <c r="L519" s="67"/>
    </row>
    <row r="520" spans="2:12" hidden="1">
      <c r="B520" s="63"/>
      <c r="C520" s="1005" t="s">
        <v>190</v>
      </c>
      <c r="D520" s="1006"/>
      <c r="E520" s="1007"/>
      <c r="F520" s="68">
        <v>3</v>
      </c>
      <c r="G520" s="68"/>
      <c r="H520" s="68"/>
      <c r="I520" s="68">
        <v>1</v>
      </c>
      <c r="J520" s="68"/>
      <c r="K520" s="200">
        <f>F520*I520</f>
        <v>3</v>
      </c>
      <c r="L520" s="67"/>
    </row>
    <row r="521" spans="2:12" hidden="1">
      <c r="B521" s="63"/>
      <c r="C521" s="1002" t="s">
        <v>116</v>
      </c>
      <c r="D521" s="1002"/>
      <c r="E521" s="1002"/>
      <c r="F521" s="1002"/>
      <c r="G521" s="1002"/>
      <c r="H521" s="1002"/>
      <c r="I521" s="1002"/>
      <c r="J521" s="1002"/>
      <c r="K521" s="66">
        <f>SUM(K519:K520)</f>
        <v>13.2</v>
      </c>
      <c r="L521" s="67"/>
    </row>
    <row r="522" spans="2:12" hidden="1">
      <c r="B522" s="63"/>
      <c r="C522" s="71"/>
      <c r="D522" s="71"/>
      <c r="E522" s="71"/>
      <c r="F522" s="71"/>
      <c r="G522" s="71"/>
      <c r="H522" s="71"/>
      <c r="I522" s="71"/>
      <c r="J522" s="71"/>
      <c r="K522" s="73"/>
      <c r="L522" s="67"/>
    </row>
    <row r="523" spans="2:12" ht="15" hidden="1" customHeight="1">
      <c r="B523" s="60" t="str">
        <f>'[6]PLANILHA ORÇAMENTÁRIA'!D134</f>
        <v>14.3.5</v>
      </c>
      <c r="C523" s="1003" t="str">
        <f>'[6]PLANILHA ORÇAMENTÁRIA'!E134</f>
        <v>PINTURA ESMALTE ALTO BRILHO, DUAS DEMAOS, SOBRE SUPERFICIE METALICA</v>
      </c>
      <c r="D523" s="1003"/>
      <c r="E523" s="1003"/>
      <c r="F523" s="1003"/>
      <c r="G523" s="1003"/>
      <c r="H523" s="1003"/>
      <c r="I523" s="1003"/>
      <c r="J523" s="1003"/>
      <c r="K523" s="61" t="str">
        <f>'[6]PLANILHA ORÇAMENTÁRIA'!F134</f>
        <v>M2</v>
      </c>
      <c r="L523" s="62">
        <f>K527</f>
        <v>1.63</v>
      </c>
    </row>
    <row r="524" spans="2:12" hidden="1">
      <c r="B524" s="63"/>
      <c r="C524" s="1004" t="s">
        <v>20</v>
      </c>
      <c r="D524" s="1004"/>
      <c r="E524" s="1004"/>
      <c r="F524" s="64" t="s">
        <v>22</v>
      </c>
      <c r="G524" s="199" t="s">
        <v>111</v>
      </c>
      <c r="H524" s="64" t="s">
        <v>178</v>
      </c>
      <c r="I524" s="199" t="s">
        <v>113</v>
      </c>
      <c r="J524" s="199" t="s">
        <v>114</v>
      </c>
      <c r="K524" s="66" t="s">
        <v>25</v>
      </c>
      <c r="L524" s="67"/>
    </row>
    <row r="525" spans="2:12" hidden="1">
      <c r="B525" s="63"/>
      <c r="C525" s="1001" t="s">
        <v>189</v>
      </c>
      <c r="D525" s="1001"/>
      <c r="E525" s="1001"/>
      <c r="F525" s="68">
        <v>1</v>
      </c>
      <c r="G525" s="68"/>
      <c r="H525" s="75">
        <v>2.5000000000000001E-2</v>
      </c>
      <c r="I525" s="68">
        <v>7.45</v>
      </c>
      <c r="J525" s="68"/>
      <c r="K525" s="200">
        <f>TRUNC((2*3.14*H525*I525)*F525,2)</f>
        <v>1.1599999999999999</v>
      </c>
      <c r="L525" s="67"/>
    </row>
    <row r="526" spans="2:12" hidden="1">
      <c r="B526" s="63"/>
      <c r="C526" s="1005" t="s">
        <v>190</v>
      </c>
      <c r="D526" s="1006"/>
      <c r="E526" s="1007"/>
      <c r="F526" s="68">
        <v>3</v>
      </c>
      <c r="G526" s="68"/>
      <c r="H526" s="75">
        <v>2.5000000000000001E-2</v>
      </c>
      <c r="I526" s="68">
        <v>1</v>
      </c>
      <c r="J526" s="68"/>
      <c r="K526" s="200">
        <f>TRUNC((2*3.14*H526*I526)*F526,2)</f>
        <v>0.47</v>
      </c>
      <c r="L526" s="67"/>
    </row>
    <row r="527" spans="2:12" hidden="1">
      <c r="B527" s="63"/>
      <c r="C527" s="1002" t="s">
        <v>116</v>
      </c>
      <c r="D527" s="1002"/>
      <c r="E527" s="1002"/>
      <c r="F527" s="1002"/>
      <c r="G527" s="1002"/>
      <c r="H527" s="1002"/>
      <c r="I527" s="1002"/>
      <c r="J527" s="1002"/>
      <c r="K527" s="66">
        <f>SUM(K525:K526)</f>
        <v>1.63</v>
      </c>
      <c r="L527" s="67"/>
    </row>
    <row r="528" spans="2:12" hidden="1"/>
    <row r="529" spans="2:12" hidden="1">
      <c r="B529" s="58" t="str">
        <f>'[6]PLANILHA ORÇAMENTÁRIA'!D135</f>
        <v>14.4</v>
      </c>
      <c r="C529" s="1000" t="str">
        <f>'[6]PLANILHA ORÇAMENTÁRIA'!E135</f>
        <v>ESPALDAR SIMPLES</v>
      </c>
      <c r="D529" s="1000"/>
      <c r="E529" s="1000"/>
      <c r="F529" s="1000"/>
      <c r="G529" s="1000"/>
      <c r="H529" s="1000"/>
      <c r="I529" s="1000"/>
      <c r="J529" s="1000"/>
      <c r="K529" s="59"/>
      <c r="L529" s="59"/>
    </row>
    <row r="530" spans="2:12" ht="15" hidden="1" customHeight="1">
      <c r="B530" s="60" t="str">
        <f>'[6]PLANILHA ORÇAMENTÁRIA'!D136</f>
        <v>14.4.1</v>
      </c>
      <c r="C530" s="1003" t="str">
        <f>'[6]PLANILHA ORÇAMENTÁRIA'!E136</f>
        <v>ESCAVAÇÃO MANUAL DE VALA COM PROFUNDIDADE MENOR OU IGUAL A 1,30 M</v>
      </c>
      <c r="D530" s="1003"/>
      <c r="E530" s="1003"/>
      <c r="F530" s="1003"/>
      <c r="G530" s="1003"/>
      <c r="H530" s="1003"/>
      <c r="I530" s="1003"/>
      <c r="J530" s="1003"/>
      <c r="K530" s="61" t="str">
        <f>'[6]PLANILHA ORÇAMENTÁRIA'!F136</f>
        <v>M3</v>
      </c>
      <c r="L530" s="62">
        <f>K533</f>
        <v>3.5999999999999997E-2</v>
      </c>
    </row>
    <row r="531" spans="2:12" hidden="1">
      <c r="B531" s="63"/>
      <c r="C531" s="1004" t="s">
        <v>20</v>
      </c>
      <c r="D531" s="1004"/>
      <c r="E531" s="1004"/>
      <c r="F531" s="64" t="s">
        <v>22</v>
      </c>
      <c r="G531" s="199" t="s">
        <v>111</v>
      </c>
      <c r="H531" s="64" t="s">
        <v>112</v>
      </c>
      <c r="I531" s="199" t="s">
        <v>113</v>
      </c>
      <c r="J531" s="199" t="s">
        <v>114</v>
      </c>
      <c r="K531" s="66" t="s">
        <v>25</v>
      </c>
      <c r="L531" s="67"/>
    </row>
    <row r="532" spans="2:12" hidden="1">
      <c r="B532" s="63"/>
      <c r="C532" s="1001" t="s">
        <v>174</v>
      </c>
      <c r="D532" s="1001"/>
      <c r="E532" s="1001"/>
      <c r="F532" s="68">
        <v>2</v>
      </c>
      <c r="G532" s="68">
        <v>0.8</v>
      </c>
      <c r="H532" s="68">
        <v>0.15</v>
      </c>
      <c r="I532" s="68">
        <v>0.15</v>
      </c>
      <c r="J532" s="68"/>
      <c r="K532" s="69">
        <f>PRODUCT(F532:I532)</f>
        <v>3.5999999999999997E-2</v>
      </c>
      <c r="L532" s="67"/>
    </row>
    <row r="533" spans="2:12" hidden="1">
      <c r="B533" s="63"/>
      <c r="C533" s="1002" t="s">
        <v>116</v>
      </c>
      <c r="D533" s="1002"/>
      <c r="E533" s="1002"/>
      <c r="F533" s="1002"/>
      <c r="G533" s="1002"/>
      <c r="H533" s="1002"/>
      <c r="I533" s="1002"/>
      <c r="J533" s="1002"/>
      <c r="K533" s="70">
        <f>SUM(K532:K532)</f>
        <v>3.5999999999999997E-2</v>
      </c>
      <c r="L533" s="67"/>
    </row>
    <row r="534" spans="2:12" hidden="1">
      <c r="B534" s="63"/>
      <c r="C534" s="71"/>
      <c r="D534" s="71"/>
      <c r="E534" s="71"/>
      <c r="F534" s="71"/>
      <c r="G534" s="71"/>
      <c r="H534" s="71"/>
      <c r="I534" s="71"/>
      <c r="J534" s="71"/>
      <c r="K534" s="72"/>
      <c r="L534" s="67"/>
    </row>
    <row r="535" spans="2:12" ht="15" hidden="1" customHeight="1">
      <c r="B535" s="60" t="str">
        <f>'[6]PLANILHA ORÇAMENTÁRIA'!D137</f>
        <v>14.4.2</v>
      </c>
      <c r="C535" s="1003" t="str">
        <f>'[6]PLANILHA ORÇAMENTÁRIA'!E137</f>
        <v>LASTRO DE CONCRETO MAGRO, APLICADO EM PISOS OU RADIERS, ESPESSURA DE 5CM. AF_07_2016</v>
      </c>
      <c r="D535" s="1003"/>
      <c r="E535" s="1003"/>
      <c r="F535" s="1003"/>
      <c r="G535" s="1003"/>
      <c r="H535" s="1003"/>
      <c r="I535" s="1003"/>
      <c r="J535" s="1003"/>
      <c r="K535" s="61" t="str">
        <f>'[6]PLANILHA ORÇAMENTÁRIA'!F137</f>
        <v>M2</v>
      </c>
      <c r="L535" s="62">
        <f>K538</f>
        <v>4.4999999999999998E-2</v>
      </c>
    </row>
    <row r="536" spans="2:12" hidden="1">
      <c r="B536" s="63"/>
      <c r="C536" s="1004" t="s">
        <v>20</v>
      </c>
      <c r="D536" s="1004"/>
      <c r="E536" s="1004"/>
      <c r="F536" s="64" t="s">
        <v>22</v>
      </c>
      <c r="G536" s="199" t="s">
        <v>111</v>
      </c>
      <c r="H536" s="64" t="s">
        <v>112</v>
      </c>
      <c r="I536" s="199" t="s">
        <v>113</v>
      </c>
      <c r="J536" s="199" t="s">
        <v>114</v>
      </c>
      <c r="K536" s="66" t="s">
        <v>25</v>
      </c>
      <c r="L536" s="67"/>
    </row>
    <row r="537" spans="2:12" hidden="1">
      <c r="B537" s="63"/>
      <c r="C537" s="1001"/>
      <c r="D537" s="1001"/>
      <c r="E537" s="1001"/>
      <c r="F537" s="68">
        <v>2</v>
      </c>
      <c r="G537" s="68"/>
      <c r="H537" s="68">
        <v>0.15</v>
      </c>
      <c r="I537" s="68">
        <v>0.15</v>
      </c>
      <c r="J537" s="68"/>
      <c r="K537" s="69">
        <f>PRODUCT(F537:I537)</f>
        <v>4.4999999999999998E-2</v>
      </c>
      <c r="L537" s="67"/>
    </row>
    <row r="538" spans="2:12" hidden="1">
      <c r="B538" s="63"/>
      <c r="C538" s="1002" t="s">
        <v>116</v>
      </c>
      <c r="D538" s="1002"/>
      <c r="E538" s="1002"/>
      <c r="F538" s="1002"/>
      <c r="G538" s="1002"/>
      <c r="H538" s="1002"/>
      <c r="I538" s="1002"/>
      <c r="J538" s="1002"/>
      <c r="K538" s="70">
        <f>SUM(K537:K537)</f>
        <v>4.4999999999999998E-2</v>
      </c>
      <c r="L538" s="67"/>
    </row>
    <row r="539" spans="2:12" hidden="1">
      <c r="B539" s="63"/>
      <c r="C539" s="71"/>
      <c r="D539" s="71"/>
      <c r="E539" s="71"/>
      <c r="F539" s="71"/>
      <c r="G539" s="71"/>
      <c r="H539" s="71"/>
      <c r="I539" s="71"/>
      <c r="J539" s="71"/>
      <c r="K539" s="72"/>
      <c r="L539" s="67"/>
    </row>
    <row r="540" spans="2:12" ht="21.75" hidden="1" customHeight="1">
      <c r="B540" s="60" t="str">
        <f>'[6]PLANILHA ORÇAMENTÁRIA'!D138</f>
        <v>14.4.3</v>
      </c>
      <c r="C540" s="1003" t="str">
        <f>'[6]PLANILHA ORÇAMENTÁRIA'!E138</f>
        <v>CONCRETAGEM DE BLOCOS DE COROAMENTO E VIGAS BALDRAMES, FCK 30 MPA, COM USO DE BOMBA LANÇAMENTO, ADENSAMENTO E ACABAMENTO. AF_06/2017</v>
      </c>
      <c r="D540" s="1003"/>
      <c r="E540" s="1003"/>
      <c r="F540" s="1003"/>
      <c r="G540" s="1003"/>
      <c r="H540" s="1003"/>
      <c r="I540" s="1003"/>
      <c r="J540" s="1003"/>
      <c r="K540" s="61" t="str">
        <f>'[6]PLANILHA ORÇAMENTÁRIA'!F138</f>
        <v>M3</v>
      </c>
      <c r="L540" s="62">
        <f>K543</f>
        <v>0.02</v>
      </c>
    </row>
    <row r="541" spans="2:12" hidden="1">
      <c r="B541" s="63"/>
      <c r="C541" s="1004" t="s">
        <v>20</v>
      </c>
      <c r="D541" s="1004"/>
      <c r="E541" s="1004"/>
      <c r="F541" s="64" t="s">
        <v>22</v>
      </c>
      <c r="G541" s="199" t="s">
        <v>111</v>
      </c>
      <c r="H541" s="64" t="s">
        <v>112</v>
      </c>
      <c r="I541" s="199" t="s">
        <v>113</v>
      </c>
      <c r="J541" s="199" t="s">
        <v>114</v>
      </c>
      <c r="K541" s="66" t="s">
        <v>25</v>
      </c>
      <c r="L541" s="67"/>
    </row>
    <row r="542" spans="2:12" hidden="1">
      <c r="B542" s="63"/>
      <c r="C542" s="1001" t="s">
        <v>191</v>
      </c>
      <c r="D542" s="1001"/>
      <c r="E542" s="1001"/>
      <c r="F542" s="68">
        <v>2</v>
      </c>
      <c r="G542" s="68">
        <v>0.65</v>
      </c>
      <c r="H542" s="68">
        <v>0.15</v>
      </c>
      <c r="I542" s="68">
        <v>0.15</v>
      </c>
      <c r="J542" s="68"/>
      <c r="K542" s="200">
        <f>TRUNC(G542*H542*F542*I542,2)</f>
        <v>0.02</v>
      </c>
      <c r="L542" s="67"/>
    </row>
    <row r="543" spans="2:12" hidden="1">
      <c r="B543" s="63"/>
      <c r="C543" s="1002" t="s">
        <v>116</v>
      </c>
      <c r="D543" s="1002"/>
      <c r="E543" s="1002"/>
      <c r="F543" s="1002"/>
      <c r="G543" s="1002"/>
      <c r="H543" s="1002"/>
      <c r="I543" s="1002"/>
      <c r="J543" s="1002"/>
      <c r="K543" s="66">
        <f>SUM(K542:K542)</f>
        <v>0.02</v>
      </c>
      <c r="L543" s="67"/>
    </row>
    <row r="544" spans="2:12" hidden="1"/>
    <row r="545" spans="2:12" ht="15" hidden="1" customHeight="1">
      <c r="B545" s="60" t="str">
        <f>'[6]PLANILHA ORÇAMENTÁRIA'!D139</f>
        <v>14.4.4</v>
      </c>
      <c r="C545" s="1003" t="str">
        <f>'[6]PLANILHA ORÇAMENTÁRIA'!E139</f>
        <v>TUBO DE AÇO GALVANIZADO COM COSTURA 2" - FORNECIMENTO E INSTALACAO. - M</v>
      </c>
      <c r="D545" s="1003"/>
      <c r="E545" s="1003"/>
      <c r="F545" s="1003"/>
      <c r="G545" s="1003"/>
      <c r="H545" s="1003"/>
      <c r="I545" s="1003"/>
      <c r="J545" s="1003"/>
      <c r="K545" s="61" t="str">
        <f>'[6]PLANILHA ORÇAMENTÁRIA'!F139</f>
        <v>M</v>
      </c>
      <c r="L545" s="62">
        <f>K549</f>
        <v>12.2</v>
      </c>
    </row>
    <row r="546" spans="2:12" hidden="1">
      <c r="B546" s="63"/>
      <c r="C546" s="1004" t="s">
        <v>20</v>
      </c>
      <c r="D546" s="1004"/>
      <c r="E546" s="1004"/>
      <c r="F546" s="64" t="s">
        <v>22</v>
      </c>
      <c r="G546" s="199" t="s">
        <v>111</v>
      </c>
      <c r="H546" s="64" t="s">
        <v>112</v>
      </c>
      <c r="I546" s="199" t="s">
        <v>113</v>
      </c>
      <c r="J546" s="199" t="s">
        <v>114</v>
      </c>
      <c r="K546" s="66" t="s">
        <v>25</v>
      </c>
      <c r="L546" s="67"/>
    </row>
    <row r="547" spans="2:12" hidden="1">
      <c r="B547" s="63"/>
      <c r="C547" s="1001" t="s">
        <v>189</v>
      </c>
      <c r="D547" s="1001"/>
      <c r="E547" s="1001"/>
      <c r="F547" s="68">
        <v>2</v>
      </c>
      <c r="G547" s="68"/>
      <c r="H547" s="68"/>
      <c r="I547" s="68">
        <v>2.6</v>
      </c>
      <c r="J547" s="68"/>
      <c r="K547" s="200">
        <f>F547*I547</f>
        <v>5.2</v>
      </c>
      <c r="L547" s="67"/>
    </row>
    <row r="548" spans="2:12" hidden="1">
      <c r="B548" s="63"/>
      <c r="C548" s="1005" t="s">
        <v>190</v>
      </c>
      <c r="D548" s="1006"/>
      <c r="E548" s="1007"/>
      <c r="F548" s="68">
        <v>7</v>
      </c>
      <c r="G548" s="68"/>
      <c r="H548" s="68"/>
      <c r="I548" s="68">
        <v>1</v>
      </c>
      <c r="J548" s="68"/>
      <c r="K548" s="200">
        <f>F548*I548</f>
        <v>7</v>
      </c>
      <c r="L548" s="67"/>
    </row>
    <row r="549" spans="2:12" hidden="1">
      <c r="B549" s="63"/>
      <c r="C549" s="1002" t="s">
        <v>116</v>
      </c>
      <c r="D549" s="1002"/>
      <c r="E549" s="1002"/>
      <c r="F549" s="1002"/>
      <c r="G549" s="1002"/>
      <c r="H549" s="1002"/>
      <c r="I549" s="1002"/>
      <c r="J549" s="1002"/>
      <c r="K549" s="66">
        <f>SUM(K547:K548)</f>
        <v>12.2</v>
      </c>
      <c r="L549" s="67"/>
    </row>
    <row r="550" spans="2:12" hidden="1">
      <c r="B550" s="63"/>
      <c r="C550" s="71"/>
      <c r="D550" s="71"/>
      <c r="E550" s="71"/>
      <c r="F550" s="71"/>
      <c r="G550" s="71"/>
      <c r="H550" s="71"/>
      <c r="I550" s="71"/>
      <c r="J550" s="71"/>
      <c r="K550" s="73"/>
      <c r="L550" s="67"/>
    </row>
    <row r="551" spans="2:12" ht="15" hidden="1" customHeight="1">
      <c r="B551" s="60" t="str">
        <f>'[6]PLANILHA ORÇAMENTÁRIA'!D140</f>
        <v>14.4.5</v>
      </c>
      <c r="C551" s="1003" t="str">
        <f>'[6]PLANILHA ORÇAMENTÁRIA'!E140</f>
        <v>PINTURA ESMALTE ALTO BRILHO, DUAS DEMAOS, SOBRE SUPERFICIE METALICA</v>
      </c>
      <c r="D551" s="1003"/>
      <c r="E551" s="1003"/>
      <c r="F551" s="1003"/>
      <c r="G551" s="1003"/>
      <c r="H551" s="1003"/>
      <c r="I551" s="1003"/>
      <c r="J551" s="1003"/>
      <c r="K551" s="61" t="str">
        <f>'[6]PLANILHA ORÇAMENTÁRIA'!F140</f>
        <v>M2</v>
      </c>
      <c r="L551" s="62">
        <f>K555</f>
        <v>1.7000000000000002</v>
      </c>
    </row>
    <row r="552" spans="2:12" hidden="1">
      <c r="B552" s="63"/>
      <c r="C552" s="1004" t="s">
        <v>20</v>
      </c>
      <c r="D552" s="1004"/>
      <c r="E552" s="1004"/>
      <c r="F552" s="64" t="s">
        <v>22</v>
      </c>
      <c r="G552" s="199" t="s">
        <v>111</v>
      </c>
      <c r="H552" s="64" t="s">
        <v>178</v>
      </c>
      <c r="I552" s="199" t="s">
        <v>113</v>
      </c>
      <c r="J552" s="199" t="s">
        <v>114</v>
      </c>
      <c r="K552" s="66" t="s">
        <v>25</v>
      </c>
      <c r="L552" s="67"/>
    </row>
    <row r="553" spans="2:12" hidden="1">
      <c r="B553" s="63"/>
      <c r="C553" s="1001" t="s">
        <v>189</v>
      </c>
      <c r="D553" s="1001"/>
      <c r="E553" s="1001"/>
      <c r="F553" s="68">
        <v>2</v>
      </c>
      <c r="G553" s="68"/>
      <c r="H553" s="75">
        <v>2.5000000000000001E-2</v>
      </c>
      <c r="I553" s="68">
        <v>1.95</v>
      </c>
      <c r="J553" s="68"/>
      <c r="K553" s="200">
        <f>TRUNC((2*3.14*H553*I553)*F553,2)</f>
        <v>0.61</v>
      </c>
      <c r="L553" s="67"/>
    </row>
    <row r="554" spans="2:12" hidden="1">
      <c r="B554" s="63"/>
      <c r="C554" s="1005" t="s">
        <v>190</v>
      </c>
      <c r="D554" s="1006"/>
      <c r="E554" s="1007"/>
      <c r="F554" s="68">
        <v>7</v>
      </c>
      <c r="G554" s="68"/>
      <c r="H554" s="75">
        <v>2.5000000000000001E-2</v>
      </c>
      <c r="I554" s="68">
        <v>1</v>
      </c>
      <c r="J554" s="68"/>
      <c r="K554" s="200">
        <f>TRUNC((2*3.14*H554*I554)*F554,2)</f>
        <v>1.0900000000000001</v>
      </c>
      <c r="L554" s="67"/>
    </row>
    <row r="555" spans="2:12" hidden="1">
      <c r="B555" s="63"/>
      <c r="C555" s="1002" t="s">
        <v>116</v>
      </c>
      <c r="D555" s="1002"/>
      <c r="E555" s="1002"/>
      <c r="F555" s="1002"/>
      <c r="G555" s="1002"/>
      <c r="H555" s="1002"/>
      <c r="I555" s="1002"/>
      <c r="J555" s="1002"/>
      <c r="K555" s="66">
        <f>SUM(K553:K554)</f>
        <v>1.7000000000000002</v>
      </c>
      <c r="L555" s="67"/>
    </row>
    <row r="556" spans="2:12" hidden="1"/>
    <row r="557" spans="2:12" hidden="1">
      <c r="B557" s="58" t="str">
        <f>'[6]PLANILHA ORÇAMENTÁRIA'!D141</f>
        <v>14.5</v>
      </c>
      <c r="C557" s="1000" t="str">
        <f>'[6]PLANILHA ORÇAMENTÁRIA'!E141</f>
        <v>BARRA DE APOIO</v>
      </c>
      <c r="D557" s="1000"/>
      <c r="E557" s="1000"/>
      <c r="F557" s="1000"/>
      <c r="G557" s="1000"/>
      <c r="H557" s="1000"/>
      <c r="I557" s="1000"/>
      <c r="J557" s="1000"/>
      <c r="K557" s="59"/>
      <c r="L557" s="59"/>
    </row>
    <row r="558" spans="2:12" ht="15" hidden="1" customHeight="1">
      <c r="B558" s="60" t="str">
        <f>'[6]PLANILHA ORÇAMENTÁRIA'!D142</f>
        <v>14.5.1</v>
      </c>
      <c r="C558" s="1003" t="str">
        <f>'[6]PLANILHA ORÇAMENTÁRIA'!E142</f>
        <v>ESCAVAÇÃO MANUAL DE VALA COM PROFUNDIDADE MENOR OU IGUAL A 1,30 M</v>
      </c>
      <c r="D558" s="1003"/>
      <c r="E558" s="1003"/>
      <c r="F558" s="1003"/>
      <c r="G558" s="1003"/>
      <c r="H558" s="1003"/>
      <c r="I558" s="1003"/>
      <c r="J558" s="1003"/>
      <c r="K558" s="61" t="str">
        <f>'[6]PLANILHA ORÇAMENTÁRIA'!F142</f>
        <v>M3</v>
      </c>
      <c r="L558" s="62">
        <f>K561</f>
        <v>4.9500000000000002E-2</v>
      </c>
    </row>
    <row r="559" spans="2:12" hidden="1">
      <c r="B559" s="63"/>
      <c r="C559" s="1004" t="s">
        <v>20</v>
      </c>
      <c r="D559" s="1004"/>
      <c r="E559" s="1004"/>
      <c r="F559" s="64" t="s">
        <v>22</v>
      </c>
      <c r="G559" s="199" t="s">
        <v>111</v>
      </c>
      <c r="H559" s="64" t="s">
        <v>112</v>
      </c>
      <c r="I559" s="199" t="s">
        <v>113</v>
      </c>
      <c r="J559" s="199" t="s">
        <v>114</v>
      </c>
      <c r="K559" s="66" t="s">
        <v>25</v>
      </c>
      <c r="L559" s="67"/>
    </row>
    <row r="560" spans="2:12" hidden="1">
      <c r="B560" s="63"/>
      <c r="C560" s="1001" t="s">
        <v>174</v>
      </c>
      <c r="D560" s="1001"/>
      <c r="E560" s="1001"/>
      <c r="F560" s="68">
        <v>4</v>
      </c>
      <c r="G560" s="68">
        <v>0.55000000000000004</v>
      </c>
      <c r="H560" s="68">
        <v>0.15</v>
      </c>
      <c r="I560" s="68">
        <v>0.15</v>
      </c>
      <c r="J560" s="68"/>
      <c r="K560" s="69">
        <f>PRODUCT(F560:I560)</f>
        <v>4.9500000000000002E-2</v>
      </c>
      <c r="L560" s="67"/>
    </row>
    <row r="561" spans="2:12" hidden="1">
      <c r="B561" s="63"/>
      <c r="C561" s="1002" t="s">
        <v>116</v>
      </c>
      <c r="D561" s="1002"/>
      <c r="E561" s="1002"/>
      <c r="F561" s="1002"/>
      <c r="G561" s="1002"/>
      <c r="H561" s="1002"/>
      <c r="I561" s="1002"/>
      <c r="J561" s="1002"/>
      <c r="K561" s="70">
        <f>SUM(K560:K560)</f>
        <v>4.9500000000000002E-2</v>
      </c>
      <c r="L561" s="67"/>
    </row>
    <row r="562" spans="2:12" hidden="1">
      <c r="B562" s="63"/>
      <c r="C562" s="71"/>
      <c r="D562" s="71"/>
      <c r="E562" s="71"/>
      <c r="F562" s="71"/>
      <c r="G562" s="71"/>
      <c r="H562" s="71"/>
      <c r="I562" s="71"/>
      <c r="J562" s="71"/>
      <c r="K562" s="72"/>
      <c r="L562" s="67"/>
    </row>
    <row r="563" spans="2:12" ht="15" hidden="1" customHeight="1">
      <c r="B563" s="60" t="str">
        <f>'[6]PLANILHA ORÇAMENTÁRIA'!D143</f>
        <v>14.5.2</v>
      </c>
      <c r="C563" s="1003" t="str">
        <f>'[6]PLANILHA ORÇAMENTÁRIA'!E143</f>
        <v>LASTRO DE CONCRETO MAGRO, APLICADO EM PISOS OU RADIERS, ESPESSURA DE 5CM. AF_07_2016</v>
      </c>
      <c r="D563" s="1003"/>
      <c r="E563" s="1003"/>
      <c r="F563" s="1003"/>
      <c r="G563" s="1003"/>
      <c r="H563" s="1003"/>
      <c r="I563" s="1003"/>
      <c r="J563" s="1003"/>
      <c r="K563" s="61" t="str">
        <f>'[6]PLANILHA ORÇAMENTÁRIA'!F143</f>
        <v>M2</v>
      </c>
      <c r="L563" s="62">
        <f>K566</f>
        <v>0.09</v>
      </c>
    </row>
    <row r="564" spans="2:12" hidden="1">
      <c r="B564" s="63"/>
      <c r="C564" s="1004" t="s">
        <v>20</v>
      </c>
      <c r="D564" s="1004"/>
      <c r="E564" s="1004"/>
      <c r="F564" s="64" t="s">
        <v>22</v>
      </c>
      <c r="G564" s="199" t="s">
        <v>111</v>
      </c>
      <c r="H564" s="64" t="s">
        <v>112</v>
      </c>
      <c r="I564" s="199" t="s">
        <v>113</v>
      </c>
      <c r="J564" s="199" t="s">
        <v>114</v>
      </c>
      <c r="K564" s="66" t="s">
        <v>25</v>
      </c>
      <c r="L564" s="67"/>
    </row>
    <row r="565" spans="2:12" hidden="1">
      <c r="B565" s="63"/>
      <c r="C565" s="1001"/>
      <c r="D565" s="1001"/>
      <c r="E565" s="1001"/>
      <c r="F565" s="68">
        <v>4</v>
      </c>
      <c r="G565" s="68"/>
      <c r="H565" s="68">
        <v>0.15</v>
      </c>
      <c r="I565" s="68">
        <v>0.15</v>
      </c>
      <c r="J565" s="68"/>
      <c r="K565" s="69">
        <f>PRODUCT(F565:I565)</f>
        <v>0.09</v>
      </c>
      <c r="L565" s="67"/>
    </row>
    <row r="566" spans="2:12" hidden="1">
      <c r="B566" s="63"/>
      <c r="C566" s="1002" t="s">
        <v>116</v>
      </c>
      <c r="D566" s="1002"/>
      <c r="E566" s="1002"/>
      <c r="F566" s="1002"/>
      <c r="G566" s="1002"/>
      <c r="H566" s="1002"/>
      <c r="I566" s="1002"/>
      <c r="J566" s="1002"/>
      <c r="K566" s="70">
        <f>SUM(K565:K565)</f>
        <v>0.09</v>
      </c>
      <c r="L566" s="67"/>
    </row>
    <row r="567" spans="2:12" ht="17.25" hidden="1" customHeight="1">
      <c r="B567" s="63"/>
      <c r="C567" s="71"/>
      <c r="D567" s="71"/>
      <c r="E567" s="71"/>
      <c r="F567" s="71"/>
      <c r="G567" s="71"/>
      <c r="H567" s="71"/>
      <c r="I567" s="71"/>
      <c r="J567" s="71"/>
      <c r="K567" s="72"/>
      <c r="L567" s="67"/>
    </row>
    <row r="568" spans="2:12" ht="22.5" hidden="1" customHeight="1">
      <c r="B568" s="60" t="str">
        <f>'[6]PLANILHA ORÇAMENTÁRIA'!D144</f>
        <v>14.5.3</v>
      </c>
      <c r="C568" s="1003" t="str">
        <f>'[6]PLANILHA ORÇAMENTÁRIA'!E144</f>
        <v>CONCRETAGEM DE BLOCOS DE COROAMENTO E VIGAS BALDRAMES, FCK 30 MPA, COM USO DE BOMBA LANÇAMENTO, ADENSAMENTO E ACABAMENTO. AF_06/2017</v>
      </c>
      <c r="D568" s="1003"/>
      <c r="E568" s="1003"/>
      <c r="F568" s="1003"/>
      <c r="G568" s="1003"/>
      <c r="H568" s="1003"/>
      <c r="I568" s="1003"/>
      <c r="J568" s="1003"/>
      <c r="K568" s="61" t="str">
        <f>'[6]PLANILHA ORÇAMENTÁRIA'!F144</f>
        <v>M3</v>
      </c>
      <c r="L568" s="62">
        <f>K571</f>
        <v>0.03</v>
      </c>
    </row>
    <row r="569" spans="2:12" hidden="1">
      <c r="B569" s="63"/>
      <c r="C569" s="1004" t="s">
        <v>20</v>
      </c>
      <c r="D569" s="1004"/>
      <c r="E569" s="1004"/>
      <c r="F569" s="64" t="s">
        <v>22</v>
      </c>
      <c r="G569" s="199" t="s">
        <v>111</v>
      </c>
      <c r="H569" s="64" t="s">
        <v>112</v>
      </c>
      <c r="I569" s="199" t="s">
        <v>113</v>
      </c>
      <c r="J569" s="199" t="s">
        <v>114</v>
      </c>
      <c r="K569" s="66" t="s">
        <v>25</v>
      </c>
      <c r="L569" s="67"/>
    </row>
    <row r="570" spans="2:12" hidden="1">
      <c r="B570" s="63"/>
      <c r="C570" s="1001" t="s">
        <v>191</v>
      </c>
      <c r="D570" s="1001"/>
      <c r="E570" s="1001"/>
      <c r="F570" s="68">
        <v>4</v>
      </c>
      <c r="G570" s="68">
        <v>0.4</v>
      </c>
      <c r="H570" s="68">
        <v>0.15</v>
      </c>
      <c r="I570" s="68">
        <v>0.15</v>
      </c>
      <c r="J570" s="68"/>
      <c r="K570" s="200">
        <f>TRUNC(G570*H570*F570*I570,2)</f>
        <v>0.03</v>
      </c>
      <c r="L570" s="67"/>
    </row>
    <row r="571" spans="2:12" hidden="1">
      <c r="B571" s="63"/>
      <c r="C571" s="1002" t="s">
        <v>116</v>
      </c>
      <c r="D571" s="1002"/>
      <c r="E571" s="1002"/>
      <c r="F571" s="1002"/>
      <c r="G571" s="1002"/>
      <c r="H571" s="1002"/>
      <c r="I571" s="1002"/>
      <c r="J571" s="1002"/>
      <c r="K571" s="66">
        <f>SUM(K570:K570)</f>
        <v>0.03</v>
      </c>
      <c r="L571" s="67"/>
    </row>
    <row r="572" spans="2:12" ht="18" hidden="1" customHeight="1"/>
    <row r="573" spans="2:12" ht="15" hidden="1" customHeight="1">
      <c r="B573" s="60" t="str">
        <f>'[6]PLANILHA ORÇAMENTÁRIA'!D145</f>
        <v>14.5.4</v>
      </c>
      <c r="C573" s="1003" t="str">
        <f>'[6]PLANILHA ORÇAMENTÁRIA'!E145</f>
        <v>TUBO DE AÇO GALVANIZADO COM COSTURA 2" - FORNECIMENTO E INSTALACAO. - M</v>
      </c>
      <c r="D573" s="1003"/>
      <c r="E573" s="1003"/>
      <c r="F573" s="1003"/>
      <c r="G573" s="1003"/>
      <c r="H573" s="1003"/>
      <c r="I573" s="1003"/>
      <c r="J573" s="1003"/>
      <c r="K573" s="61" t="str">
        <f>'[6]PLANILHA ORÇAMENTÁRIA'!F145</f>
        <v>M</v>
      </c>
      <c r="L573" s="62">
        <f>K577</f>
        <v>14</v>
      </c>
    </row>
    <row r="574" spans="2:12" hidden="1">
      <c r="B574" s="63"/>
      <c r="C574" s="1004" t="s">
        <v>20</v>
      </c>
      <c r="D574" s="1004"/>
      <c r="E574" s="1004"/>
      <c r="F574" s="64" t="s">
        <v>22</v>
      </c>
      <c r="G574" s="199" t="s">
        <v>111</v>
      </c>
      <c r="H574" s="64" t="s">
        <v>112</v>
      </c>
      <c r="I574" s="199" t="s">
        <v>113</v>
      </c>
      <c r="J574" s="199" t="s">
        <v>114</v>
      </c>
      <c r="K574" s="66" t="s">
        <v>25</v>
      </c>
      <c r="L574" s="67"/>
    </row>
    <row r="575" spans="2:12" hidden="1">
      <c r="B575" s="63"/>
      <c r="C575" s="1001" t="s">
        <v>189</v>
      </c>
      <c r="D575" s="1001"/>
      <c r="E575" s="1001"/>
      <c r="F575" s="68">
        <v>4</v>
      </c>
      <c r="G575" s="68"/>
      <c r="H575" s="68"/>
      <c r="I575" s="68">
        <v>1.6</v>
      </c>
      <c r="J575" s="68"/>
      <c r="K575" s="200">
        <f>F575*I575</f>
        <v>6.4</v>
      </c>
      <c r="L575" s="67"/>
    </row>
    <row r="576" spans="2:12" hidden="1">
      <c r="B576" s="63"/>
      <c r="C576" s="1005" t="s">
        <v>190</v>
      </c>
      <c r="D576" s="1006"/>
      <c r="E576" s="1007"/>
      <c r="F576" s="68">
        <v>4</v>
      </c>
      <c r="G576" s="68"/>
      <c r="H576" s="68"/>
      <c r="I576" s="68">
        <v>1.9</v>
      </c>
      <c r="J576" s="68"/>
      <c r="K576" s="200">
        <f>F576*I576</f>
        <v>7.6</v>
      </c>
      <c r="L576" s="67"/>
    </row>
    <row r="577" spans="2:12" hidden="1">
      <c r="B577" s="63"/>
      <c r="C577" s="1002" t="s">
        <v>116</v>
      </c>
      <c r="D577" s="1002"/>
      <c r="E577" s="1002"/>
      <c r="F577" s="1002"/>
      <c r="G577" s="1002"/>
      <c r="H577" s="1002"/>
      <c r="I577" s="1002"/>
      <c r="J577" s="1002"/>
      <c r="K577" s="66">
        <f>SUM(K575:K576)</f>
        <v>14</v>
      </c>
      <c r="L577" s="67"/>
    </row>
    <row r="578" spans="2:12" hidden="1">
      <c r="B578" s="63"/>
      <c r="C578" s="71"/>
      <c r="D578" s="71"/>
      <c r="E578" s="71"/>
      <c r="F578" s="71"/>
      <c r="G578" s="71"/>
      <c r="H578" s="71"/>
      <c r="I578" s="71"/>
      <c r="J578" s="71"/>
      <c r="K578" s="73"/>
      <c r="L578" s="67"/>
    </row>
    <row r="579" spans="2:12" ht="15" hidden="1" customHeight="1">
      <c r="B579" s="60" t="str">
        <f>'[6]PLANILHA ORÇAMENTÁRIA'!D146</f>
        <v>14.5.5</v>
      </c>
      <c r="C579" s="1003" t="str">
        <f>'[6]PLANILHA ORÇAMENTÁRIA'!E146</f>
        <v>PINTURA ESMALTE ALTO BRILHO, DUAS DEMAOS, SOBRE SUPERFICIE METALICA</v>
      </c>
      <c r="D579" s="1003"/>
      <c r="E579" s="1003"/>
      <c r="F579" s="1003"/>
      <c r="G579" s="1003"/>
      <c r="H579" s="1003"/>
      <c r="I579" s="1003"/>
      <c r="J579" s="1003"/>
      <c r="K579" s="61" t="str">
        <f>'[6]PLANILHA ORÇAMENTÁRIA'!F146</f>
        <v>M2</v>
      </c>
      <c r="L579" s="62">
        <f>K583</f>
        <v>1.94</v>
      </c>
    </row>
    <row r="580" spans="2:12" hidden="1">
      <c r="B580" s="63"/>
      <c r="C580" s="1004" t="s">
        <v>20</v>
      </c>
      <c r="D580" s="1004"/>
      <c r="E580" s="1004"/>
      <c r="F580" s="64" t="s">
        <v>22</v>
      </c>
      <c r="G580" s="199" t="s">
        <v>111</v>
      </c>
      <c r="H580" s="64" t="s">
        <v>178</v>
      </c>
      <c r="I580" s="199" t="s">
        <v>113</v>
      </c>
      <c r="J580" s="199" t="s">
        <v>114</v>
      </c>
      <c r="K580" s="66" t="s">
        <v>25</v>
      </c>
      <c r="L580" s="67"/>
    </row>
    <row r="581" spans="2:12" hidden="1">
      <c r="B581" s="63"/>
      <c r="C581" s="1001" t="s">
        <v>189</v>
      </c>
      <c r="D581" s="1001"/>
      <c r="E581" s="1001"/>
      <c r="F581" s="68">
        <v>4</v>
      </c>
      <c r="G581" s="68"/>
      <c r="H581" s="75">
        <v>2.5000000000000001E-2</v>
      </c>
      <c r="I581" s="68">
        <v>1.2</v>
      </c>
      <c r="J581" s="68"/>
      <c r="K581" s="200">
        <f>TRUNC((2*3.14*H581*I581)*F581,2)</f>
        <v>0.75</v>
      </c>
      <c r="L581" s="67"/>
    </row>
    <row r="582" spans="2:12" hidden="1">
      <c r="B582" s="63"/>
      <c r="C582" s="1005" t="s">
        <v>190</v>
      </c>
      <c r="D582" s="1006"/>
      <c r="E582" s="1007"/>
      <c r="F582" s="68">
        <v>4</v>
      </c>
      <c r="G582" s="68"/>
      <c r="H582" s="75">
        <v>2.5000000000000001E-2</v>
      </c>
      <c r="I582" s="68">
        <v>1.9</v>
      </c>
      <c r="J582" s="68"/>
      <c r="K582" s="200">
        <f>TRUNC((2*3.14*H582*I582)*F582,2)</f>
        <v>1.19</v>
      </c>
      <c r="L582" s="67"/>
    </row>
    <row r="583" spans="2:12" hidden="1">
      <c r="B583" s="63"/>
      <c r="C583" s="1002" t="s">
        <v>116</v>
      </c>
      <c r="D583" s="1002"/>
      <c r="E583" s="1002"/>
      <c r="F583" s="1002"/>
      <c r="G583" s="1002"/>
      <c r="H583" s="1002"/>
      <c r="I583" s="1002"/>
      <c r="J583" s="1002"/>
      <c r="K583" s="66">
        <f>SUM(K581:K582)</f>
        <v>1.94</v>
      </c>
      <c r="L583" s="67"/>
    </row>
    <row r="584" spans="2:12" hidden="1"/>
    <row r="585" spans="2:12" hidden="1">
      <c r="B585" s="58" t="str">
        <f>'[6]PLANILHA ORÇAMENTÁRIA'!D147</f>
        <v>14.6</v>
      </c>
      <c r="C585" s="1000" t="str">
        <f>'[6]PLANILHA ORÇAMENTÁRIA'!E147</f>
        <v>BANCOS DE APOIO</v>
      </c>
      <c r="D585" s="1000"/>
      <c r="E585" s="1000"/>
      <c r="F585" s="1000"/>
      <c r="G585" s="1000"/>
      <c r="H585" s="1000"/>
      <c r="I585" s="1000"/>
      <c r="J585" s="1000"/>
      <c r="K585" s="59"/>
      <c r="L585" s="59"/>
    </row>
    <row r="586" spans="2:12" ht="15" hidden="1" customHeight="1">
      <c r="B586" s="60" t="str">
        <f>'[6]PLANILHA ORÇAMENTÁRIA'!D148</f>
        <v>14.6.1</v>
      </c>
      <c r="C586" s="1003" t="str">
        <f>'[6]PLANILHA ORÇAMENTÁRIA'!E148</f>
        <v>CONJUNTO DE BANCOS, TAMPO EM CONCRETO SIMPLES, DESEMPOLADA H=5OCM, 40CM E 30CM</v>
      </c>
      <c r="D586" s="1003"/>
      <c r="E586" s="1003"/>
      <c r="F586" s="1003"/>
      <c r="G586" s="1003"/>
      <c r="H586" s="1003"/>
      <c r="I586" s="1003"/>
      <c r="J586" s="1003"/>
      <c r="K586" s="61" t="str">
        <f>'[6]PLANILHA ORÇAMENTÁRIA'!F148</f>
        <v>CJ</v>
      </c>
      <c r="L586" s="62">
        <f>K589</f>
        <v>1</v>
      </c>
    </row>
    <row r="587" spans="2:12" hidden="1">
      <c r="B587" s="63"/>
      <c r="C587" s="1004" t="s">
        <v>20</v>
      </c>
      <c r="D587" s="1004"/>
      <c r="E587" s="1004"/>
      <c r="F587" s="64" t="s">
        <v>22</v>
      </c>
      <c r="G587" s="199" t="s">
        <v>111</v>
      </c>
      <c r="H587" s="64" t="s">
        <v>112</v>
      </c>
      <c r="I587" s="199" t="s">
        <v>113</v>
      </c>
      <c r="J587" s="199" t="s">
        <v>114</v>
      </c>
      <c r="K587" s="66" t="s">
        <v>25</v>
      </c>
      <c r="L587" s="67"/>
    </row>
    <row r="588" spans="2:12" hidden="1">
      <c r="B588" s="63"/>
      <c r="C588" s="1001" t="s">
        <v>192</v>
      </c>
      <c r="D588" s="1001"/>
      <c r="E588" s="1001"/>
      <c r="F588" s="68">
        <v>1</v>
      </c>
      <c r="G588" s="68"/>
      <c r="H588" s="68"/>
      <c r="I588" s="68"/>
      <c r="J588" s="68"/>
      <c r="K588" s="69">
        <f>PRODUCT(F588:I588)</f>
        <v>1</v>
      </c>
      <c r="L588" s="67"/>
    </row>
    <row r="589" spans="2:12" hidden="1">
      <c r="B589" s="63"/>
      <c r="C589" s="1002" t="s">
        <v>116</v>
      </c>
      <c r="D589" s="1002"/>
      <c r="E589" s="1002"/>
      <c r="F589" s="1002"/>
      <c r="G589" s="1002"/>
      <c r="H589" s="1002"/>
      <c r="I589" s="1002"/>
      <c r="J589" s="1002"/>
      <c r="K589" s="70">
        <f>SUM(K588:K588)</f>
        <v>1</v>
      </c>
      <c r="L589" s="67"/>
    </row>
    <row r="590" spans="2:12" ht="15" hidden="1" customHeight="1"/>
    <row r="591" spans="2:12" hidden="1">
      <c r="B591" s="58" t="str">
        <f>'[6]PLANILHA ORÇAMENTÁRIA'!D149</f>
        <v>14.7</v>
      </c>
      <c r="C591" s="1000" t="str">
        <f>'[6]PLANILHA ORÇAMENTÁRIA'!E149</f>
        <v>PRANCHAS PARA EXERCICIOS ABDOMINAIS</v>
      </c>
      <c r="D591" s="1000"/>
      <c r="E591" s="1000"/>
      <c r="F591" s="1000"/>
      <c r="G591" s="1000"/>
      <c r="H591" s="1000"/>
      <c r="I591" s="1000"/>
      <c r="J591" s="1000"/>
      <c r="K591" s="59"/>
      <c r="L591" s="59"/>
    </row>
    <row r="592" spans="2:12" ht="26.25" hidden="1" customHeight="1">
      <c r="B592" s="60" t="str">
        <f>'[6]PLANILHA ORÇAMENTÁRIA'!D150</f>
        <v>14.7.1</v>
      </c>
      <c r="C592" s="1003" t="str">
        <f>'[6]PLANILHA ORÇAMENTÁRIA'!E150</f>
        <v>CONJUNTO DE PRANCHAS P/ EXERCICIOS ABDOMINAIS, TAMPO EM CONCRETO SIMPLES, DESEMPOLADA H=80CM, H=5OCM E 40CM</v>
      </c>
      <c r="D592" s="1003"/>
      <c r="E592" s="1003"/>
      <c r="F592" s="1003"/>
      <c r="G592" s="1003"/>
      <c r="H592" s="1003"/>
      <c r="I592" s="1003"/>
      <c r="J592" s="1003"/>
      <c r="K592" s="61" t="str">
        <f>'[6]PLANILHA ORÇAMENTÁRIA'!F150</f>
        <v>CJ</v>
      </c>
      <c r="L592" s="62">
        <f>K595</f>
        <v>1</v>
      </c>
    </row>
    <row r="593" spans="2:12" hidden="1">
      <c r="B593" s="63"/>
      <c r="C593" s="1004" t="s">
        <v>20</v>
      </c>
      <c r="D593" s="1004"/>
      <c r="E593" s="1004"/>
      <c r="F593" s="64" t="s">
        <v>22</v>
      </c>
      <c r="G593" s="199" t="s">
        <v>111</v>
      </c>
      <c r="H593" s="64" t="s">
        <v>112</v>
      </c>
      <c r="I593" s="199" t="s">
        <v>113</v>
      </c>
      <c r="J593" s="199" t="s">
        <v>114</v>
      </c>
      <c r="K593" s="66" t="s">
        <v>25</v>
      </c>
      <c r="L593" s="67"/>
    </row>
    <row r="594" spans="2:12" hidden="1">
      <c r="B594" s="63"/>
      <c r="C594" s="1001" t="s">
        <v>193</v>
      </c>
      <c r="D594" s="1001"/>
      <c r="E594" s="1001"/>
      <c r="F594" s="68">
        <v>1</v>
      </c>
      <c r="G594" s="68"/>
      <c r="H594" s="68"/>
      <c r="I594" s="68"/>
      <c r="J594" s="68"/>
      <c r="K594" s="69">
        <f>PRODUCT(F594:I594)</f>
        <v>1</v>
      </c>
      <c r="L594" s="67"/>
    </row>
    <row r="595" spans="2:12" hidden="1">
      <c r="B595" s="63"/>
      <c r="C595" s="1002" t="s">
        <v>116</v>
      </c>
      <c r="D595" s="1002"/>
      <c r="E595" s="1002"/>
      <c r="F595" s="1002"/>
      <c r="G595" s="1002"/>
      <c r="H595" s="1002"/>
      <c r="I595" s="1002"/>
      <c r="J595" s="1002"/>
      <c r="K595" s="70">
        <f>SUM(K594:K594)</f>
        <v>1</v>
      </c>
      <c r="L595" s="67"/>
    </row>
    <row r="596" spans="2:12" hidden="1">
      <c r="B596" s="63"/>
      <c r="C596" s="71"/>
      <c r="D596" s="71"/>
      <c r="E596" s="71"/>
      <c r="F596" s="71"/>
      <c r="G596" s="71"/>
      <c r="H596" s="71"/>
      <c r="I596" s="71"/>
      <c r="J596" s="71"/>
      <c r="K596" s="72"/>
      <c r="L596" s="67"/>
    </row>
    <row r="597" spans="2:12" hidden="1">
      <c r="B597" s="63"/>
      <c r="C597" s="71"/>
      <c r="D597" s="71"/>
      <c r="E597" s="71"/>
      <c r="F597" s="71"/>
      <c r="G597" s="71"/>
      <c r="H597" s="71"/>
      <c r="I597" s="71"/>
      <c r="J597" s="71"/>
      <c r="K597" s="73"/>
      <c r="L597" s="67"/>
    </row>
    <row r="598" spans="2:12" ht="15" hidden="1" customHeight="1">
      <c r="B598" s="60" t="str">
        <f>'[6]PLANILHA ORÇAMENTÁRIA'!D153</f>
        <v>15.2</v>
      </c>
      <c r="C598" s="1003" t="str">
        <f>'[6]PLANILHA ORÇAMENTÁRIA'!E153</f>
        <v>BARRA DE APOIO RETA, EM ACO INOX POLIDO, COMPRIMENTO 60CM, DIAMETRO MINIMO 3CM</v>
      </c>
      <c r="D598" s="1003"/>
      <c r="E598" s="1003"/>
      <c r="F598" s="1003"/>
      <c r="G598" s="1003"/>
      <c r="H598" s="1003"/>
      <c r="I598" s="1003"/>
      <c r="J598" s="1003"/>
      <c r="K598" s="61" t="str">
        <f>'[6]PLANILHA ORÇAMENTÁRIA'!F153</f>
        <v>UND</v>
      </c>
      <c r="L598" s="62">
        <f>K602</f>
        <v>2</v>
      </c>
    </row>
    <row r="599" spans="2:12" hidden="1">
      <c r="B599" s="63"/>
      <c r="C599" s="1011" t="s">
        <v>20</v>
      </c>
      <c r="D599" s="1012"/>
      <c r="E599" s="1013"/>
      <c r="F599" s="64" t="s">
        <v>22</v>
      </c>
      <c r="G599" s="199" t="s">
        <v>111</v>
      </c>
      <c r="H599" s="199" t="s">
        <v>114</v>
      </c>
      <c r="I599" s="199" t="s">
        <v>113</v>
      </c>
      <c r="J599" s="199" t="s">
        <v>136</v>
      </c>
      <c r="K599" s="66" t="s">
        <v>25</v>
      </c>
      <c r="L599" s="67"/>
    </row>
    <row r="600" spans="2:12" ht="15" hidden="1" customHeight="1">
      <c r="B600" s="63"/>
      <c r="C600" s="1005" t="s">
        <v>170</v>
      </c>
      <c r="D600" s="1006"/>
      <c r="E600" s="1007"/>
      <c r="F600" s="68">
        <v>1</v>
      </c>
      <c r="G600" s="68"/>
      <c r="H600" s="68"/>
      <c r="I600" s="68"/>
      <c r="J600" s="68"/>
      <c r="K600" s="200">
        <f>F600</f>
        <v>1</v>
      </c>
      <c r="L600" s="67"/>
    </row>
    <row r="601" spans="2:12" ht="15" hidden="1" customHeight="1">
      <c r="B601" s="63"/>
      <c r="C601" s="1005" t="s">
        <v>194</v>
      </c>
      <c r="D601" s="1006"/>
      <c r="E601" s="1007"/>
      <c r="F601" s="68">
        <v>1</v>
      </c>
      <c r="G601" s="68"/>
      <c r="H601" s="68"/>
      <c r="I601" s="68"/>
      <c r="J601" s="68"/>
      <c r="K601" s="200">
        <f>F601</f>
        <v>1</v>
      </c>
      <c r="L601" s="67"/>
    </row>
    <row r="602" spans="2:12" hidden="1">
      <c r="B602" s="63"/>
      <c r="C602" s="1008" t="s">
        <v>116</v>
      </c>
      <c r="D602" s="1009"/>
      <c r="E602" s="1009"/>
      <c r="F602" s="1009"/>
      <c r="G602" s="1009"/>
      <c r="H602" s="1009"/>
      <c r="I602" s="1009"/>
      <c r="J602" s="1010"/>
      <c r="K602" s="66">
        <f>SUM(K600:K601)</f>
        <v>2</v>
      </c>
      <c r="L602" s="67"/>
    </row>
    <row r="603" spans="2:12" hidden="1">
      <c r="B603" s="63"/>
      <c r="C603" s="71"/>
      <c r="D603" s="71"/>
      <c r="E603" s="71"/>
      <c r="F603" s="71"/>
      <c r="G603" s="71"/>
      <c r="H603" s="71"/>
      <c r="I603" s="71"/>
      <c r="J603" s="71"/>
      <c r="K603" s="73"/>
      <c r="L603" s="67"/>
    </row>
    <row r="604" spans="2:12" ht="15" hidden="1" customHeight="1">
      <c r="B604" s="60" t="str">
        <f>'[6]PLANILHA ORÇAMENTÁRIA'!D154</f>
        <v>15.3</v>
      </c>
      <c r="C604" s="1003" t="str">
        <f>'[6]PLANILHA ORÇAMENTÁRIA'!E154</f>
        <v>PRATELEIRA EM CONCRETO ARMADO, LARGURA = 40CM, ESP= 5CM, REVESTIDA COM CERAMICA.</v>
      </c>
      <c r="D604" s="1003"/>
      <c r="E604" s="1003"/>
      <c r="F604" s="1003"/>
      <c r="G604" s="1003"/>
      <c r="H604" s="1003"/>
      <c r="I604" s="1003"/>
      <c r="J604" s="1003"/>
      <c r="K604" s="61" t="str">
        <f>'[6]PLANILHA ORÇAMENTÁRIA'!F154</f>
        <v>M</v>
      </c>
      <c r="L604" s="62">
        <f>K607</f>
        <v>12.6</v>
      </c>
    </row>
    <row r="605" spans="2:12" hidden="1">
      <c r="B605" s="63"/>
      <c r="C605" s="1011" t="s">
        <v>20</v>
      </c>
      <c r="D605" s="1012"/>
      <c r="E605" s="1013"/>
      <c r="F605" s="64" t="s">
        <v>22</v>
      </c>
      <c r="G605" s="199" t="s">
        <v>111</v>
      </c>
      <c r="H605" s="199" t="s">
        <v>114</v>
      </c>
      <c r="I605" s="199" t="s">
        <v>113</v>
      </c>
      <c r="J605" s="199" t="s">
        <v>136</v>
      </c>
      <c r="K605" s="66" t="s">
        <v>25</v>
      </c>
      <c r="L605" s="67"/>
    </row>
    <row r="606" spans="2:12" hidden="1">
      <c r="B606" s="63"/>
      <c r="C606" s="1005" t="s">
        <v>167</v>
      </c>
      <c r="D606" s="1006"/>
      <c r="E606" s="1007"/>
      <c r="F606" s="68">
        <v>3</v>
      </c>
      <c r="G606" s="68"/>
      <c r="H606" s="68"/>
      <c r="I606" s="68">
        <v>4.2</v>
      </c>
      <c r="J606" s="68"/>
      <c r="K606" s="200">
        <f>TRUNC((I606*F606),2)</f>
        <v>12.6</v>
      </c>
      <c r="L606" s="67"/>
    </row>
    <row r="607" spans="2:12" hidden="1">
      <c r="B607" s="63"/>
      <c r="C607" s="1008" t="s">
        <v>116</v>
      </c>
      <c r="D607" s="1009"/>
      <c r="E607" s="1009"/>
      <c r="F607" s="1009"/>
      <c r="G607" s="1009"/>
      <c r="H607" s="1009"/>
      <c r="I607" s="1009"/>
      <c r="J607" s="1010"/>
      <c r="K607" s="66">
        <f>SUM(K606:K606)</f>
        <v>12.6</v>
      </c>
      <c r="L607" s="67"/>
    </row>
    <row r="608" spans="2:12" hidden="1">
      <c r="B608" s="63"/>
      <c r="C608" s="71"/>
      <c r="D608" s="71"/>
      <c r="E608" s="71"/>
      <c r="F608" s="71"/>
      <c r="G608" s="71"/>
      <c r="H608" s="71"/>
      <c r="I608" s="71"/>
      <c r="J608" s="71"/>
      <c r="K608" s="73"/>
      <c r="L608" s="67"/>
    </row>
    <row r="609" spans="2:12">
      <c r="B609" s="76" t="s">
        <v>13</v>
      </c>
      <c r="C609" s="993" t="s">
        <v>34</v>
      </c>
      <c r="D609" s="993"/>
      <c r="E609" s="993"/>
      <c r="F609" s="993"/>
      <c r="G609" s="993"/>
      <c r="H609" s="993"/>
      <c r="I609" s="993"/>
      <c r="J609" s="993"/>
      <c r="K609" s="77"/>
      <c r="L609" s="77"/>
    </row>
    <row r="611" spans="2:12">
      <c r="B611" s="78" t="s">
        <v>14</v>
      </c>
      <c r="C611" s="989" t="str">
        <f>'ESC. LAFAYETE NUNES MACHADO'!C25</f>
        <v>APLICAÇÃO MANUAL DE PINTURA COM TINTA LÁTEX ACRÍLICA EM PAREDES, DUAS DEMÃOS. AF_06/2014</v>
      </c>
      <c r="D611" s="990"/>
      <c r="E611" s="990"/>
      <c r="F611" s="990"/>
      <c r="G611" s="990"/>
      <c r="H611" s="990"/>
      <c r="I611" s="990"/>
      <c r="J611" s="991"/>
      <c r="K611" s="97" t="s">
        <v>7</v>
      </c>
      <c r="L611" s="97">
        <f>K675</f>
        <v>1053.4848</v>
      </c>
    </row>
    <row r="612" spans="2:12">
      <c r="B612" s="78"/>
      <c r="C612" s="992" t="s">
        <v>20</v>
      </c>
      <c r="D612" s="992"/>
      <c r="E612" s="992"/>
      <c r="F612" s="79" t="s">
        <v>22</v>
      </c>
      <c r="G612" s="197" t="s">
        <v>111</v>
      </c>
      <c r="H612" s="79" t="s">
        <v>112</v>
      </c>
      <c r="I612" s="197" t="s">
        <v>113</v>
      </c>
      <c r="J612" s="197" t="s">
        <v>114</v>
      </c>
      <c r="K612" s="81" t="s">
        <v>25</v>
      </c>
      <c r="L612" s="82"/>
    </row>
    <row r="613" spans="2:12">
      <c r="B613" s="78"/>
      <c r="C613" s="976" t="s">
        <v>489</v>
      </c>
      <c r="D613" s="977"/>
      <c r="E613" s="978"/>
      <c r="F613" s="83">
        <v>1</v>
      </c>
      <c r="G613" s="83">
        <v>1.2</v>
      </c>
      <c r="H613" s="83">
        <v>1</v>
      </c>
      <c r="I613" s="83">
        <f>SUM(6.21+38.18+1.4+2.08+1.4+4.87)</f>
        <v>54.139999999999993</v>
      </c>
      <c r="J613" s="83">
        <f>SUM(16.8+3+3+2.75+1+2.75+2.2+2.2+2.2)</f>
        <v>35.900000000000006</v>
      </c>
      <c r="K613" s="84">
        <f>(F613*G613*H613*I613)-J613</f>
        <v>29.067999999999984</v>
      </c>
      <c r="L613" s="82"/>
    </row>
    <row r="614" spans="2:12">
      <c r="B614" s="78"/>
      <c r="C614" s="976" t="s">
        <v>490</v>
      </c>
      <c r="D614" s="977"/>
      <c r="E614" s="978"/>
      <c r="F614" s="83">
        <v>1</v>
      </c>
      <c r="G614" s="83">
        <v>2</v>
      </c>
      <c r="H614" s="83">
        <v>1</v>
      </c>
      <c r="I614" s="83">
        <f>SUM(6.3+2.66+9.55+1.44+9.63+8.3+5.93+1.33+1.83+3.7+1.98)</f>
        <v>52.650000000000006</v>
      </c>
      <c r="J614" s="83">
        <f>SUM(1.54+1.54+1.54+10.08+1.54+1.54+1.54+1+1)</f>
        <v>21.319999999999997</v>
      </c>
      <c r="K614" s="84">
        <f t="shared" ref="K614:K674" si="2">(F614*G614*H614*I614)-J614</f>
        <v>83.980000000000018</v>
      </c>
      <c r="L614" s="82"/>
    </row>
    <row r="615" spans="2:12">
      <c r="B615" s="78"/>
      <c r="C615" s="976" t="s">
        <v>491</v>
      </c>
      <c r="D615" s="977"/>
      <c r="E615" s="978"/>
      <c r="F615" s="83">
        <v>1</v>
      </c>
      <c r="G615" s="83">
        <v>2</v>
      </c>
      <c r="H615" s="83">
        <v>1</v>
      </c>
      <c r="I615" s="83">
        <f>SUM(22.6+11.95+2.6+3.45+5.7+1+8.35)</f>
        <v>55.650000000000006</v>
      </c>
      <c r="J615" s="83">
        <f>SUM(8+8.4)</f>
        <v>16.399999999999999</v>
      </c>
      <c r="K615" s="84">
        <f t="shared" si="2"/>
        <v>94.9</v>
      </c>
      <c r="L615" s="82"/>
    </row>
    <row r="616" spans="2:12">
      <c r="B616" s="78"/>
      <c r="C616" s="976" t="s">
        <v>338</v>
      </c>
      <c r="D616" s="977"/>
      <c r="E616" s="978"/>
      <c r="F616" s="83">
        <v>2</v>
      </c>
      <c r="G616" s="83">
        <v>2</v>
      </c>
      <c r="H616" s="83">
        <v>1</v>
      </c>
      <c r="I616" s="83">
        <v>6.15</v>
      </c>
      <c r="J616" s="83">
        <v>1.68</v>
      </c>
      <c r="K616" s="84">
        <f t="shared" si="2"/>
        <v>22.92</v>
      </c>
      <c r="L616" s="82"/>
    </row>
    <row r="617" spans="2:12">
      <c r="B617" s="78"/>
      <c r="C617" s="976" t="s">
        <v>338</v>
      </c>
      <c r="D617" s="977"/>
      <c r="E617" s="978"/>
      <c r="F617" s="83">
        <v>2</v>
      </c>
      <c r="G617" s="83">
        <v>2</v>
      </c>
      <c r="H617" s="83">
        <v>1</v>
      </c>
      <c r="I617" s="83">
        <v>7</v>
      </c>
      <c r="J617" s="83">
        <v>4</v>
      </c>
      <c r="K617" s="84">
        <f t="shared" si="2"/>
        <v>24</v>
      </c>
      <c r="L617" s="82"/>
    </row>
    <row r="618" spans="2:12">
      <c r="B618" s="78"/>
      <c r="C618" s="976" t="s">
        <v>244</v>
      </c>
      <c r="D618" s="977"/>
      <c r="E618" s="978"/>
      <c r="F618" s="83">
        <v>2</v>
      </c>
      <c r="G618" s="83">
        <v>2.82</v>
      </c>
      <c r="H618" s="83">
        <v>1</v>
      </c>
      <c r="I618" s="83">
        <v>2.4</v>
      </c>
      <c r="J618" s="83">
        <v>1.68</v>
      </c>
      <c r="K618" s="84">
        <f t="shared" si="2"/>
        <v>11.856</v>
      </c>
      <c r="L618" s="82"/>
    </row>
    <row r="619" spans="2:12">
      <c r="B619" s="78"/>
      <c r="C619" s="976" t="s">
        <v>244</v>
      </c>
      <c r="D619" s="977"/>
      <c r="E619" s="978"/>
      <c r="F619" s="83">
        <v>2</v>
      </c>
      <c r="G619" s="83">
        <v>2.82</v>
      </c>
      <c r="H619" s="83">
        <v>1</v>
      </c>
      <c r="I619" s="83">
        <v>2.0499999999999998</v>
      </c>
      <c r="J619" s="83">
        <v>0</v>
      </c>
      <c r="K619" s="84">
        <f t="shared" si="2"/>
        <v>11.561999999999998</v>
      </c>
      <c r="L619" s="82"/>
    </row>
    <row r="620" spans="2:12">
      <c r="B620" s="78"/>
      <c r="C620" s="976" t="s">
        <v>492</v>
      </c>
      <c r="D620" s="977"/>
      <c r="E620" s="978"/>
      <c r="F620" s="83">
        <v>2</v>
      </c>
      <c r="G620" s="83">
        <v>2</v>
      </c>
      <c r="H620" s="83">
        <v>1</v>
      </c>
      <c r="I620" s="83">
        <v>2.2999999999999998</v>
      </c>
      <c r="J620" s="83">
        <v>1.35</v>
      </c>
      <c r="K620" s="84">
        <f t="shared" si="2"/>
        <v>7.85</v>
      </c>
      <c r="L620" s="82"/>
    </row>
    <row r="621" spans="2:12">
      <c r="B621" s="78"/>
      <c r="C621" s="976" t="s">
        <v>492</v>
      </c>
      <c r="D621" s="977"/>
      <c r="E621" s="978"/>
      <c r="F621" s="83">
        <v>2</v>
      </c>
      <c r="G621" s="83">
        <v>2</v>
      </c>
      <c r="H621" s="83">
        <v>1</v>
      </c>
      <c r="I621" s="83">
        <v>5.5</v>
      </c>
      <c r="J621" s="83">
        <v>1.68</v>
      </c>
      <c r="K621" s="84">
        <f t="shared" si="2"/>
        <v>20.32</v>
      </c>
      <c r="L621" s="82"/>
    </row>
    <row r="622" spans="2:12">
      <c r="B622" s="78"/>
      <c r="C622" s="976" t="s">
        <v>242</v>
      </c>
      <c r="D622" s="977"/>
      <c r="E622" s="978"/>
      <c r="F622" s="83">
        <v>2</v>
      </c>
      <c r="G622" s="83">
        <v>2.82</v>
      </c>
      <c r="H622" s="83">
        <v>1</v>
      </c>
      <c r="I622" s="83">
        <v>3.3</v>
      </c>
      <c r="J622" s="83">
        <f>1.68*2</f>
        <v>3.36</v>
      </c>
      <c r="K622" s="84">
        <f t="shared" si="2"/>
        <v>15.251999999999999</v>
      </c>
      <c r="L622" s="82"/>
    </row>
    <row r="623" spans="2:12">
      <c r="B623" s="78"/>
      <c r="C623" s="976" t="s">
        <v>242</v>
      </c>
      <c r="D623" s="977"/>
      <c r="E623" s="978"/>
      <c r="F623" s="83">
        <v>2</v>
      </c>
      <c r="G623" s="83">
        <v>2.82</v>
      </c>
      <c r="H623" s="83">
        <v>1</v>
      </c>
      <c r="I623" s="83">
        <v>3.6</v>
      </c>
      <c r="J623" s="83">
        <f>1.68*2</f>
        <v>3.36</v>
      </c>
      <c r="K623" s="84">
        <f t="shared" si="2"/>
        <v>16.943999999999999</v>
      </c>
      <c r="L623" s="82"/>
    </row>
    <row r="624" spans="2:12">
      <c r="B624" s="78"/>
      <c r="C624" s="976" t="s">
        <v>461</v>
      </c>
      <c r="D624" s="977"/>
      <c r="E624" s="978"/>
      <c r="F624" s="83">
        <v>2</v>
      </c>
      <c r="G624" s="83">
        <v>2</v>
      </c>
      <c r="H624" s="83">
        <v>1</v>
      </c>
      <c r="I624" s="83">
        <v>6</v>
      </c>
      <c r="J624" s="83">
        <v>1.68</v>
      </c>
      <c r="K624" s="84">
        <f t="shared" si="2"/>
        <v>22.32</v>
      </c>
      <c r="L624" s="82"/>
    </row>
    <row r="625" spans="2:12">
      <c r="B625" s="78"/>
      <c r="C625" s="976" t="s">
        <v>461</v>
      </c>
      <c r="D625" s="977"/>
      <c r="E625" s="978"/>
      <c r="F625" s="83">
        <v>2</v>
      </c>
      <c r="G625" s="83">
        <v>2</v>
      </c>
      <c r="H625" s="83">
        <v>1</v>
      </c>
      <c r="I625" s="83">
        <v>7</v>
      </c>
      <c r="J625" s="83">
        <v>4</v>
      </c>
      <c r="K625" s="84">
        <f t="shared" si="2"/>
        <v>24</v>
      </c>
      <c r="L625" s="82"/>
    </row>
    <row r="626" spans="2:12">
      <c r="B626" s="78"/>
      <c r="C626" s="976" t="s">
        <v>493</v>
      </c>
      <c r="D626" s="977"/>
      <c r="E626" s="978"/>
      <c r="F626" s="83">
        <v>2</v>
      </c>
      <c r="G626" s="83">
        <v>2.82</v>
      </c>
      <c r="H626" s="83">
        <v>1</v>
      </c>
      <c r="I626" s="83">
        <v>4.34</v>
      </c>
      <c r="J626" s="83">
        <v>1.68</v>
      </c>
      <c r="K626" s="84">
        <f t="shared" si="2"/>
        <v>22.797599999999999</v>
      </c>
      <c r="L626" s="82"/>
    </row>
    <row r="627" spans="2:12">
      <c r="B627" s="78"/>
      <c r="C627" s="976" t="s">
        <v>493</v>
      </c>
      <c r="D627" s="977"/>
      <c r="E627" s="978"/>
      <c r="F627" s="83">
        <v>2</v>
      </c>
      <c r="G627" s="83">
        <v>2.82</v>
      </c>
      <c r="H627" s="83">
        <v>1</v>
      </c>
      <c r="I627" s="83">
        <v>3</v>
      </c>
      <c r="J627" s="83">
        <f>1.68+1</f>
        <v>2.6799999999999997</v>
      </c>
      <c r="K627" s="84">
        <f t="shared" si="2"/>
        <v>14.239999999999998</v>
      </c>
      <c r="L627" s="82"/>
    </row>
    <row r="628" spans="2:12">
      <c r="B628" s="78"/>
      <c r="C628" s="976" t="s">
        <v>494</v>
      </c>
      <c r="D628" s="977"/>
      <c r="E628" s="978"/>
      <c r="F628" s="83">
        <v>2</v>
      </c>
      <c r="G628" s="83">
        <v>2.82</v>
      </c>
      <c r="H628" s="83">
        <v>1</v>
      </c>
      <c r="I628" s="83">
        <v>4.34</v>
      </c>
      <c r="J628" s="83">
        <v>0</v>
      </c>
      <c r="K628" s="84">
        <f t="shared" si="2"/>
        <v>24.477599999999999</v>
      </c>
      <c r="L628" s="82"/>
    </row>
    <row r="629" spans="2:12">
      <c r="B629" s="78"/>
      <c r="C629" s="976" t="s">
        <v>494</v>
      </c>
      <c r="D629" s="977"/>
      <c r="E629" s="978"/>
      <c r="F629" s="83">
        <v>1</v>
      </c>
      <c r="G629" s="83">
        <v>2.82</v>
      </c>
      <c r="H629" s="83">
        <v>1</v>
      </c>
      <c r="I629" s="83">
        <v>2.8</v>
      </c>
      <c r="J629" s="83">
        <v>2.68</v>
      </c>
      <c r="K629" s="84">
        <f t="shared" si="2"/>
        <v>5.2159999999999993</v>
      </c>
      <c r="L629" s="82"/>
    </row>
    <row r="630" spans="2:12">
      <c r="B630" s="78"/>
      <c r="C630" s="976" t="s">
        <v>243</v>
      </c>
      <c r="D630" s="977"/>
      <c r="E630" s="978"/>
      <c r="F630" s="83">
        <v>2</v>
      </c>
      <c r="G630" s="83">
        <v>2.82</v>
      </c>
      <c r="H630" s="83">
        <v>1</v>
      </c>
      <c r="I630" s="83">
        <v>3.45</v>
      </c>
      <c r="J630" s="83">
        <v>0</v>
      </c>
      <c r="K630" s="84">
        <f t="shared" si="2"/>
        <v>19.457999999999998</v>
      </c>
      <c r="L630" s="82"/>
    </row>
    <row r="631" spans="2:12">
      <c r="B631" s="78"/>
      <c r="C631" s="976" t="s">
        <v>243</v>
      </c>
      <c r="D631" s="977"/>
      <c r="E631" s="978"/>
      <c r="F631" s="83">
        <v>2</v>
      </c>
      <c r="G631" s="83">
        <v>2.82</v>
      </c>
      <c r="H631" s="83">
        <v>1</v>
      </c>
      <c r="I631" s="83">
        <v>3.45</v>
      </c>
      <c r="J631" s="83">
        <f>SUM(1.68+1.26)</f>
        <v>2.94</v>
      </c>
      <c r="K631" s="84">
        <f t="shared" si="2"/>
        <v>16.517999999999997</v>
      </c>
      <c r="L631" s="82"/>
    </row>
    <row r="632" spans="2:12">
      <c r="B632" s="78"/>
      <c r="C632" s="976" t="s">
        <v>495</v>
      </c>
      <c r="D632" s="977"/>
      <c r="E632" s="978"/>
      <c r="F632" s="83">
        <v>2</v>
      </c>
      <c r="G632" s="83">
        <v>2.82</v>
      </c>
      <c r="H632" s="83">
        <v>1</v>
      </c>
      <c r="I632" s="83">
        <v>0.74</v>
      </c>
      <c r="J632" s="83">
        <v>0</v>
      </c>
      <c r="K632" s="84">
        <f t="shared" si="2"/>
        <v>4.1735999999999995</v>
      </c>
      <c r="L632" s="82"/>
    </row>
    <row r="633" spans="2:12">
      <c r="B633" s="78"/>
      <c r="C633" s="976" t="s">
        <v>495</v>
      </c>
      <c r="D633" s="977"/>
      <c r="E633" s="978"/>
      <c r="F633" s="83">
        <v>2</v>
      </c>
      <c r="G633" s="83">
        <v>2.82</v>
      </c>
      <c r="H633" s="83">
        <v>1</v>
      </c>
      <c r="I633" s="83">
        <v>0.74</v>
      </c>
      <c r="J633" s="83">
        <v>0</v>
      </c>
      <c r="K633" s="84">
        <f t="shared" si="2"/>
        <v>4.1735999999999995</v>
      </c>
      <c r="L633" s="82"/>
    </row>
    <row r="634" spans="2:12">
      <c r="B634" s="220"/>
      <c r="C634" s="976" t="s">
        <v>496</v>
      </c>
      <c r="D634" s="977"/>
      <c r="E634" s="978"/>
      <c r="F634" s="83">
        <v>2</v>
      </c>
      <c r="G634" s="83">
        <v>1.8</v>
      </c>
      <c r="H634" s="83">
        <v>1</v>
      </c>
      <c r="I634" s="83">
        <v>5.78</v>
      </c>
      <c r="J634" s="83">
        <v>0</v>
      </c>
      <c r="K634" s="84">
        <f t="shared" si="2"/>
        <v>20.808</v>
      </c>
      <c r="L634" s="82"/>
    </row>
    <row r="635" spans="2:12">
      <c r="B635" s="220"/>
      <c r="C635" s="976" t="s">
        <v>496</v>
      </c>
      <c r="D635" s="977"/>
      <c r="E635" s="978"/>
      <c r="F635" s="83">
        <v>2</v>
      </c>
      <c r="G635" s="83">
        <v>1.8</v>
      </c>
      <c r="H635" s="83">
        <v>1</v>
      </c>
      <c r="I635" s="83">
        <v>8</v>
      </c>
      <c r="J635" s="83">
        <f>(1.54*3)+1.68</f>
        <v>6.3</v>
      </c>
      <c r="K635" s="84">
        <f t="shared" si="2"/>
        <v>22.5</v>
      </c>
      <c r="L635" s="82"/>
    </row>
    <row r="636" spans="2:12">
      <c r="B636" s="220"/>
      <c r="C636" s="976" t="s">
        <v>497</v>
      </c>
      <c r="D636" s="977"/>
      <c r="E636" s="978"/>
      <c r="F636" s="83">
        <v>2</v>
      </c>
      <c r="G636" s="83">
        <v>1.8</v>
      </c>
      <c r="H636" s="83">
        <v>1</v>
      </c>
      <c r="I636" s="83">
        <v>3.7</v>
      </c>
      <c r="J636" s="83">
        <v>1.68</v>
      </c>
      <c r="K636" s="84">
        <f t="shared" si="2"/>
        <v>11.64</v>
      </c>
      <c r="L636" s="82"/>
    </row>
    <row r="637" spans="2:12">
      <c r="B637" s="220"/>
      <c r="C637" s="976" t="s">
        <v>497</v>
      </c>
      <c r="D637" s="977"/>
      <c r="E637" s="978"/>
      <c r="F637" s="83">
        <v>2</v>
      </c>
      <c r="G637" s="83">
        <v>1.8</v>
      </c>
      <c r="H637" s="83">
        <v>1</v>
      </c>
      <c r="I637" s="83">
        <v>3.8</v>
      </c>
      <c r="J637" s="83">
        <v>1.68</v>
      </c>
      <c r="K637" s="84">
        <f t="shared" si="2"/>
        <v>12</v>
      </c>
      <c r="L637" s="82"/>
    </row>
    <row r="638" spans="2:12">
      <c r="B638" s="220"/>
      <c r="C638" s="976" t="s">
        <v>498</v>
      </c>
      <c r="D638" s="977"/>
      <c r="E638" s="978"/>
      <c r="F638" s="83">
        <v>2</v>
      </c>
      <c r="G638" s="83">
        <v>1.8</v>
      </c>
      <c r="H638" s="83">
        <v>1</v>
      </c>
      <c r="I638" s="83">
        <v>5.78</v>
      </c>
      <c r="J638" s="83">
        <v>0</v>
      </c>
      <c r="K638" s="84">
        <f t="shared" si="2"/>
        <v>20.808</v>
      </c>
      <c r="L638" s="82"/>
    </row>
    <row r="639" spans="2:12">
      <c r="B639" s="220"/>
      <c r="C639" s="976" t="s">
        <v>498</v>
      </c>
      <c r="D639" s="977"/>
      <c r="E639" s="978"/>
      <c r="F639" s="83">
        <v>2</v>
      </c>
      <c r="G639" s="83">
        <v>1.8</v>
      </c>
      <c r="H639" s="83">
        <v>1</v>
      </c>
      <c r="I639" s="83">
        <v>8</v>
      </c>
      <c r="J639" s="83">
        <f>SUM(1.68+1.54+1.54+1.54)</f>
        <v>6.3</v>
      </c>
      <c r="K639" s="84">
        <f t="shared" si="2"/>
        <v>22.5</v>
      </c>
      <c r="L639" s="82"/>
    </row>
    <row r="640" spans="2:12">
      <c r="B640" s="220"/>
      <c r="C640" s="976" t="s">
        <v>499</v>
      </c>
      <c r="D640" s="977"/>
      <c r="E640" s="978"/>
      <c r="F640" s="83">
        <v>1</v>
      </c>
      <c r="G640" s="83">
        <v>1.8</v>
      </c>
      <c r="H640" s="83">
        <v>1</v>
      </c>
      <c r="I640" s="83">
        <v>4.5199999999999996</v>
      </c>
      <c r="J640" s="83">
        <v>2</v>
      </c>
      <c r="K640" s="84">
        <f t="shared" si="2"/>
        <v>6.1359999999999992</v>
      </c>
      <c r="L640" s="82"/>
    </row>
    <row r="641" spans="2:12">
      <c r="B641" s="220"/>
      <c r="C641" s="976" t="s">
        <v>499</v>
      </c>
      <c r="D641" s="977"/>
      <c r="E641" s="978"/>
      <c r="F641" s="83">
        <v>1</v>
      </c>
      <c r="G641" s="83">
        <v>1.8</v>
      </c>
      <c r="H641" s="83">
        <v>1</v>
      </c>
      <c r="I641" s="83">
        <v>1.4</v>
      </c>
      <c r="J641" s="83">
        <v>1.68</v>
      </c>
      <c r="K641" s="84">
        <f t="shared" si="2"/>
        <v>0.84000000000000008</v>
      </c>
      <c r="L641" s="82"/>
    </row>
    <row r="642" spans="2:12">
      <c r="B642" s="220"/>
      <c r="C642" s="976" t="s">
        <v>499</v>
      </c>
      <c r="D642" s="977"/>
      <c r="E642" s="978"/>
      <c r="F642" s="83">
        <v>1</v>
      </c>
      <c r="G642" s="83">
        <v>1.8</v>
      </c>
      <c r="H642" s="83">
        <v>1</v>
      </c>
      <c r="I642" s="83">
        <v>5.47</v>
      </c>
      <c r="J642" s="83">
        <v>0</v>
      </c>
      <c r="K642" s="84">
        <f t="shared" si="2"/>
        <v>9.8460000000000001</v>
      </c>
      <c r="L642" s="82"/>
    </row>
    <row r="643" spans="2:12">
      <c r="B643" s="220"/>
      <c r="C643" s="976" t="s">
        <v>499</v>
      </c>
      <c r="D643" s="977"/>
      <c r="E643" s="978"/>
      <c r="F643" s="83">
        <v>1</v>
      </c>
      <c r="G643" s="83">
        <v>1.8</v>
      </c>
      <c r="H643" s="83">
        <v>1</v>
      </c>
      <c r="I643" s="83">
        <v>5.5</v>
      </c>
      <c r="J643" s="83">
        <v>0</v>
      </c>
      <c r="K643" s="84">
        <f t="shared" si="2"/>
        <v>9.9</v>
      </c>
      <c r="L643" s="82"/>
    </row>
    <row r="644" spans="2:12">
      <c r="B644" s="220"/>
      <c r="C644" s="976" t="s">
        <v>499</v>
      </c>
      <c r="D644" s="977"/>
      <c r="E644" s="978"/>
      <c r="F644" s="83">
        <v>1</v>
      </c>
      <c r="G644" s="83">
        <v>1.8</v>
      </c>
      <c r="H644" s="83">
        <v>1</v>
      </c>
      <c r="I644" s="83">
        <v>4.16</v>
      </c>
      <c r="J644" s="83">
        <v>0</v>
      </c>
      <c r="K644" s="84">
        <f t="shared" si="2"/>
        <v>7.4880000000000004</v>
      </c>
      <c r="L644" s="82"/>
    </row>
    <row r="645" spans="2:12">
      <c r="B645" s="220"/>
      <c r="C645" s="976" t="s">
        <v>465</v>
      </c>
      <c r="D645" s="977"/>
      <c r="E645" s="978"/>
      <c r="F645" s="83">
        <v>1</v>
      </c>
      <c r="G645" s="83">
        <v>1.8</v>
      </c>
      <c r="H645" s="83">
        <v>1</v>
      </c>
      <c r="I645" s="83">
        <v>4.3</v>
      </c>
      <c r="J645" s="83">
        <v>1.68</v>
      </c>
      <c r="K645" s="84">
        <f t="shared" si="2"/>
        <v>6.0600000000000005</v>
      </c>
      <c r="L645" s="82"/>
    </row>
    <row r="646" spans="2:12">
      <c r="B646" s="220"/>
      <c r="C646" s="976" t="s">
        <v>465</v>
      </c>
      <c r="D646" s="977"/>
      <c r="E646" s="978"/>
      <c r="F646" s="83">
        <v>1</v>
      </c>
      <c r="G646" s="83">
        <v>1.8</v>
      </c>
      <c r="H646" s="83">
        <v>1</v>
      </c>
      <c r="I646" s="83">
        <v>1.1599999999999999</v>
      </c>
      <c r="J646" s="83">
        <v>1.68</v>
      </c>
      <c r="K646" s="84">
        <f t="shared" si="2"/>
        <v>0.40800000000000014</v>
      </c>
      <c r="L646" s="82"/>
    </row>
    <row r="647" spans="2:12">
      <c r="B647" s="220"/>
      <c r="C647" s="976" t="s">
        <v>465</v>
      </c>
      <c r="D647" s="977"/>
      <c r="E647" s="978"/>
      <c r="F647" s="83">
        <v>1</v>
      </c>
      <c r="G647" s="83">
        <v>1.8</v>
      </c>
      <c r="H647" s="83">
        <v>1</v>
      </c>
      <c r="I647" s="83">
        <v>5.6</v>
      </c>
      <c r="J647" s="83">
        <v>2</v>
      </c>
      <c r="K647" s="84">
        <f t="shared" si="2"/>
        <v>8.08</v>
      </c>
      <c r="L647" s="82"/>
    </row>
    <row r="648" spans="2:12">
      <c r="B648" s="220"/>
      <c r="C648" s="976" t="s">
        <v>465</v>
      </c>
      <c r="D648" s="977"/>
      <c r="E648" s="978"/>
      <c r="F648" s="83">
        <v>1</v>
      </c>
      <c r="G648" s="83">
        <v>1.8</v>
      </c>
      <c r="H648" s="83">
        <v>1</v>
      </c>
      <c r="I648" s="83">
        <v>5.6</v>
      </c>
      <c r="J648" s="83">
        <v>0</v>
      </c>
      <c r="K648" s="84">
        <f t="shared" si="2"/>
        <v>10.08</v>
      </c>
      <c r="L648" s="82"/>
    </row>
    <row r="649" spans="2:12">
      <c r="B649" s="220"/>
      <c r="C649" s="976" t="s">
        <v>465</v>
      </c>
      <c r="D649" s="977"/>
      <c r="E649" s="978"/>
      <c r="F649" s="83">
        <v>1</v>
      </c>
      <c r="G649" s="83">
        <v>1.8</v>
      </c>
      <c r="H649" s="83">
        <v>1</v>
      </c>
      <c r="I649" s="83">
        <v>4.4000000000000004</v>
      </c>
      <c r="J649" s="83">
        <v>0</v>
      </c>
      <c r="K649" s="84">
        <f t="shared" si="2"/>
        <v>7.9200000000000008</v>
      </c>
      <c r="L649" s="82"/>
    </row>
    <row r="650" spans="2:12">
      <c r="B650" s="220"/>
      <c r="C650" s="976" t="s">
        <v>465</v>
      </c>
      <c r="D650" s="977"/>
      <c r="E650" s="978"/>
      <c r="F650" s="83">
        <v>1</v>
      </c>
      <c r="G650" s="83">
        <v>1.8</v>
      </c>
      <c r="H650" s="83">
        <v>1</v>
      </c>
      <c r="I650" s="83">
        <v>1.4</v>
      </c>
      <c r="J650" s="83">
        <v>0</v>
      </c>
      <c r="K650" s="84">
        <f t="shared" si="2"/>
        <v>2.52</v>
      </c>
      <c r="L650" s="82"/>
    </row>
    <row r="651" spans="2:12">
      <c r="B651" s="220"/>
      <c r="C651" s="976" t="s">
        <v>500</v>
      </c>
      <c r="D651" s="977"/>
      <c r="E651" s="978"/>
      <c r="F651" s="83">
        <v>2</v>
      </c>
      <c r="G651" s="83">
        <v>1.8</v>
      </c>
      <c r="H651" s="83">
        <v>1</v>
      </c>
      <c r="I651" s="83">
        <v>5.6</v>
      </c>
      <c r="J651" s="83">
        <f>1.68*2</f>
        <v>3.36</v>
      </c>
      <c r="K651" s="84">
        <f t="shared" si="2"/>
        <v>16.8</v>
      </c>
      <c r="L651" s="82"/>
    </row>
    <row r="652" spans="2:12">
      <c r="B652" s="220"/>
      <c r="C652" s="976" t="s">
        <v>500</v>
      </c>
      <c r="D652" s="977"/>
      <c r="E652" s="978"/>
      <c r="F652" s="83">
        <v>2</v>
      </c>
      <c r="G652" s="83">
        <v>1.8</v>
      </c>
      <c r="H652" s="83">
        <v>1</v>
      </c>
      <c r="I652" s="83">
        <v>5.6</v>
      </c>
      <c r="J652" s="83">
        <v>0</v>
      </c>
      <c r="K652" s="84">
        <f t="shared" si="2"/>
        <v>20.16</v>
      </c>
      <c r="L652" s="82"/>
    </row>
    <row r="653" spans="2:12">
      <c r="B653" s="220"/>
      <c r="C653" s="976" t="s">
        <v>501</v>
      </c>
      <c r="D653" s="977"/>
      <c r="E653" s="978"/>
      <c r="F653" s="83">
        <v>2</v>
      </c>
      <c r="G653" s="83">
        <v>1.8</v>
      </c>
      <c r="H653" s="83">
        <v>1</v>
      </c>
      <c r="I653" s="83">
        <v>5.6</v>
      </c>
      <c r="J653" s="83">
        <v>3.68</v>
      </c>
      <c r="K653" s="84">
        <f t="shared" si="2"/>
        <v>16.48</v>
      </c>
      <c r="L653" s="82"/>
    </row>
    <row r="654" spans="2:12">
      <c r="B654" s="220"/>
      <c r="C654" s="976" t="s">
        <v>501</v>
      </c>
      <c r="D654" s="977"/>
      <c r="E654" s="978"/>
      <c r="F654" s="83">
        <v>2</v>
      </c>
      <c r="G654" s="83">
        <v>1.8</v>
      </c>
      <c r="H654" s="83">
        <v>1</v>
      </c>
      <c r="I654" s="83">
        <v>5.67</v>
      </c>
      <c r="J654" s="83">
        <v>0</v>
      </c>
      <c r="K654" s="84">
        <f t="shared" si="2"/>
        <v>20.411999999999999</v>
      </c>
      <c r="L654" s="82"/>
    </row>
    <row r="655" spans="2:12">
      <c r="B655" s="220"/>
      <c r="C655" s="976" t="s">
        <v>505</v>
      </c>
      <c r="D655" s="977"/>
      <c r="E655" s="978"/>
      <c r="F655" s="83">
        <v>2</v>
      </c>
      <c r="G655" s="83">
        <v>1.8</v>
      </c>
      <c r="H655" s="83">
        <v>1</v>
      </c>
      <c r="I655" s="83">
        <v>3</v>
      </c>
      <c r="J655" s="83">
        <v>1.68</v>
      </c>
      <c r="K655" s="84">
        <f t="shared" si="2"/>
        <v>9.120000000000001</v>
      </c>
      <c r="L655" s="82"/>
    </row>
    <row r="656" spans="2:12">
      <c r="B656" s="220"/>
      <c r="C656" s="976" t="s">
        <v>505</v>
      </c>
      <c r="D656" s="977"/>
      <c r="E656" s="978"/>
      <c r="F656" s="83">
        <v>2</v>
      </c>
      <c r="G656" s="83">
        <v>1.8</v>
      </c>
      <c r="H656" s="83">
        <v>1</v>
      </c>
      <c r="I656" s="83">
        <v>2.85</v>
      </c>
      <c r="J656" s="83">
        <v>0</v>
      </c>
      <c r="K656" s="84">
        <f t="shared" si="2"/>
        <v>10.26</v>
      </c>
      <c r="L656" s="82"/>
    </row>
    <row r="657" spans="2:12">
      <c r="B657" s="220"/>
      <c r="C657" s="976" t="s">
        <v>502</v>
      </c>
      <c r="D657" s="977"/>
      <c r="E657" s="978"/>
      <c r="F657" s="83">
        <v>2</v>
      </c>
      <c r="G657" s="83">
        <v>1.8</v>
      </c>
      <c r="H657" s="83">
        <v>1</v>
      </c>
      <c r="I657" s="83">
        <v>5.82</v>
      </c>
      <c r="J657" s="83">
        <v>3.68</v>
      </c>
      <c r="K657" s="84">
        <f t="shared" si="2"/>
        <v>17.272000000000002</v>
      </c>
      <c r="L657" s="82"/>
    </row>
    <row r="658" spans="2:12">
      <c r="B658" s="220"/>
      <c r="C658" s="976" t="s">
        <v>502</v>
      </c>
      <c r="D658" s="977"/>
      <c r="E658" s="978"/>
      <c r="F658" s="83">
        <v>2</v>
      </c>
      <c r="G658" s="83">
        <v>1.8</v>
      </c>
      <c r="H658" s="83">
        <v>1</v>
      </c>
      <c r="I658" s="83">
        <v>5.55</v>
      </c>
      <c r="J658" s="83">
        <v>1.68</v>
      </c>
      <c r="K658" s="84">
        <f t="shared" si="2"/>
        <v>18.3</v>
      </c>
      <c r="L658" s="82"/>
    </row>
    <row r="659" spans="2:12">
      <c r="B659" s="220"/>
      <c r="C659" s="976" t="s">
        <v>503</v>
      </c>
      <c r="D659" s="977"/>
      <c r="E659" s="978"/>
      <c r="F659" s="83">
        <v>2</v>
      </c>
      <c r="G659" s="83">
        <v>1.8</v>
      </c>
      <c r="H659" s="83">
        <v>1</v>
      </c>
      <c r="I659" s="83">
        <v>5.82</v>
      </c>
      <c r="J659" s="83">
        <v>0</v>
      </c>
      <c r="K659" s="84">
        <f t="shared" si="2"/>
        <v>20.952000000000002</v>
      </c>
      <c r="L659" s="82"/>
    </row>
    <row r="660" spans="2:12">
      <c r="B660" s="220"/>
      <c r="C660" s="976" t="s">
        <v>503</v>
      </c>
      <c r="D660" s="977"/>
      <c r="E660" s="978"/>
      <c r="F660" s="83">
        <v>2</v>
      </c>
      <c r="G660" s="83">
        <v>1.8</v>
      </c>
      <c r="H660" s="83">
        <v>1</v>
      </c>
      <c r="I660" s="83">
        <v>5.55</v>
      </c>
      <c r="J660" s="83">
        <v>3.68</v>
      </c>
      <c r="K660" s="84">
        <f t="shared" si="2"/>
        <v>16.3</v>
      </c>
      <c r="L660" s="82"/>
    </row>
    <row r="661" spans="2:12">
      <c r="B661" s="220"/>
      <c r="C661" s="976" t="s">
        <v>504</v>
      </c>
      <c r="D661" s="977"/>
      <c r="E661" s="978"/>
      <c r="F661" s="83">
        <v>2</v>
      </c>
      <c r="G661" s="83">
        <v>1.8</v>
      </c>
      <c r="H661" s="83">
        <v>1</v>
      </c>
      <c r="I661" s="83">
        <v>3.85</v>
      </c>
      <c r="J661" s="83">
        <v>1.68</v>
      </c>
      <c r="K661" s="84">
        <f t="shared" si="2"/>
        <v>12.180000000000001</v>
      </c>
      <c r="L661" s="82"/>
    </row>
    <row r="662" spans="2:12">
      <c r="B662" s="220"/>
      <c r="C662" s="976" t="s">
        <v>504</v>
      </c>
      <c r="D662" s="977"/>
      <c r="E662" s="978"/>
      <c r="F662" s="83">
        <v>2</v>
      </c>
      <c r="G662" s="83">
        <v>1.8</v>
      </c>
      <c r="H662" s="83">
        <v>1</v>
      </c>
      <c r="I662" s="83">
        <v>5.82</v>
      </c>
      <c r="J662" s="83">
        <v>3</v>
      </c>
      <c r="K662" s="84">
        <f t="shared" si="2"/>
        <v>17.952000000000002</v>
      </c>
      <c r="L662" s="82"/>
    </row>
    <row r="663" spans="2:12">
      <c r="B663" s="220"/>
      <c r="C663" s="976" t="s">
        <v>506</v>
      </c>
      <c r="D663" s="977"/>
      <c r="E663" s="978"/>
      <c r="F663" s="83">
        <v>2</v>
      </c>
      <c r="G663" s="83">
        <v>2.82</v>
      </c>
      <c r="H663" s="83">
        <v>1</v>
      </c>
      <c r="I663" s="83">
        <v>4.29</v>
      </c>
      <c r="J663" s="83">
        <v>0</v>
      </c>
      <c r="K663" s="84">
        <f t="shared" si="2"/>
        <v>24.195599999999999</v>
      </c>
      <c r="L663" s="82"/>
    </row>
    <row r="664" spans="2:12">
      <c r="B664" s="220"/>
      <c r="C664" s="976" t="s">
        <v>506</v>
      </c>
      <c r="D664" s="977"/>
      <c r="E664" s="978"/>
      <c r="F664" s="83">
        <v>2</v>
      </c>
      <c r="G664" s="83">
        <v>2.82</v>
      </c>
      <c r="H664" s="83">
        <v>1</v>
      </c>
      <c r="I664" s="83">
        <v>7.42</v>
      </c>
      <c r="J664" s="83">
        <v>1.68</v>
      </c>
      <c r="K664" s="84">
        <f t="shared" si="2"/>
        <v>40.168799999999997</v>
      </c>
      <c r="L664" s="82"/>
    </row>
    <row r="665" spans="2:12">
      <c r="B665" s="220"/>
      <c r="C665" s="976" t="s">
        <v>244</v>
      </c>
      <c r="D665" s="977"/>
      <c r="E665" s="978"/>
      <c r="F665" s="83">
        <v>2</v>
      </c>
      <c r="G665" s="83">
        <v>2.82</v>
      </c>
      <c r="H665" s="83">
        <v>1</v>
      </c>
      <c r="I665" s="83">
        <v>4.3600000000000003</v>
      </c>
      <c r="J665" s="83">
        <v>0</v>
      </c>
      <c r="K665" s="84">
        <f t="shared" si="2"/>
        <v>24.590399999999999</v>
      </c>
      <c r="L665" s="82"/>
    </row>
    <row r="666" spans="2:12">
      <c r="B666" s="220"/>
      <c r="C666" s="976" t="s">
        <v>244</v>
      </c>
      <c r="D666" s="977"/>
      <c r="E666" s="978"/>
      <c r="F666" s="83">
        <v>2</v>
      </c>
      <c r="G666" s="83">
        <v>2.82</v>
      </c>
      <c r="H666" s="83">
        <v>1</v>
      </c>
      <c r="I666" s="83">
        <v>3.67</v>
      </c>
      <c r="J666" s="83">
        <v>1.68</v>
      </c>
      <c r="K666" s="84">
        <f t="shared" si="2"/>
        <v>19.018799999999999</v>
      </c>
      <c r="L666" s="82"/>
    </row>
    <row r="667" spans="2:12">
      <c r="B667" s="220"/>
      <c r="C667" s="976" t="s">
        <v>507</v>
      </c>
      <c r="D667" s="977"/>
      <c r="E667" s="978"/>
      <c r="F667" s="83">
        <v>2</v>
      </c>
      <c r="G667" s="83">
        <v>2.82</v>
      </c>
      <c r="H667" s="83">
        <v>1</v>
      </c>
      <c r="I667" s="83">
        <v>3.67</v>
      </c>
      <c r="J667" s="83">
        <v>1.68</v>
      </c>
      <c r="K667" s="84">
        <f t="shared" si="2"/>
        <v>19.018799999999999</v>
      </c>
      <c r="L667" s="82"/>
    </row>
    <row r="668" spans="2:12">
      <c r="B668" s="220"/>
      <c r="C668" s="976" t="s">
        <v>507</v>
      </c>
      <c r="D668" s="977"/>
      <c r="E668" s="978"/>
      <c r="F668" s="83">
        <v>2</v>
      </c>
      <c r="G668" s="83">
        <v>2.82</v>
      </c>
      <c r="H668" s="83">
        <v>1</v>
      </c>
      <c r="I668" s="83">
        <v>7.2</v>
      </c>
      <c r="J668" s="83">
        <v>1.68</v>
      </c>
      <c r="K668" s="84">
        <f t="shared" si="2"/>
        <v>38.927999999999997</v>
      </c>
      <c r="L668" s="82"/>
    </row>
    <row r="669" spans="2:12">
      <c r="B669" s="220"/>
      <c r="C669" s="976" t="s">
        <v>508</v>
      </c>
      <c r="D669" s="977"/>
      <c r="E669" s="978"/>
      <c r="F669" s="83">
        <v>2</v>
      </c>
      <c r="G669" s="83">
        <v>1.8</v>
      </c>
      <c r="H669" s="83">
        <v>1</v>
      </c>
      <c r="I669" s="83">
        <v>2.96</v>
      </c>
      <c r="J669" s="83">
        <v>0</v>
      </c>
      <c r="K669" s="84">
        <f t="shared" si="2"/>
        <v>10.656000000000001</v>
      </c>
      <c r="L669" s="82"/>
    </row>
    <row r="670" spans="2:12">
      <c r="B670" s="220"/>
      <c r="C670" s="976" t="s">
        <v>508</v>
      </c>
      <c r="D670" s="977"/>
      <c r="E670" s="978"/>
      <c r="F670" s="83">
        <v>2</v>
      </c>
      <c r="G670" s="83">
        <v>1.8</v>
      </c>
      <c r="H670" s="83">
        <v>1</v>
      </c>
      <c r="I670" s="83">
        <v>1.9</v>
      </c>
      <c r="J670" s="83">
        <v>1.68</v>
      </c>
      <c r="K670" s="84">
        <f t="shared" si="2"/>
        <v>5.16</v>
      </c>
      <c r="L670" s="82"/>
    </row>
    <row r="671" spans="2:12">
      <c r="B671" s="220"/>
      <c r="C671" s="208"/>
      <c r="D671" s="209"/>
      <c r="E671" s="210"/>
      <c r="F671" s="83"/>
      <c r="G671" s="83"/>
      <c r="H671" s="83"/>
      <c r="I671" s="83"/>
      <c r="J671" s="83"/>
      <c r="K671" s="84">
        <f t="shared" si="2"/>
        <v>0</v>
      </c>
      <c r="L671" s="82"/>
    </row>
    <row r="672" spans="2:12">
      <c r="B672" s="220"/>
      <c r="C672" s="208"/>
      <c r="D672" s="209"/>
      <c r="E672" s="210"/>
      <c r="F672" s="83"/>
      <c r="G672" s="83"/>
      <c r="H672" s="83"/>
      <c r="I672" s="83"/>
      <c r="J672" s="83"/>
      <c r="K672" s="84">
        <f t="shared" si="2"/>
        <v>0</v>
      </c>
      <c r="L672" s="82"/>
    </row>
    <row r="673" spans="2:12">
      <c r="B673" s="220"/>
      <c r="C673" s="208"/>
      <c r="D673" s="209"/>
      <c r="E673" s="210"/>
      <c r="F673" s="83"/>
      <c r="G673" s="83"/>
      <c r="H673" s="83"/>
      <c r="I673" s="83"/>
      <c r="J673" s="83"/>
      <c r="K673" s="84">
        <f t="shared" si="2"/>
        <v>0</v>
      </c>
      <c r="L673" s="82"/>
    </row>
    <row r="674" spans="2:12">
      <c r="B674" s="78"/>
      <c r="C674" s="976"/>
      <c r="D674" s="977"/>
      <c r="E674" s="978"/>
      <c r="F674" s="83"/>
      <c r="G674" s="83"/>
      <c r="H674" s="83"/>
      <c r="I674" s="83"/>
      <c r="J674" s="83"/>
      <c r="K674" s="84">
        <f t="shared" si="2"/>
        <v>0</v>
      </c>
      <c r="L674" s="82"/>
    </row>
    <row r="675" spans="2:12">
      <c r="B675" s="78"/>
      <c r="C675" s="979" t="s">
        <v>116</v>
      </c>
      <c r="D675" s="979"/>
      <c r="E675" s="979"/>
      <c r="F675" s="979"/>
      <c r="G675" s="979"/>
      <c r="H675" s="979"/>
      <c r="I675" s="979"/>
      <c r="J675" s="979"/>
      <c r="K675" s="81">
        <f>SUM(K613:K674)</f>
        <v>1053.4848</v>
      </c>
      <c r="L675" s="82"/>
    </row>
    <row r="677" spans="2:12" ht="26.25" customHeight="1">
      <c r="B677" s="78" t="s">
        <v>35</v>
      </c>
      <c r="C677" s="989" t="str">
        <f>'ESC. LAFAYETE NUNES MACHADO'!C26</f>
        <v>APLICAÇÃO MANUAL DE TINTA LÁTEX ACRÍLICA EM PAREDE EXTERNAS DE CASAS, DUAS DEMÃOS. AF_11/2016</v>
      </c>
      <c r="D677" s="990"/>
      <c r="E677" s="990"/>
      <c r="F677" s="990"/>
      <c r="G677" s="990"/>
      <c r="H677" s="990"/>
      <c r="I677" s="990"/>
      <c r="J677" s="991"/>
      <c r="K677" s="97" t="s">
        <v>7</v>
      </c>
      <c r="L677" s="97">
        <f>K720</f>
        <v>836.67599999999993</v>
      </c>
    </row>
    <row r="678" spans="2:12">
      <c r="B678" s="78"/>
      <c r="C678" s="992" t="s">
        <v>20</v>
      </c>
      <c r="D678" s="992"/>
      <c r="E678" s="992"/>
      <c r="F678" s="79" t="s">
        <v>22</v>
      </c>
      <c r="G678" s="197" t="s">
        <v>111</v>
      </c>
      <c r="H678" s="79" t="s">
        <v>112</v>
      </c>
      <c r="I678" s="197" t="s">
        <v>113</v>
      </c>
      <c r="J678" s="197" t="s">
        <v>114</v>
      </c>
      <c r="K678" s="81" t="s">
        <v>25</v>
      </c>
      <c r="L678" s="82"/>
    </row>
    <row r="679" spans="2:12">
      <c r="B679" s="78"/>
      <c r="C679" s="976" t="s">
        <v>488</v>
      </c>
      <c r="D679" s="977"/>
      <c r="E679" s="978"/>
      <c r="F679" s="83">
        <v>2</v>
      </c>
      <c r="G679" s="83">
        <v>2.2000000000000002</v>
      </c>
      <c r="H679" s="83">
        <v>1</v>
      </c>
      <c r="I679" s="83">
        <f>SUM(2.31+31.37)</f>
        <v>33.68</v>
      </c>
      <c r="J679" s="83">
        <v>0</v>
      </c>
      <c r="K679" s="84">
        <f>(F679*G679*H679*I679)-J679</f>
        <v>148.19200000000001</v>
      </c>
      <c r="L679" s="82"/>
    </row>
    <row r="680" spans="2:12">
      <c r="B680" s="78"/>
      <c r="C680" s="976" t="s">
        <v>489</v>
      </c>
      <c r="D680" s="977"/>
      <c r="E680" s="978"/>
      <c r="F680" s="83">
        <v>1</v>
      </c>
      <c r="G680" s="83">
        <v>1.2</v>
      </c>
      <c r="H680" s="83">
        <v>1</v>
      </c>
      <c r="I680" s="83">
        <f>SUM(6.21+38.18+1.4+2.08+1.4+4.87)</f>
        <v>54.139999999999993</v>
      </c>
      <c r="J680" s="83">
        <v>0</v>
      </c>
      <c r="K680" s="84">
        <f t="shared" ref="K680:K719" si="3">(F680*G680*H680*I680)-J680</f>
        <v>64.967999999999989</v>
      </c>
      <c r="L680" s="82"/>
    </row>
    <row r="681" spans="2:12" ht="38.25" customHeight="1">
      <c r="B681" s="220"/>
      <c r="C681" s="976" t="s">
        <v>509</v>
      </c>
      <c r="D681" s="977"/>
      <c r="E681" s="978"/>
      <c r="F681" s="83">
        <v>1</v>
      </c>
      <c r="G681" s="83">
        <v>2.82</v>
      </c>
      <c r="H681" s="83">
        <v>1</v>
      </c>
      <c r="I681" s="83">
        <v>36</v>
      </c>
      <c r="J681" s="83">
        <v>0</v>
      </c>
      <c r="K681" s="84">
        <f t="shared" si="3"/>
        <v>101.52</v>
      </c>
      <c r="L681" s="82"/>
    </row>
    <row r="682" spans="2:12">
      <c r="B682" s="78"/>
      <c r="C682" s="976" t="s">
        <v>490</v>
      </c>
      <c r="D682" s="977"/>
      <c r="E682" s="978"/>
      <c r="F682" s="83">
        <v>1</v>
      </c>
      <c r="G682" s="83">
        <v>1.2</v>
      </c>
      <c r="H682" s="83">
        <v>1</v>
      </c>
      <c r="I682" s="83">
        <f>SUM(6.3+2.66+9.55+1.44+9.63+8.3+5.93+1.33+1.83+3.7+1.98)</f>
        <v>52.650000000000006</v>
      </c>
      <c r="J682" s="83">
        <v>0</v>
      </c>
      <c r="K682" s="84">
        <f t="shared" si="3"/>
        <v>63.180000000000007</v>
      </c>
      <c r="L682" s="82"/>
    </row>
    <row r="683" spans="2:12">
      <c r="B683" s="78"/>
      <c r="C683" s="976" t="s">
        <v>491</v>
      </c>
      <c r="D683" s="977"/>
      <c r="E683" s="978"/>
      <c r="F683" s="83">
        <v>1</v>
      </c>
      <c r="G683" s="83">
        <v>1.2</v>
      </c>
      <c r="H683" s="83">
        <v>1</v>
      </c>
      <c r="I683" s="83">
        <f>SUM(22.6+11.95+2.6+3.45+5.7+1+8.35)</f>
        <v>55.650000000000006</v>
      </c>
      <c r="J683" s="83">
        <v>0</v>
      </c>
      <c r="K683" s="84">
        <f t="shared" si="3"/>
        <v>66.78</v>
      </c>
      <c r="L683" s="82"/>
    </row>
    <row r="684" spans="2:12">
      <c r="B684" s="78"/>
      <c r="C684" s="976" t="s">
        <v>338</v>
      </c>
      <c r="D684" s="977"/>
      <c r="E684" s="978"/>
      <c r="F684" s="83">
        <v>2</v>
      </c>
      <c r="G684" s="83">
        <v>1.2</v>
      </c>
      <c r="H684" s="83">
        <v>1</v>
      </c>
      <c r="I684" s="83">
        <v>6.15</v>
      </c>
      <c r="J684" s="83">
        <v>0</v>
      </c>
      <c r="K684" s="84">
        <f t="shared" si="3"/>
        <v>14.76</v>
      </c>
      <c r="L684" s="82"/>
    </row>
    <row r="685" spans="2:12" ht="30" customHeight="1">
      <c r="B685" s="78"/>
      <c r="C685" s="976" t="s">
        <v>338</v>
      </c>
      <c r="D685" s="977"/>
      <c r="E685" s="978"/>
      <c r="F685" s="83">
        <v>2</v>
      </c>
      <c r="G685" s="83">
        <v>1.2</v>
      </c>
      <c r="H685" s="83">
        <v>1</v>
      </c>
      <c r="I685" s="83">
        <v>7</v>
      </c>
      <c r="J685" s="83">
        <v>0</v>
      </c>
      <c r="K685" s="84">
        <f t="shared" si="3"/>
        <v>16.8</v>
      </c>
      <c r="L685" s="82"/>
    </row>
    <row r="686" spans="2:12" ht="30.75" customHeight="1">
      <c r="B686" s="78"/>
      <c r="C686" s="976" t="s">
        <v>461</v>
      </c>
      <c r="D686" s="977"/>
      <c r="E686" s="978"/>
      <c r="F686" s="83">
        <v>2</v>
      </c>
      <c r="G686" s="83">
        <v>1.2</v>
      </c>
      <c r="H686" s="83">
        <v>1</v>
      </c>
      <c r="I686" s="83">
        <v>6</v>
      </c>
      <c r="J686" s="83">
        <v>0</v>
      </c>
      <c r="K686" s="84">
        <f t="shared" si="3"/>
        <v>14.399999999999999</v>
      </c>
      <c r="L686" s="82"/>
    </row>
    <row r="687" spans="2:12">
      <c r="B687" s="78"/>
      <c r="C687" s="976" t="s">
        <v>461</v>
      </c>
      <c r="D687" s="977"/>
      <c r="E687" s="978"/>
      <c r="F687" s="83">
        <v>2</v>
      </c>
      <c r="G687" s="83">
        <v>1.2</v>
      </c>
      <c r="H687" s="83">
        <v>1</v>
      </c>
      <c r="I687" s="83">
        <v>7</v>
      </c>
      <c r="J687" s="83">
        <v>0</v>
      </c>
      <c r="K687" s="84">
        <f t="shared" si="3"/>
        <v>16.8</v>
      </c>
      <c r="L687" s="82"/>
    </row>
    <row r="688" spans="2:12">
      <c r="B688" s="78"/>
      <c r="C688" s="976" t="s">
        <v>496</v>
      </c>
      <c r="D688" s="977"/>
      <c r="E688" s="978"/>
      <c r="F688" s="83">
        <v>2</v>
      </c>
      <c r="G688" s="83">
        <v>1.2</v>
      </c>
      <c r="H688" s="83">
        <v>1</v>
      </c>
      <c r="I688" s="83">
        <v>5.78</v>
      </c>
      <c r="J688" s="83">
        <v>0</v>
      </c>
      <c r="K688" s="84">
        <f t="shared" si="3"/>
        <v>13.872</v>
      </c>
      <c r="L688" s="82"/>
    </row>
    <row r="689" spans="2:12">
      <c r="B689" s="78"/>
      <c r="C689" s="976" t="s">
        <v>496</v>
      </c>
      <c r="D689" s="977"/>
      <c r="E689" s="978"/>
      <c r="F689" s="83">
        <v>2</v>
      </c>
      <c r="G689" s="83">
        <v>1.2</v>
      </c>
      <c r="H689" s="83">
        <v>1</v>
      </c>
      <c r="I689" s="83">
        <v>8</v>
      </c>
      <c r="J689" s="83">
        <v>0</v>
      </c>
      <c r="K689" s="84">
        <f t="shared" si="3"/>
        <v>19.2</v>
      </c>
      <c r="L689" s="82"/>
    </row>
    <row r="690" spans="2:12">
      <c r="B690" s="78"/>
      <c r="C690" s="976" t="s">
        <v>497</v>
      </c>
      <c r="D690" s="977"/>
      <c r="E690" s="978"/>
      <c r="F690" s="83">
        <v>2</v>
      </c>
      <c r="G690" s="83">
        <v>1.2</v>
      </c>
      <c r="H690" s="83">
        <v>1</v>
      </c>
      <c r="I690" s="83">
        <v>3.7</v>
      </c>
      <c r="J690" s="83">
        <v>0</v>
      </c>
      <c r="K690" s="84">
        <f t="shared" si="3"/>
        <v>8.8800000000000008</v>
      </c>
      <c r="L690" s="82"/>
    </row>
    <row r="691" spans="2:12">
      <c r="B691" s="78"/>
      <c r="C691" s="976" t="s">
        <v>497</v>
      </c>
      <c r="D691" s="977"/>
      <c r="E691" s="978"/>
      <c r="F691" s="83">
        <v>2</v>
      </c>
      <c r="G691" s="83">
        <v>1.2</v>
      </c>
      <c r="H691" s="83">
        <v>1</v>
      </c>
      <c r="I691" s="83">
        <v>3.8</v>
      </c>
      <c r="J691" s="83">
        <v>0</v>
      </c>
      <c r="K691" s="84">
        <f t="shared" si="3"/>
        <v>9.1199999999999992</v>
      </c>
      <c r="L691" s="82"/>
    </row>
    <row r="692" spans="2:12">
      <c r="B692" s="78"/>
      <c r="C692" s="976" t="s">
        <v>498</v>
      </c>
      <c r="D692" s="977"/>
      <c r="E692" s="978"/>
      <c r="F692" s="83">
        <v>2</v>
      </c>
      <c r="G692" s="83">
        <v>1.2</v>
      </c>
      <c r="H692" s="83">
        <v>1</v>
      </c>
      <c r="I692" s="83">
        <v>5.78</v>
      </c>
      <c r="J692" s="83">
        <v>0</v>
      </c>
      <c r="K692" s="84">
        <f t="shared" si="3"/>
        <v>13.872</v>
      </c>
      <c r="L692" s="82"/>
    </row>
    <row r="693" spans="2:12">
      <c r="B693" s="78"/>
      <c r="C693" s="976" t="s">
        <v>498</v>
      </c>
      <c r="D693" s="977"/>
      <c r="E693" s="978"/>
      <c r="F693" s="83">
        <v>2</v>
      </c>
      <c r="G693" s="83">
        <v>1.2</v>
      </c>
      <c r="H693" s="83">
        <v>1</v>
      </c>
      <c r="I693" s="83">
        <v>8</v>
      </c>
      <c r="J693" s="83">
        <v>0</v>
      </c>
      <c r="K693" s="84">
        <f t="shared" si="3"/>
        <v>19.2</v>
      </c>
      <c r="L693" s="82"/>
    </row>
    <row r="694" spans="2:12">
      <c r="B694" s="78"/>
      <c r="C694" s="976" t="s">
        <v>499</v>
      </c>
      <c r="D694" s="977"/>
      <c r="E694" s="978"/>
      <c r="F694" s="83">
        <v>1</v>
      </c>
      <c r="G694" s="83">
        <v>1.2</v>
      </c>
      <c r="H694" s="83">
        <v>1</v>
      </c>
      <c r="I694" s="83">
        <v>4.5199999999999996</v>
      </c>
      <c r="J694" s="83">
        <v>0</v>
      </c>
      <c r="K694" s="84">
        <f t="shared" si="3"/>
        <v>5.4239999999999995</v>
      </c>
      <c r="L694" s="82"/>
    </row>
    <row r="695" spans="2:12">
      <c r="B695" s="78"/>
      <c r="C695" s="976" t="s">
        <v>499</v>
      </c>
      <c r="D695" s="977"/>
      <c r="E695" s="978"/>
      <c r="F695" s="83">
        <v>1</v>
      </c>
      <c r="G695" s="83">
        <v>1.2</v>
      </c>
      <c r="H695" s="83">
        <v>1</v>
      </c>
      <c r="I695" s="83">
        <v>1.4</v>
      </c>
      <c r="J695" s="83">
        <v>0</v>
      </c>
      <c r="K695" s="84">
        <f t="shared" si="3"/>
        <v>1.68</v>
      </c>
      <c r="L695" s="82"/>
    </row>
    <row r="696" spans="2:12">
      <c r="B696" s="78"/>
      <c r="C696" s="976" t="s">
        <v>499</v>
      </c>
      <c r="D696" s="977"/>
      <c r="E696" s="978"/>
      <c r="F696" s="83">
        <v>1</v>
      </c>
      <c r="G696" s="83">
        <v>1.2</v>
      </c>
      <c r="H696" s="83">
        <v>1</v>
      </c>
      <c r="I696" s="83">
        <v>5.47</v>
      </c>
      <c r="J696" s="83">
        <v>0</v>
      </c>
      <c r="K696" s="84">
        <f t="shared" si="3"/>
        <v>6.5639999999999992</v>
      </c>
      <c r="L696" s="82"/>
    </row>
    <row r="697" spans="2:12">
      <c r="B697" s="78"/>
      <c r="C697" s="976" t="s">
        <v>499</v>
      </c>
      <c r="D697" s="977"/>
      <c r="E697" s="978"/>
      <c r="F697" s="83">
        <v>1</v>
      </c>
      <c r="G697" s="83">
        <v>1.2</v>
      </c>
      <c r="H697" s="83">
        <v>1</v>
      </c>
      <c r="I697" s="83">
        <v>5.5</v>
      </c>
      <c r="J697" s="83">
        <v>0</v>
      </c>
      <c r="K697" s="84">
        <f t="shared" si="3"/>
        <v>6.6</v>
      </c>
      <c r="L697" s="82"/>
    </row>
    <row r="698" spans="2:12">
      <c r="B698" s="78"/>
      <c r="C698" s="976" t="s">
        <v>499</v>
      </c>
      <c r="D698" s="977"/>
      <c r="E698" s="978"/>
      <c r="F698" s="83">
        <v>1</v>
      </c>
      <c r="G698" s="83">
        <v>1.2</v>
      </c>
      <c r="H698" s="83">
        <v>1</v>
      </c>
      <c r="I698" s="83">
        <v>4.16</v>
      </c>
      <c r="J698" s="83">
        <v>0</v>
      </c>
      <c r="K698" s="84">
        <f t="shared" si="3"/>
        <v>4.992</v>
      </c>
      <c r="L698" s="82"/>
    </row>
    <row r="699" spans="2:12">
      <c r="B699" s="78"/>
      <c r="C699" s="976" t="s">
        <v>465</v>
      </c>
      <c r="D699" s="977"/>
      <c r="E699" s="978"/>
      <c r="F699" s="83">
        <v>1</v>
      </c>
      <c r="G699" s="83">
        <v>1.2</v>
      </c>
      <c r="H699" s="83">
        <v>1</v>
      </c>
      <c r="I699" s="83">
        <v>4.3</v>
      </c>
      <c r="J699" s="83">
        <v>0</v>
      </c>
      <c r="K699" s="84">
        <f t="shared" si="3"/>
        <v>5.1599999999999993</v>
      </c>
      <c r="L699" s="82"/>
    </row>
    <row r="700" spans="2:12">
      <c r="B700" s="78"/>
      <c r="C700" s="976" t="s">
        <v>465</v>
      </c>
      <c r="D700" s="977"/>
      <c r="E700" s="978"/>
      <c r="F700" s="83">
        <v>1</v>
      </c>
      <c r="G700" s="83">
        <v>1.2</v>
      </c>
      <c r="H700" s="83">
        <v>1</v>
      </c>
      <c r="I700" s="83">
        <v>1.1599999999999999</v>
      </c>
      <c r="J700" s="83">
        <v>0</v>
      </c>
      <c r="K700" s="84">
        <f t="shared" si="3"/>
        <v>1.3919999999999999</v>
      </c>
      <c r="L700" s="82"/>
    </row>
    <row r="701" spans="2:12">
      <c r="B701" s="78"/>
      <c r="C701" s="976" t="s">
        <v>465</v>
      </c>
      <c r="D701" s="977"/>
      <c r="E701" s="978"/>
      <c r="F701" s="83">
        <v>1</v>
      </c>
      <c r="G701" s="83">
        <v>1.2</v>
      </c>
      <c r="H701" s="83">
        <v>1</v>
      </c>
      <c r="I701" s="83">
        <v>5.6</v>
      </c>
      <c r="J701" s="83">
        <v>0</v>
      </c>
      <c r="K701" s="84">
        <f t="shared" si="3"/>
        <v>6.72</v>
      </c>
      <c r="L701" s="82"/>
    </row>
    <row r="702" spans="2:12">
      <c r="B702" s="78"/>
      <c r="C702" s="976" t="s">
        <v>465</v>
      </c>
      <c r="D702" s="977"/>
      <c r="E702" s="978"/>
      <c r="F702" s="83">
        <v>1</v>
      </c>
      <c r="G702" s="83">
        <v>1.2</v>
      </c>
      <c r="H702" s="83">
        <v>1</v>
      </c>
      <c r="I702" s="83">
        <v>5.6</v>
      </c>
      <c r="J702" s="83">
        <v>0</v>
      </c>
      <c r="K702" s="84">
        <f t="shared" si="3"/>
        <v>6.72</v>
      </c>
      <c r="L702" s="82"/>
    </row>
    <row r="703" spans="2:12">
      <c r="B703" s="78"/>
      <c r="C703" s="976" t="s">
        <v>465</v>
      </c>
      <c r="D703" s="977"/>
      <c r="E703" s="978"/>
      <c r="F703" s="83">
        <v>1</v>
      </c>
      <c r="G703" s="83">
        <v>1.2</v>
      </c>
      <c r="H703" s="83">
        <v>1</v>
      </c>
      <c r="I703" s="83">
        <v>4.4000000000000004</v>
      </c>
      <c r="J703" s="83">
        <v>0</v>
      </c>
      <c r="K703" s="84">
        <f t="shared" si="3"/>
        <v>5.28</v>
      </c>
      <c r="L703" s="82"/>
    </row>
    <row r="704" spans="2:12">
      <c r="B704" s="78"/>
      <c r="C704" s="976" t="s">
        <v>465</v>
      </c>
      <c r="D704" s="977"/>
      <c r="E704" s="978"/>
      <c r="F704" s="83">
        <v>1</v>
      </c>
      <c r="G704" s="83">
        <v>1.2</v>
      </c>
      <c r="H704" s="83">
        <v>1</v>
      </c>
      <c r="I704" s="83">
        <v>1.4</v>
      </c>
      <c r="J704" s="83">
        <v>0</v>
      </c>
      <c r="K704" s="84">
        <f t="shared" si="3"/>
        <v>1.68</v>
      </c>
      <c r="L704" s="82"/>
    </row>
    <row r="705" spans="2:12">
      <c r="B705" s="220"/>
      <c r="C705" s="976" t="s">
        <v>500</v>
      </c>
      <c r="D705" s="977"/>
      <c r="E705" s="978"/>
      <c r="F705" s="83">
        <v>2</v>
      </c>
      <c r="G705" s="83">
        <v>1.2</v>
      </c>
      <c r="H705" s="83">
        <v>1</v>
      </c>
      <c r="I705" s="83">
        <v>5.6</v>
      </c>
      <c r="J705" s="83">
        <v>0</v>
      </c>
      <c r="K705" s="84">
        <f t="shared" si="3"/>
        <v>13.44</v>
      </c>
      <c r="L705" s="82"/>
    </row>
    <row r="706" spans="2:12">
      <c r="B706" s="220"/>
      <c r="C706" s="976" t="s">
        <v>500</v>
      </c>
      <c r="D706" s="977"/>
      <c r="E706" s="978"/>
      <c r="F706" s="83">
        <v>2</v>
      </c>
      <c r="G706" s="83">
        <v>1.2</v>
      </c>
      <c r="H706" s="83">
        <v>1</v>
      </c>
      <c r="I706" s="83">
        <v>5.67</v>
      </c>
      <c r="J706" s="83">
        <v>0</v>
      </c>
      <c r="K706" s="84">
        <f t="shared" si="3"/>
        <v>13.607999999999999</v>
      </c>
      <c r="L706" s="82"/>
    </row>
    <row r="707" spans="2:12">
      <c r="B707" s="220"/>
      <c r="C707" s="976" t="s">
        <v>501</v>
      </c>
      <c r="D707" s="977"/>
      <c r="E707" s="978"/>
      <c r="F707" s="83">
        <v>2</v>
      </c>
      <c r="G707" s="83">
        <v>1.2</v>
      </c>
      <c r="H707" s="83">
        <v>1</v>
      </c>
      <c r="I707" s="83">
        <v>5.6</v>
      </c>
      <c r="J707" s="83">
        <v>0</v>
      </c>
      <c r="K707" s="84">
        <f t="shared" si="3"/>
        <v>13.44</v>
      </c>
      <c r="L707" s="82"/>
    </row>
    <row r="708" spans="2:12">
      <c r="B708" s="220"/>
      <c r="C708" s="976" t="s">
        <v>501</v>
      </c>
      <c r="D708" s="977"/>
      <c r="E708" s="978"/>
      <c r="F708" s="83">
        <v>2</v>
      </c>
      <c r="G708" s="83">
        <v>1.2</v>
      </c>
      <c r="H708" s="83">
        <v>1</v>
      </c>
      <c r="I708" s="83">
        <v>5.67</v>
      </c>
      <c r="J708" s="83">
        <v>0</v>
      </c>
      <c r="K708" s="84">
        <f t="shared" si="3"/>
        <v>13.607999999999999</v>
      </c>
      <c r="L708" s="82"/>
    </row>
    <row r="709" spans="2:12">
      <c r="B709" s="220"/>
      <c r="C709" s="976" t="s">
        <v>505</v>
      </c>
      <c r="D709" s="977"/>
      <c r="E709" s="978"/>
      <c r="F709" s="83">
        <v>2</v>
      </c>
      <c r="G709" s="83">
        <v>1.2</v>
      </c>
      <c r="H709" s="83">
        <v>1</v>
      </c>
      <c r="I709" s="83">
        <v>3</v>
      </c>
      <c r="J709" s="83">
        <v>0</v>
      </c>
      <c r="K709" s="84">
        <f t="shared" si="3"/>
        <v>7.1999999999999993</v>
      </c>
      <c r="L709" s="82"/>
    </row>
    <row r="710" spans="2:12">
      <c r="B710" s="220"/>
      <c r="C710" s="976" t="s">
        <v>505</v>
      </c>
      <c r="D710" s="977"/>
      <c r="E710" s="978"/>
      <c r="F710" s="83">
        <v>2</v>
      </c>
      <c r="G710" s="83">
        <v>1.2</v>
      </c>
      <c r="H710" s="83">
        <v>1</v>
      </c>
      <c r="I710" s="83">
        <v>2.85</v>
      </c>
      <c r="J710" s="83">
        <v>0</v>
      </c>
      <c r="K710" s="84">
        <f t="shared" si="3"/>
        <v>6.84</v>
      </c>
      <c r="L710" s="82"/>
    </row>
    <row r="711" spans="2:12">
      <c r="B711" s="220"/>
      <c r="C711" s="976" t="s">
        <v>502</v>
      </c>
      <c r="D711" s="977"/>
      <c r="E711" s="978"/>
      <c r="F711" s="83">
        <v>2</v>
      </c>
      <c r="G711" s="83">
        <v>1.2</v>
      </c>
      <c r="H711" s="83">
        <v>1</v>
      </c>
      <c r="I711" s="83">
        <v>5.82</v>
      </c>
      <c r="J711" s="83">
        <v>0</v>
      </c>
      <c r="K711" s="84">
        <f t="shared" si="3"/>
        <v>13.968</v>
      </c>
      <c r="L711" s="82"/>
    </row>
    <row r="712" spans="2:12">
      <c r="B712" s="220"/>
      <c r="C712" s="976" t="s">
        <v>502</v>
      </c>
      <c r="D712" s="977"/>
      <c r="E712" s="978"/>
      <c r="F712" s="83">
        <v>2</v>
      </c>
      <c r="G712" s="83">
        <v>1.2</v>
      </c>
      <c r="H712" s="83">
        <v>1</v>
      </c>
      <c r="I712" s="83">
        <v>5.55</v>
      </c>
      <c r="J712" s="83">
        <v>0</v>
      </c>
      <c r="K712" s="84">
        <f t="shared" si="3"/>
        <v>13.319999999999999</v>
      </c>
      <c r="L712" s="82"/>
    </row>
    <row r="713" spans="2:12">
      <c r="B713" s="220"/>
      <c r="C713" s="976" t="s">
        <v>503</v>
      </c>
      <c r="D713" s="977"/>
      <c r="E713" s="978"/>
      <c r="F713" s="83">
        <v>2</v>
      </c>
      <c r="G713" s="83">
        <v>1.2</v>
      </c>
      <c r="H713" s="83">
        <v>1</v>
      </c>
      <c r="I713" s="83">
        <v>5.82</v>
      </c>
      <c r="J713" s="83">
        <v>0</v>
      </c>
      <c r="K713" s="84">
        <f t="shared" si="3"/>
        <v>13.968</v>
      </c>
      <c r="L713" s="82"/>
    </row>
    <row r="714" spans="2:12">
      <c r="B714" s="220"/>
      <c r="C714" s="976" t="s">
        <v>503</v>
      </c>
      <c r="D714" s="977"/>
      <c r="E714" s="978"/>
      <c r="F714" s="83">
        <v>2</v>
      </c>
      <c r="G714" s="83">
        <v>1.2</v>
      </c>
      <c r="H714" s="83">
        <v>1</v>
      </c>
      <c r="I714" s="83">
        <v>5.55</v>
      </c>
      <c r="J714" s="83">
        <v>0</v>
      </c>
      <c r="K714" s="84">
        <f t="shared" si="3"/>
        <v>13.319999999999999</v>
      </c>
      <c r="L714" s="82"/>
    </row>
    <row r="715" spans="2:12">
      <c r="B715" s="220"/>
      <c r="C715" s="976" t="s">
        <v>504</v>
      </c>
      <c r="D715" s="977"/>
      <c r="E715" s="978"/>
      <c r="F715" s="83">
        <v>2</v>
      </c>
      <c r="G715" s="83">
        <v>1.2</v>
      </c>
      <c r="H715" s="83">
        <v>1</v>
      </c>
      <c r="I715" s="83">
        <v>3.85</v>
      </c>
      <c r="J715" s="83">
        <v>0</v>
      </c>
      <c r="K715" s="84">
        <f t="shared" si="3"/>
        <v>9.24</v>
      </c>
      <c r="L715" s="82"/>
    </row>
    <row r="716" spans="2:12">
      <c r="B716" s="220"/>
      <c r="C716" s="976" t="s">
        <v>504</v>
      </c>
      <c r="D716" s="977"/>
      <c r="E716" s="978"/>
      <c r="F716" s="83">
        <v>2</v>
      </c>
      <c r="G716" s="83">
        <v>1.2</v>
      </c>
      <c r="H716" s="83">
        <v>1</v>
      </c>
      <c r="I716" s="83">
        <v>5.82</v>
      </c>
      <c r="J716" s="83">
        <v>0</v>
      </c>
      <c r="K716" s="84">
        <f t="shared" si="3"/>
        <v>13.968</v>
      </c>
      <c r="L716" s="82"/>
    </row>
    <row r="717" spans="2:12">
      <c r="B717" s="220"/>
      <c r="C717" s="976" t="s">
        <v>508</v>
      </c>
      <c r="D717" s="977"/>
      <c r="E717" s="978"/>
      <c r="F717" s="83">
        <v>2</v>
      </c>
      <c r="G717" s="83">
        <v>1</v>
      </c>
      <c r="H717" s="83">
        <v>1</v>
      </c>
      <c r="I717" s="83">
        <v>2.96</v>
      </c>
      <c r="J717" s="83">
        <v>0</v>
      </c>
      <c r="K717" s="84">
        <f t="shared" si="3"/>
        <v>5.92</v>
      </c>
      <c r="L717" s="82"/>
    </row>
    <row r="718" spans="2:12">
      <c r="B718" s="220"/>
      <c r="C718" s="976" t="s">
        <v>508</v>
      </c>
      <c r="D718" s="977"/>
      <c r="E718" s="978"/>
      <c r="F718" s="83">
        <v>2</v>
      </c>
      <c r="G718" s="83">
        <v>1</v>
      </c>
      <c r="H718" s="83">
        <v>1</v>
      </c>
      <c r="I718" s="83">
        <v>1.9</v>
      </c>
      <c r="J718" s="83">
        <v>1.68</v>
      </c>
      <c r="K718" s="84">
        <f t="shared" si="3"/>
        <v>2.12</v>
      </c>
      <c r="L718" s="82"/>
    </row>
    <row r="719" spans="2:12">
      <c r="B719" s="220"/>
      <c r="C719" s="976" t="s">
        <v>508</v>
      </c>
      <c r="D719" s="977"/>
      <c r="E719" s="978"/>
      <c r="F719" s="83">
        <v>2</v>
      </c>
      <c r="G719" s="83">
        <v>1</v>
      </c>
      <c r="H719" s="83">
        <v>1</v>
      </c>
      <c r="I719" s="83">
        <v>22</v>
      </c>
      <c r="J719" s="83">
        <f>3*1.68</f>
        <v>5.04</v>
      </c>
      <c r="K719" s="84">
        <f t="shared" si="3"/>
        <v>38.96</v>
      </c>
      <c r="L719" s="82"/>
    </row>
    <row r="720" spans="2:12">
      <c r="B720" s="78"/>
      <c r="C720" s="979" t="s">
        <v>116</v>
      </c>
      <c r="D720" s="979"/>
      <c r="E720" s="979"/>
      <c r="F720" s="979"/>
      <c r="G720" s="979"/>
      <c r="H720" s="979"/>
      <c r="I720" s="979"/>
      <c r="J720" s="979"/>
      <c r="K720" s="81">
        <f>SUM(K679:K719)</f>
        <v>836.67599999999993</v>
      </c>
      <c r="L720" s="82"/>
    </row>
    <row r="721" spans="2:12">
      <c r="B721" s="367"/>
      <c r="C721" s="180"/>
      <c r="D721" s="180"/>
      <c r="E721" s="180"/>
      <c r="F721" s="180"/>
      <c r="G721" s="180"/>
      <c r="H721" s="180"/>
      <c r="I721" s="180"/>
      <c r="J721" s="180"/>
      <c r="K721" s="181"/>
      <c r="L721" s="82"/>
    </row>
    <row r="722" spans="2:12" ht="31.5" customHeight="1">
      <c r="B722" s="367" t="s">
        <v>37</v>
      </c>
      <c r="C722" s="989" t="str">
        <f>'ESC. LAFAYETE NUNES MACHADO'!C27</f>
        <v>PINTURA DE ACABAMENTO COM APLICAÇÃO DE 02 DEMÃOS DE ESMALTE SOBRE PAREDE (EXTERNO E INTERNO)</v>
      </c>
      <c r="D722" s="990"/>
      <c r="E722" s="990"/>
      <c r="F722" s="990"/>
      <c r="G722" s="990"/>
      <c r="H722" s="990"/>
      <c r="I722" s="990"/>
      <c r="J722" s="991"/>
      <c r="K722" s="97" t="s">
        <v>7</v>
      </c>
      <c r="L722" s="97">
        <f>K765</f>
        <v>418.33799999999997</v>
      </c>
    </row>
    <row r="723" spans="2:12">
      <c r="B723" s="367"/>
      <c r="C723" s="992" t="s">
        <v>20</v>
      </c>
      <c r="D723" s="992"/>
      <c r="E723" s="992"/>
      <c r="F723" s="79" t="s">
        <v>22</v>
      </c>
      <c r="G723" s="365" t="s">
        <v>111</v>
      </c>
      <c r="H723" s="79" t="s">
        <v>112</v>
      </c>
      <c r="I723" s="365" t="s">
        <v>113</v>
      </c>
      <c r="J723" s="365" t="s">
        <v>114</v>
      </c>
      <c r="K723" s="81" t="s">
        <v>25</v>
      </c>
      <c r="L723" s="82"/>
    </row>
    <row r="724" spans="2:12" ht="15.75" customHeight="1">
      <c r="B724" s="367"/>
      <c r="C724" s="976" t="s">
        <v>488</v>
      </c>
      <c r="D724" s="977"/>
      <c r="E724" s="978"/>
      <c r="F724" s="83">
        <v>2</v>
      </c>
      <c r="G724" s="83">
        <v>2.2000000000000002</v>
      </c>
      <c r="H724" s="83">
        <v>1</v>
      </c>
      <c r="I724" s="83">
        <f>SUM(2.31+31.37)</f>
        <v>33.68</v>
      </c>
      <c r="J724" s="83">
        <v>0</v>
      </c>
      <c r="K724" s="84">
        <f>(F724*G724*H724*I724)-J724</f>
        <v>148.19200000000001</v>
      </c>
      <c r="L724" s="82"/>
    </row>
    <row r="725" spans="2:12" ht="15.75" customHeight="1">
      <c r="B725" s="367"/>
      <c r="C725" s="976" t="s">
        <v>489</v>
      </c>
      <c r="D725" s="977"/>
      <c r="E725" s="978"/>
      <c r="F725" s="83">
        <v>1</v>
      </c>
      <c r="G725" s="83">
        <v>1.2</v>
      </c>
      <c r="H725" s="83">
        <v>1</v>
      </c>
      <c r="I725" s="83">
        <f>SUM(6.21+38.18+1.4+2.08+1.4+4.87)</f>
        <v>54.139999999999993</v>
      </c>
      <c r="J725" s="83">
        <v>0</v>
      </c>
      <c r="K725" s="84">
        <f t="shared" ref="K725:K764" si="4">(F725*G725*H725*I725)-J725</f>
        <v>64.967999999999989</v>
      </c>
      <c r="L725" s="82"/>
    </row>
    <row r="726" spans="2:12" ht="15.75" customHeight="1">
      <c r="B726" s="367"/>
      <c r="C726" s="976" t="s">
        <v>509</v>
      </c>
      <c r="D726" s="977"/>
      <c r="E726" s="978"/>
      <c r="F726" s="83">
        <v>1</v>
      </c>
      <c r="G726" s="83">
        <v>2.82</v>
      </c>
      <c r="H726" s="83">
        <v>1</v>
      </c>
      <c r="I726" s="83">
        <v>36</v>
      </c>
      <c r="J726" s="83">
        <v>0</v>
      </c>
      <c r="K726" s="84">
        <f t="shared" si="4"/>
        <v>101.52</v>
      </c>
      <c r="L726" s="82"/>
    </row>
    <row r="727" spans="2:12" ht="15.75" customHeight="1">
      <c r="B727" s="367"/>
      <c r="C727" s="976" t="s">
        <v>490</v>
      </c>
      <c r="D727" s="977"/>
      <c r="E727" s="978"/>
      <c r="F727" s="83">
        <v>1</v>
      </c>
      <c r="G727" s="83">
        <v>1.2</v>
      </c>
      <c r="H727" s="83">
        <v>1</v>
      </c>
      <c r="I727" s="83">
        <f>SUM(6.3+2.66+9.55+1.44+9.63+8.3+5.93+1.33+1.83+3.7+1.98)</f>
        <v>52.650000000000006</v>
      </c>
      <c r="J727" s="83">
        <v>0</v>
      </c>
      <c r="K727" s="84">
        <f t="shared" si="4"/>
        <v>63.180000000000007</v>
      </c>
      <c r="L727" s="82"/>
    </row>
    <row r="728" spans="2:12" ht="15.75" customHeight="1">
      <c r="B728" s="367"/>
      <c r="C728" s="976" t="s">
        <v>491</v>
      </c>
      <c r="D728" s="977"/>
      <c r="E728" s="978"/>
      <c r="F728" s="83">
        <v>1</v>
      </c>
      <c r="G728" s="83">
        <v>1.2</v>
      </c>
      <c r="H728" s="83">
        <v>1</v>
      </c>
      <c r="I728" s="83">
        <f>SUM(22.6+11.95+2.6+3.45+5.7+1+8.35)</f>
        <v>55.650000000000006</v>
      </c>
      <c r="J728" s="83">
        <v>0</v>
      </c>
      <c r="K728" s="84">
        <f t="shared" si="4"/>
        <v>66.78</v>
      </c>
      <c r="L728" s="82"/>
    </row>
    <row r="729" spans="2:12" ht="15.75" customHeight="1">
      <c r="B729" s="367"/>
      <c r="C729" s="976" t="s">
        <v>338</v>
      </c>
      <c r="D729" s="977"/>
      <c r="E729" s="978"/>
      <c r="F729" s="83">
        <v>2</v>
      </c>
      <c r="G729" s="83">
        <v>1.2</v>
      </c>
      <c r="H729" s="83">
        <v>1</v>
      </c>
      <c r="I729" s="83">
        <v>6.15</v>
      </c>
      <c r="J729" s="83">
        <v>0</v>
      </c>
      <c r="K729" s="84">
        <f t="shared" si="4"/>
        <v>14.76</v>
      </c>
      <c r="L729" s="82"/>
    </row>
    <row r="730" spans="2:12" ht="15.75" customHeight="1">
      <c r="B730" s="367"/>
      <c r="C730" s="976" t="s">
        <v>338</v>
      </c>
      <c r="D730" s="977"/>
      <c r="E730" s="978"/>
      <c r="F730" s="83">
        <v>2</v>
      </c>
      <c r="G730" s="83">
        <v>1.2</v>
      </c>
      <c r="H730" s="83">
        <v>1</v>
      </c>
      <c r="I730" s="83">
        <v>7</v>
      </c>
      <c r="J730" s="83">
        <v>0</v>
      </c>
      <c r="K730" s="84">
        <f t="shared" si="4"/>
        <v>16.8</v>
      </c>
      <c r="L730" s="82"/>
    </row>
    <row r="731" spans="2:12" ht="15.75" customHeight="1">
      <c r="B731" s="367"/>
      <c r="C731" s="976" t="s">
        <v>461</v>
      </c>
      <c r="D731" s="977"/>
      <c r="E731" s="978"/>
      <c r="F731" s="83">
        <v>2</v>
      </c>
      <c r="G731" s="83">
        <v>1.2</v>
      </c>
      <c r="H731" s="83">
        <v>1</v>
      </c>
      <c r="I731" s="83">
        <v>6</v>
      </c>
      <c r="J731" s="83">
        <v>0</v>
      </c>
      <c r="K731" s="84">
        <f t="shared" si="4"/>
        <v>14.399999999999999</v>
      </c>
      <c r="L731" s="82"/>
    </row>
    <row r="732" spans="2:12" ht="15.75" customHeight="1">
      <c r="B732" s="367"/>
      <c r="C732" s="976" t="s">
        <v>461</v>
      </c>
      <c r="D732" s="977"/>
      <c r="E732" s="978"/>
      <c r="F732" s="83">
        <v>2</v>
      </c>
      <c r="G732" s="83">
        <v>1.2</v>
      </c>
      <c r="H732" s="83">
        <v>1</v>
      </c>
      <c r="I732" s="83">
        <v>7</v>
      </c>
      <c r="J732" s="83">
        <v>0</v>
      </c>
      <c r="K732" s="84">
        <f t="shared" si="4"/>
        <v>16.8</v>
      </c>
      <c r="L732" s="82"/>
    </row>
    <row r="733" spans="2:12" ht="15.75" customHeight="1">
      <c r="B733" s="367"/>
      <c r="C733" s="976" t="s">
        <v>496</v>
      </c>
      <c r="D733" s="977"/>
      <c r="E733" s="978"/>
      <c r="F733" s="83">
        <v>2</v>
      </c>
      <c r="G733" s="83">
        <v>1.2</v>
      </c>
      <c r="H733" s="83">
        <v>1</v>
      </c>
      <c r="I733" s="83">
        <v>5.78</v>
      </c>
      <c r="J733" s="83">
        <v>0</v>
      </c>
      <c r="K733" s="84">
        <f t="shared" si="4"/>
        <v>13.872</v>
      </c>
      <c r="L733" s="82"/>
    </row>
    <row r="734" spans="2:12" ht="15.75" customHeight="1">
      <c r="B734" s="367"/>
      <c r="C734" s="976" t="s">
        <v>496</v>
      </c>
      <c r="D734" s="977"/>
      <c r="E734" s="978"/>
      <c r="F734" s="83">
        <v>2</v>
      </c>
      <c r="G734" s="83">
        <v>1.2</v>
      </c>
      <c r="H734" s="83">
        <v>1</v>
      </c>
      <c r="I734" s="83">
        <v>8</v>
      </c>
      <c r="J734" s="83">
        <v>0</v>
      </c>
      <c r="K734" s="84">
        <f t="shared" si="4"/>
        <v>19.2</v>
      </c>
      <c r="L734" s="82"/>
    </row>
    <row r="735" spans="2:12" ht="15.75" customHeight="1">
      <c r="B735" s="367"/>
      <c r="C735" s="976" t="s">
        <v>497</v>
      </c>
      <c r="D735" s="977"/>
      <c r="E735" s="978"/>
      <c r="F735" s="83">
        <v>2</v>
      </c>
      <c r="G735" s="83">
        <v>1.2</v>
      </c>
      <c r="H735" s="83">
        <v>1</v>
      </c>
      <c r="I735" s="83">
        <v>3.7</v>
      </c>
      <c r="J735" s="83">
        <v>0</v>
      </c>
      <c r="K735" s="84">
        <f t="shared" si="4"/>
        <v>8.8800000000000008</v>
      </c>
      <c r="L735" s="82"/>
    </row>
    <row r="736" spans="2:12" ht="15.75" customHeight="1">
      <c r="B736" s="367"/>
      <c r="C736" s="976" t="s">
        <v>497</v>
      </c>
      <c r="D736" s="977"/>
      <c r="E736" s="978"/>
      <c r="F736" s="83">
        <v>2</v>
      </c>
      <c r="G736" s="83">
        <v>1.2</v>
      </c>
      <c r="H736" s="83">
        <v>1</v>
      </c>
      <c r="I736" s="83">
        <v>3.8</v>
      </c>
      <c r="J736" s="83">
        <v>0</v>
      </c>
      <c r="K736" s="84">
        <f t="shared" si="4"/>
        <v>9.1199999999999992</v>
      </c>
      <c r="L736" s="82"/>
    </row>
    <row r="737" spans="2:12" ht="15.75" customHeight="1">
      <c r="B737" s="367"/>
      <c r="C737" s="976" t="s">
        <v>498</v>
      </c>
      <c r="D737" s="977"/>
      <c r="E737" s="978"/>
      <c r="F737" s="83">
        <v>2</v>
      </c>
      <c r="G737" s="83">
        <v>1.2</v>
      </c>
      <c r="H737" s="83">
        <v>1</v>
      </c>
      <c r="I737" s="83">
        <v>5.78</v>
      </c>
      <c r="J737" s="83">
        <v>0</v>
      </c>
      <c r="K737" s="84">
        <f t="shared" si="4"/>
        <v>13.872</v>
      </c>
      <c r="L737" s="82"/>
    </row>
    <row r="738" spans="2:12" ht="15.75" customHeight="1">
      <c r="B738" s="367"/>
      <c r="C738" s="976" t="s">
        <v>498</v>
      </c>
      <c r="D738" s="977"/>
      <c r="E738" s="978"/>
      <c r="F738" s="83">
        <v>2</v>
      </c>
      <c r="G738" s="83">
        <v>1.2</v>
      </c>
      <c r="H738" s="83">
        <v>1</v>
      </c>
      <c r="I738" s="83">
        <v>8</v>
      </c>
      <c r="J738" s="83">
        <v>0</v>
      </c>
      <c r="K738" s="84">
        <f t="shared" si="4"/>
        <v>19.2</v>
      </c>
      <c r="L738" s="82"/>
    </row>
    <row r="739" spans="2:12" ht="15.75" customHeight="1">
      <c r="B739" s="367"/>
      <c r="C739" s="976" t="s">
        <v>499</v>
      </c>
      <c r="D739" s="977"/>
      <c r="E739" s="978"/>
      <c r="F739" s="83">
        <v>1</v>
      </c>
      <c r="G739" s="83">
        <v>1.2</v>
      </c>
      <c r="H739" s="83">
        <v>1</v>
      </c>
      <c r="I739" s="83">
        <v>4.5199999999999996</v>
      </c>
      <c r="J739" s="83">
        <v>0</v>
      </c>
      <c r="K739" s="84">
        <f t="shared" si="4"/>
        <v>5.4239999999999995</v>
      </c>
      <c r="L739" s="82"/>
    </row>
    <row r="740" spans="2:12" ht="15.75" customHeight="1">
      <c r="B740" s="367"/>
      <c r="C740" s="976" t="s">
        <v>499</v>
      </c>
      <c r="D740" s="977"/>
      <c r="E740" s="978"/>
      <c r="F740" s="83">
        <v>1</v>
      </c>
      <c r="G740" s="83">
        <v>1.2</v>
      </c>
      <c r="H740" s="83">
        <v>1</v>
      </c>
      <c r="I740" s="83">
        <v>1.4</v>
      </c>
      <c r="J740" s="83">
        <v>0</v>
      </c>
      <c r="K740" s="84">
        <f t="shared" si="4"/>
        <v>1.68</v>
      </c>
      <c r="L740" s="82"/>
    </row>
    <row r="741" spans="2:12" ht="15.75" customHeight="1">
      <c r="B741" s="367"/>
      <c r="C741" s="976" t="s">
        <v>499</v>
      </c>
      <c r="D741" s="977"/>
      <c r="E741" s="978"/>
      <c r="F741" s="83">
        <v>1</v>
      </c>
      <c r="G741" s="83">
        <v>1.2</v>
      </c>
      <c r="H741" s="83">
        <v>1</v>
      </c>
      <c r="I741" s="83">
        <v>5.47</v>
      </c>
      <c r="J741" s="83">
        <v>0</v>
      </c>
      <c r="K741" s="84">
        <f t="shared" si="4"/>
        <v>6.5639999999999992</v>
      </c>
      <c r="L741" s="82"/>
    </row>
    <row r="742" spans="2:12" ht="15.75" customHeight="1">
      <c r="B742" s="367"/>
      <c r="C742" s="976" t="s">
        <v>499</v>
      </c>
      <c r="D742" s="977"/>
      <c r="E742" s="978"/>
      <c r="F742" s="83">
        <v>1</v>
      </c>
      <c r="G742" s="83">
        <v>1.2</v>
      </c>
      <c r="H742" s="83">
        <v>1</v>
      </c>
      <c r="I742" s="83">
        <v>5.5</v>
      </c>
      <c r="J742" s="83">
        <v>0</v>
      </c>
      <c r="K742" s="84">
        <f t="shared" si="4"/>
        <v>6.6</v>
      </c>
      <c r="L742" s="82"/>
    </row>
    <row r="743" spans="2:12" ht="15.75" customHeight="1">
      <c r="B743" s="367"/>
      <c r="C743" s="976" t="s">
        <v>499</v>
      </c>
      <c r="D743" s="977"/>
      <c r="E743" s="978"/>
      <c r="F743" s="83">
        <v>1</v>
      </c>
      <c r="G743" s="83">
        <v>1.2</v>
      </c>
      <c r="H743" s="83">
        <v>1</v>
      </c>
      <c r="I743" s="83">
        <v>4.16</v>
      </c>
      <c r="J743" s="83">
        <v>0</v>
      </c>
      <c r="K743" s="84">
        <f t="shared" si="4"/>
        <v>4.992</v>
      </c>
      <c r="L743" s="82"/>
    </row>
    <row r="744" spans="2:12" ht="15.75" customHeight="1">
      <c r="B744" s="367"/>
      <c r="C744" s="976" t="s">
        <v>465</v>
      </c>
      <c r="D744" s="977"/>
      <c r="E744" s="978"/>
      <c r="F744" s="83">
        <v>1</v>
      </c>
      <c r="G744" s="83">
        <v>1.2</v>
      </c>
      <c r="H744" s="83">
        <v>1</v>
      </c>
      <c r="I744" s="83">
        <v>4.3</v>
      </c>
      <c r="J744" s="83">
        <v>0</v>
      </c>
      <c r="K744" s="84">
        <f t="shared" si="4"/>
        <v>5.1599999999999993</v>
      </c>
      <c r="L744" s="82"/>
    </row>
    <row r="745" spans="2:12" ht="15.75" customHeight="1">
      <c r="B745" s="367"/>
      <c r="C745" s="976" t="s">
        <v>465</v>
      </c>
      <c r="D745" s="977"/>
      <c r="E745" s="978"/>
      <c r="F745" s="83">
        <v>1</v>
      </c>
      <c r="G745" s="83">
        <v>1.2</v>
      </c>
      <c r="H745" s="83">
        <v>1</v>
      </c>
      <c r="I745" s="83">
        <v>1.1599999999999999</v>
      </c>
      <c r="J745" s="83">
        <v>0</v>
      </c>
      <c r="K745" s="84">
        <f t="shared" si="4"/>
        <v>1.3919999999999999</v>
      </c>
      <c r="L745" s="82"/>
    </row>
    <row r="746" spans="2:12" ht="15.75" customHeight="1">
      <c r="B746" s="367"/>
      <c r="C746" s="976" t="s">
        <v>465</v>
      </c>
      <c r="D746" s="977"/>
      <c r="E746" s="978"/>
      <c r="F746" s="83">
        <v>1</v>
      </c>
      <c r="G746" s="83">
        <v>1.2</v>
      </c>
      <c r="H746" s="83">
        <v>1</v>
      </c>
      <c r="I746" s="83">
        <v>5.6</v>
      </c>
      <c r="J746" s="83">
        <v>0</v>
      </c>
      <c r="K746" s="84">
        <f t="shared" si="4"/>
        <v>6.72</v>
      </c>
      <c r="L746" s="82"/>
    </row>
    <row r="747" spans="2:12" ht="15.75" customHeight="1">
      <c r="B747" s="367"/>
      <c r="C747" s="976" t="s">
        <v>465</v>
      </c>
      <c r="D747" s="977"/>
      <c r="E747" s="978"/>
      <c r="F747" s="83">
        <v>1</v>
      </c>
      <c r="G747" s="83">
        <v>1.2</v>
      </c>
      <c r="H747" s="83">
        <v>1</v>
      </c>
      <c r="I747" s="83">
        <v>5.6</v>
      </c>
      <c r="J747" s="83">
        <v>0</v>
      </c>
      <c r="K747" s="84">
        <f t="shared" si="4"/>
        <v>6.72</v>
      </c>
      <c r="L747" s="82"/>
    </row>
    <row r="748" spans="2:12" ht="15.75" customHeight="1">
      <c r="B748" s="367"/>
      <c r="C748" s="976" t="s">
        <v>465</v>
      </c>
      <c r="D748" s="977"/>
      <c r="E748" s="978"/>
      <c r="F748" s="83">
        <v>1</v>
      </c>
      <c r="G748" s="83">
        <v>1.2</v>
      </c>
      <c r="H748" s="83">
        <v>1</v>
      </c>
      <c r="I748" s="83">
        <v>4.4000000000000004</v>
      </c>
      <c r="J748" s="83">
        <v>0</v>
      </c>
      <c r="K748" s="84">
        <f t="shared" si="4"/>
        <v>5.28</v>
      </c>
      <c r="L748" s="82"/>
    </row>
    <row r="749" spans="2:12" ht="15.75" customHeight="1">
      <c r="B749" s="367"/>
      <c r="C749" s="976" t="s">
        <v>465</v>
      </c>
      <c r="D749" s="977"/>
      <c r="E749" s="978"/>
      <c r="F749" s="83">
        <v>1</v>
      </c>
      <c r="G749" s="83">
        <v>1.2</v>
      </c>
      <c r="H749" s="83">
        <v>1</v>
      </c>
      <c r="I749" s="83">
        <v>1.4</v>
      </c>
      <c r="J749" s="83">
        <v>0</v>
      </c>
      <c r="K749" s="84">
        <f t="shared" si="4"/>
        <v>1.68</v>
      </c>
      <c r="L749" s="82"/>
    </row>
    <row r="750" spans="2:12" ht="15.75" customHeight="1">
      <c r="B750" s="367"/>
      <c r="C750" s="976" t="s">
        <v>500</v>
      </c>
      <c r="D750" s="977"/>
      <c r="E750" s="978"/>
      <c r="F750" s="83">
        <v>2</v>
      </c>
      <c r="G750" s="83">
        <v>1.2</v>
      </c>
      <c r="H750" s="83">
        <v>1</v>
      </c>
      <c r="I750" s="83">
        <v>5.6</v>
      </c>
      <c r="J750" s="83">
        <v>0</v>
      </c>
      <c r="K750" s="84">
        <f t="shared" si="4"/>
        <v>13.44</v>
      </c>
      <c r="L750" s="82"/>
    </row>
    <row r="751" spans="2:12" ht="15.75" customHeight="1">
      <c r="B751" s="367"/>
      <c r="C751" s="976" t="s">
        <v>500</v>
      </c>
      <c r="D751" s="977"/>
      <c r="E751" s="978"/>
      <c r="F751" s="83">
        <v>2</v>
      </c>
      <c r="G751" s="83">
        <v>1.2</v>
      </c>
      <c r="H751" s="83">
        <v>1</v>
      </c>
      <c r="I751" s="83">
        <v>5.67</v>
      </c>
      <c r="J751" s="83">
        <v>0</v>
      </c>
      <c r="K751" s="84">
        <f t="shared" si="4"/>
        <v>13.607999999999999</v>
      </c>
      <c r="L751" s="82"/>
    </row>
    <row r="752" spans="2:12" ht="15.75" customHeight="1">
      <c r="B752" s="367"/>
      <c r="C752" s="976" t="s">
        <v>501</v>
      </c>
      <c r="D752" s="977"/>
      <c r="E752" s="978"/>
      <c r="F752" s="83">
        <v>2</v>
      </c>
      <c r="G752" s="83">
        <v>1.2</v>
      </c>
      <c r="H752" s="83">
        <v>1</v>
      </c>
      <c r="I752" s="83">
        <v>5.6</v>
      </c>
      <c r="J752" s="83">
        <v>0</v>
      </c>
      <c r="K752" s="84">
        <f t="shared" si="4"/>
        <v>13.44</v>
      </c>
      <c r="L752" s="82"/>
    </row>
    <row r="753" spans="2:12" ht="15.75" customHeight="1">
      <c r="B753" s="367"/>
      <c r="C753" s="976" t="s">
        <v>501</v>
      </c>
      <c r="D753" s="977"/>
      <c r="E753" s="978"/>
      <c r="F753" s="83">
        <v>2</v>
      </c>
      <c r="G753" s="83">
        <v>1.2</v>
      </c>
      <c r="H753" s="83">
        <v>1</v>
      </c>
      <c r="I753" s="83">
        <v>5.67</v>
      </c>
      <c r="J753" s="83">
        <v>0</v>
      </c>
      <c r="K753" s="84">
        <f t="shared" si="4"/>
        <v>13.607999999999999</v>
      </c>
      <c r="L753" s="82"/>
    </row>
    <row r="754" spans="2:12">
      <c r="B754" s="367"/>
      <c r="C754" s="976" t="s">
        <v>505</v>
      </c>
      <c r="D754" s="977"/>
      <c r="E754" s="978"/>
      <c r="F754" s="83">
        <v>2</v>
      </c>
      <c r="G754" s="83">
        <v>1.2</v>
      </c>
      <c r="H754" s="83">
        <v>1</v>
      </c>
      <c r="I754" s="83">
        <v>3</v>
      </c>
      <c r="J754" s="83">
        <v>0</v>
      </c>
      <c r="K754" s="84">
        <f t="shared" si="4"/>
        <v>7.1999999999999993</v>
      </c>
      <c r="L754" s="82"/>
    </row>
    <row r="755" spans="2:12">
      <c r="B755" s="367"/>
      <c r="C755" s="976" t="s">
        <v>505</v>
      </c>
      <c r="D755" s="977"/>
      <c r="E755" s="978"/>
      <c r="F755" s="83">
        <v>2</v>
      </c>
      <c r="G755" s="83">
        <v>1.2</v>
      </c>
      <c r="H755" s="83">
        <v>1</v>
      </c>
      <c r="I755" s="83">
        <v>2.85</v>
      </c>
      <c r="J755" s="83">
        <v>0</v>
      </c>
      <c r="K755" s="84">
        <f t="shared" si="4"/>
        <v>6.84</v>
      </c>
      <c r="L755" s="82"/>
    </row>
    <row r="756" spans="2:12">
      <c r="B756" s="367"/>
      <c r="C756" s="976" t="s">
        <v>502</v>
      </c>
      <c r="D756" s="977"/>
      <c r="E756" s="978"/>
      <c r="F756" s="83">
        <v>2</v>
      </c>
      <c r="G756" s="83">
        <v>1.2</v>
      </c>
      <c r="H756" s="83">
        <v>1</v>
      </c>
      <c r="I756" s="83">
        <v>5.82</v>
      </c>
      <c r="J756" s="83">
        <v>0</v>
      </c>
      <c r="K756" s="84">
        <f t="shared" si="4"/>
        <v>13.968</v>
      </c>
      <c r="L756" s="82"/>
    </row>
    <row r="757" spans="2:12">
      <c r="B757" s="367"/>
      <c r="C757" s="976" t="s">
        <v>502</v>
      </c>
      <c r="D757" s="977"/>
      <c r="E757" s="978"/>
      <c r="F757" s="83">
        <v>2</v>
      </c>
      <c r="G757" s="83">
        <v>1.2</v>
      </c>
      <c r="H757" s="83">
        <v>1</v>
      </c>
      <c r="I757" s="83">
        <v>5.55</v>
      </c>
      <c r="J757" s="83">
        <v>0</v>
      </c>
      <c r="K757" s="84">
        <f t="shared" si="4"/>
        <v>13.319999999999999</v>
      </c>
      <c r="L757" s="82"/>
    </row>
    <row r="758" spans="2:12">
      <c r="B758" s="367"/>
      <c r="C758" s="976" t="s">
        <v>503</v>
      </c>
      <c r="D758" s="977"/>
      <c r="E758" s="978"/>
      <c r="F758" s="83">
        <v>2</v>
      </c>
      <c r="G758" s="83">
        <v>1.2</v>
      </c>
      <c r="H758" s="83">
        <v>1</v>
      </c>
      <c r="I758" s="83">
        <v>5.82</v>
      </c>
      <c r="J758" s="83">
        <v>0</v>
      </c>
      <c r="K758" s="84">
        <f t="shared" si="4"/>
        <v>13.968</v>
      </c>
      <c r="L758" s="82"/>
    </row>
    <row r="759" spans="2:12">
      <c r="B759" s="367"/>
      <c r="C759" s="976" t="s">
        <v>503</v>
      </c>
      <c r="D759" s="977"/>
      <c r="E759" s="978"/>
      <c r="F759" s="83">
        <v>2</v>
      </c>
      <c r="G759" s="83">
        <v>1.2</v>
      </c>
      <c r="H759" s="83">
        <v>1</v>
      </c>
      <c r="I759" s="83">
        <v>5.55</v>
      </c>
      <c r="J759" s="83">
        <v>0</v>
      </c>
      <c r="K759" s="84">
        <f t="shared" si="4"/>
        <v>13.319999999999999</v>
      </c>
      <c r="L759" s="82"/>
    </row>
    <row r="760" spans="2:12">
      <c r="B760" s="367"/>
      <c r="C760" s="976" t="s">
        <v>504</v>
      </c>
      <c r="D760" s="977"/>
      <c r="E760" s="978"/>
      <c r="F760" s="83">
        <v>2</v>
      </c>
      <c r="G760" s="83">
        <v>1.2</v>
      </c>
      <c r="H760" s="83">
        <v>1</v>
      </c>
      <c r="I760" s="83">
        <v>3.85</v>
      </c>
      <c r="J760" s="83">
        <v>0</v>
      </c>
      <c r="K760" s="84">
        <f t="shared" si="4"/>
        <v>9.24</v>
      </c>
      <c r="L760" s="82"/>
    </row>
    <row r="761" spans="2:12">
      <c r="B761" s="367"/>
      <c r="C761" s="976" t="s">
        <v>504</v>
      </c>
      <c r="D761" s="977"/>
      <c r="E761" s="978"/>
      <c r="F761" s="83">
        <v>2</v>
      </c>
      <c r="G761" s="83">
        <v>1.2</v>
      </c>
      <c r="H761" s="83">
        <v>1</v>
      </c>
      <c r="I761" s="83">
        <v>5.82</v>
      </c>
      <c r="J761" s="83">
        <v>0</v>
      </c>
      <c r="K761" s="84">
        <f t="shared" si="4"/>
        <v>13.968</v>
      </c>
      <c r="L761" s="82"/>
    </row>
    <row r="762" spans="2:12">
      <c r="B762" s="367"/>
      <c r="C762" s="976" t="s">
        <v>508</v>
      </c>
      <c r="D762" s="977"/>
      <c r="E762" s="978"/>
      <c r="F762" s="83">
        <v>2</v>
      </c>
      <c r="G762" s="83">
        <v>1</v>
      </c>
      <c r="H762" s="83">
        <v>1</v>
      </c>
      <c r="I762" s="83">
        <v>2.96</v>
      </c>
      <c r="J762" s="83">
        <v>0</v>
      </c>
      <c r="K762" s="84">
        <f t="shared" si="4"/>
        <v>5.92</v>
      </c>
      <c r="L762" s="82"/>
    </row>
    <row r="763" spans="2:12">
      <c r="B763" s="367"/>
      <c r="C763" s="976" t="s">
        <v>508</v>
      </c>
      <c r="D763" s="977"/>
      <c r="E763" s="978"/>
      <c r="F763" s="83">
        <v>2</v>
      </c>
      <c r="G763" s="83">
        <v>1</v>
      </c>
      <c r="H763" s="83">
        <v>1</v>
      </c>
      <c r="I763" s="83">
        <v>1.9</v>
      </c>
      <c r="J763" s="83">
        <v>1.68</v>
      </c>
      <c r="K763" s="84">
        <f t="shared" si="4"/>
        <v>2.12</v>
      </c>
      <c r="L763" s="82"/>
    </row>
    <row r="764" spans="2:12">
      <c r="B764" s="367"/>
      <c r="C764" s="976" t="s">
        <v>508</v>
      </c>
      <c r="D764" s="977"/>
      <c r="E764" s="978"/>
      <c r="F764" s="83">
        <v>2</v>
      </c>
      <c r="G764" s="83">
        <v>1</v>
      </c>
      <c r="H764" s="83">
        <v>1</v>
      </c>
      <c r="I764" s="83">
        <v>22</v>
      </c>
      <c r="J764" s="83">
        <f>3*1.68</f>
        <v>5.04</v>
      </c>
      <c r="K764" s="84">
        <f t="shared" si="4"/>
        <v>38.96</v>
      </c>
      <c r="L764" s="82"/>
    </row>
    <row r="765" spans="2:12">
      <c r="B765" s="367"/>
      <c r="C765" s="979" t="s">
        <v>116</v>
      </c>
      <c r="D765" s="979"/>
      <c r="E765" s="979"/>
      <c r="F765" s="979"/>
      <c r="G765" s="979"/>
      <c r="H765" s="979"/>
      <c r="I765" s="979"/>
      <c r="J765" s="979"/>
      <c r="K765" s="81">
        <f>SUM(K724:K764)/2</f>
        <v>418.33799999999997</v>
      </c>
      <c r="L765" s="82"/>
    </row>
    <row r="766" spans="2:12">
      <c r="B766" s="367"/>
      <c r="C766" s="180"/>
      <c r="D766" s="180"/>
      <c r="E766" s="180"/>
      <c r="F766" s="180"/>
      <c r="G766" s="180"/>
      <c r="H766" s="180"/>
      <c r="I766" s="180"/>
      <c r="J766" s="180"/>
      <c r="K766" s="181"/>
      <c r="L766" s="82"/>
    </row>
    <row r="767" spans="2:12" ht="15" customHeight="1">
      <c r="B767" s="367" t="s">
        <v>39</v>
      </c>
      <c r="C767" s="989" t="s">
        <v>40</v>
      </c>
      <c r="D767" s="990"/>
      <c r="E767" s="990"/>
      <c r="F767" s="990"/>
      <c r="G767" s="990"/>
      <c r="H767" s="990"/>
      <c r="I767" s="990"/>
      <c r="J767" s="991"/>
      <c r="K767" s="97" t="s">
        <v>7</v>
      </c>
      <c r="L767" s="97">
        <f>K771</f>
        <v>52.08</v>
      </c>
    </row>
    <row r="768" spans="2:12">
      <c r="B768" s="367"/>
      <c r="C768" s="1118" t="s">
        <v>20</v>
      </c>
      <c r="D768" s="1119"/>
      <c r="E768" s="1120"/>
      <c r="F768" s="79" t="s">
        <v>22</v>
      </c>
      <c r="G768" s="365" t="s">
        <v>111</v>
      </c>
      <c r="H768" s="79" t="s">
        <v>112</v>
      </c>
      <c r="I768" s="365" t="s">
        <v>113</v>
      </c>
      <c r="J768" s="365" t="s">
        <v>114</v>
      </c>
      <c r="K768" s="81" t="s">
        <v>25</v>
      </c>
      <c r="L768" s="82"/>
    </row>
    <row r="769" spans="2:12" ht="15" customHeight="1">
      <c r="B769" s="367"/>
      <c r="C769" s="976" t="s">
        <v>240</v>
      </c>
      <c r="D769" s="977"/>
      <c r="E769" s="978"/>
      <c r="F769" s="83">
        <v>2</v>
      </c>
      <c r="G769" s="83">
        <v>1</v>
      </c>
      <c r="H769" s="83">
        <v>3</v>
      </c>
      <c r="I769" s="83">
        <v>4.34</v>
      </c>
      <c r="J769" s="83">
        <v>0</v>
      </c>
      <c r="K769" s="84">
        <f>(F769*G769*H769*I769)-J769</f>
        <v>26.04</v>
      </c>
      <c r="L769" s="82"/>
    </row>
    <row r="770" spans="2:12" ht="15" customHeight="1">
      <c r="B770" s="367"/>
      <c r="C770" s="976" t="s">
        <v>240</v>
      </c>
      <c r="D770" s="977"/>
      <c r="E770" s="978"/>
      <c r="F770" s="83">
        <v>2</v>
      </c>
      <c r="G770" s="83">
        <v>1</v>
      </c>
      <c r="H770" s="83">
        <v>3</v>
      </c>
      <c r="I770" s="83">
        <v>4.34</v>
      </c>
      <c r="J770" s="83">
        <v>0</v>
      </c>
      <c r="K770" s="84">
        <f>(F770*G770*H770*I770)-J770</f>
        <v>26.04</v>
      </c>
      <c r="L770" s="82"/>
    </row>
    <row r="771" spans="2:12" ht="15" customHeight="1">
      <c r="B771" s="367"/>
      <c r="C771" s="1121" t="s">
        <v>116</v>
      </c>
      <c r="D771" s="1122"/>
      <c r="E771" s="1122"/>
      <c r="F771" s="1122"/>
      <c r="G771" s="1122"/>
      <c r="H771" s="1122"/>
      <c r="I771" s="1122"/>
      <c r="J771" s="1123"/>
      <c r="K771" s="81">
        <f>SUM(K769:K770)</f>
        <v>52.08</v>
      </c>
      <c r="L771" s="82"/>
    </row>
    <row r="772" spans="2:12" ht="15" customHeight="1"/>
    <row r="773" spans="2:12" ht="15" customHeight="1">
      <c r="B773" s="367" t="s">
        <v>627</v>
      </c>
      <c r="C773" s="989" t="s">
        <v>343</v>
      </c>
      <c r="D773" s="990"/>
      <c r="E773" s="990"/>
      <c r="F773" s="990"/>
      <c r="G773" s="990"/>
      <c r="H773" s="990"/>
      <c r="I773" s="990"/>
      <c r="J773" s="991"/>
      <c r="K773" s="97" t="s">
        <v>7</v>
      </c>
      <c r="L773" s="97">
        <f>K776</f>
        <v>1471.8227999999999</v>
      </c>
    </row>
    <row r="774" spans="2:12">
      <c r="B774" s="367"/>
      <c r="C774" s="1118" t="s">
        <v>20</v>
      </c>
      <c r="D774" s="1119"/>
      <c r="E774" s="1120"/>
      <c r="F774" s="79" t="s">
        <v>22</v>
      </c>
      <c r="G774" s="365" t="s">
        <v>111</v>
      </c>
      <c r="H774" s="79" t="s">
        <v>112</v>
      </c>
      <c r="I774" s="365" t="s">
        <v>113</v>
      </c>
      <c r="J774" s="365" t="s">
        <v>114</v>
      </c>
      <c r="K774" s="81" t="s">
        <v>25</v>
      </c>
      <c r="L774" s="82"/>
    </row>
    <row r="775" spans="2:12">
      <c r="B775" s="78"/>
      <c r="C775" s="976" t="s">
        <v>510</v>
      </c>
      <c r="D775" s="977"/>
      <c r="E775" s="978"/>
      <c r="F775" s="83">
        <f>K775</f>
        <v>1471.8227999999999</v>
      </c>
      <c r="G775" s="83">
        <v>1</v>
      </c>
      <c r="H775" s="83">
        <v>1</v>
      </c>
      <c r="I775" s="83">
        <v>1</v>
      </c>
      <c r="J775" s="83">
        <v>0</v>
      </c>
      <c r="K775" s="84">
        <f>'ESC. LAFAYETE NUNES MACHADO'!E29</f>
        <v>1471.8227999999999</v>
      </c>
      <c r="L775" s="82"/>
    </row>
    <row r="776" spans="2:12">
      <c r="B776" s="78"/>
      <c r="C776" s="979" t="s">
        <v>116</v>
      </c>
      <c r="D776" s="979"/>
      <c r="E776" s="979"/>
      <c r="F776" s="979"/>
      <c r="G776" s="979"/>
      <c r="H776" s="979"/>
      <c r="I776" s="979"/>
      <c r="J776" s="979"/>
      <c r="K776" s="81">
        <f>K775</f>
        <v>1471.8227999999999</v>
      </c>
      <c r="L776" s="82"/>
    </row>
    <row r="777" spans="2:12">
      <c r="B777" s="263"/>
      <c r="C777" s="180"/>
      <c r="D777" s="180"/>
      <c r="E777" s="180"/>
      <c r="F777" s="180"/>
      <c r="G777" s="180"/>
      <c r="H777" s="180"/>
      <c r="I777" s="180"/>
      <c r="J777" s="180"/>
      <c r="K777" s="181"/>
      <c r="L777" s="82"/>
    </row>
    <row r="778" spans="2:12" ht="33" customHeight="1">
      <c r="B778" s="263" t="s">
        <v>639</v>
      </c>
      <c r="C778" s="989" t="s">
        <v>619</v>
      </c>
      <c r="D778" s="990"/>
      <c r="E778" s="990"/>
      <c r="F778" s="990"/>
      <c r="G778" s="990"/>
      <c r="H778" s="990"/>
      <c r="I778" s="990"/>
      <c r="J778" s="991"/>
      <c r="K778" s="97" t="s">
        <v>7</v>
      </c>
      <c r="L778" s="97">
        <f>K781</f>
        <v>100</v>
      </c>
    </row>
    <row r="779" spans="2:12">
      <c r="B779" s="263"/>
      <c r="C779" s="992" t="s">
        <v>20</v>
      </c>
      <c r="D779" s="992"/>
      <c r="E779" s="992"/>
      <c r="F779" s="79" t="s">
        <v>22</v>
      </c>
      <c r="G779" s="261" t="s">
        <v>111</v>
      </c>
      <c r="H779" s="79" t="s">
        <v>112</v>
      </c>
      <c r="I779" s="261" t="s">
        <v>113</v>
      </c>
      <c r="J779" s="261" t="s">
        <v>114</v>
      </c>
      <c r="K779" s="81" t="s">
        <v>25</v>
      </c>
      <c r="L779" s="82"/>
    </row>
    <row r="780" spans="2:12">
      <c r="B780" s="263"/>
      <c r="C780" s="976" t="s">
        <v>210</v>
      </c>
      <c r="D780" s="977"/>
      <c r="E780" s="978"/>
      <c r="F780" s="83">
        <v>50</v>
      </c>
      <c r="G780" s="83">
        <v>1</v>
      </c>
      <c r="H780" s="83">
        <v>0.8</v>
      </c>
      <c r="I780" s="83">
        <v>2.5</v>
      </c>
      <c r="J780" s="83">
        <v>0</v>
      </c>
      <c r="K780" s="84">
        <f>(F780*G780*H780*I780)-J780</f>
        <v>100</v>
      </c>
      <c r="L780" s="82"/>
    </row>
    <row r="781" spans="2:12">
      <c r="B781" s="263"/>
      <c r="C781" s="979" t="s">
        <v>116</v>
      </c>
      <c r="D781" s="979"/>
      <c r="E781" s="979"/>
      <c r="F781" s="979"/>
      <c r="G781" s="979"/>
      <c r="H781" s="979"/>
      <c r="I781" s="979"/>
      <c r="J781" s="979"/>
      <c r="K781" s="81">
        <f>SUM(K780)</f>
        <v>100</v>
      </c>
      <c r="L781" s="82"/>
    </row>
    <row r="782" spans="2:12">
      <c r="B782" s="78"/>
      <c r="C782" s="180"/>
      <c r="D782" s="180"/>
      <c r="E782" s="180"/>
      <c r="F782" s="180"/>
      <c r="G782" s="180"/>
      <c r="H782" s="180"/>
      <c r="I782" s="180"/>
      <c r="J782" s="180"/>
      <c r="K782" s="181"/>
      <c r="L782" s="82"/>
    </row>
    <row r="783" spans="2:12">
      <c r="B783" s="76" t="s">
        <v>197</v>
      </c>
      <c r="C783" s="993" t="s">
        <v>43</v>
      </c>
      <c r="D783" s="993"/>
      <c r="E783" s="993"/>
      <c r="F783" s="993"/>
      <c r="G783" s="993"/>
      <c r="H783" s="993"/>
      <c r="I783" s="993"/>
      <c r="J783" s="993"/>
      <c r="K783" s="77"/>
      <c r="L783" s="77"/>
    </row>
    <row r="784" spans="2:12">
      <c r="B784" s="859"/>
      <c r="C784" s="180"/>
      <c r="D784" s="180"/>
      <c r="E784" s="180"/>
      <c r="F784" s="180"/>
      <c r="G784" s="180"/>
      <c r="H784" s="180"/>
      <c r="I784" s="180"/>
      <c r="J784" s="180"/>
      <c r="K784" s="181"/>
      <c r="L784" s="82"/>
    </row>
    <row r="785" spans="1:12" ht="26.25" customHeight="1">
      <c r="B785" s="78" t="s">
        <v>45</v>
      </c>
      <c r="C785" s="989" t="s">
        <v>46</v>
      </c>
      <c r="D785" s="990"/>
      <c r="E785" s="990"/>
      <c r="F785" s="990"/>
      <c r="G785" s="990"/>
      <c r="H785" s="990"/>
      <c r="I785" s="990"/>
      <c r="J785" s="991"/>
      <c r="K785" s="97" t="s">
        <v>7</v>
      </c>
      <c r="L785" s="97">
        <f>K791</f>
        <v>90.289199999999994</v>
      </c>
    </row>
    <row r="786" spans="1:12">
      <c r="B786" s="78"/>
      <c r="C786" s="992" t="s">
        <v>20</v>
      </c>
      <c r="D786" s="992"/>
      <c r="E786" s="992"/>
      <c r="F786" s="79" t="s">
        <v>22</v>
      </c>
      <c r="G786" s="197" t="s">
        <v>111</v>
      </c>
      <c r="H786" s="79" t="s">
        <v>112</v>
      </c>
      <c r="I786" s="197" t="s">
        <v>113</v>
      </c>
      <c r="J786" s="197" t="s">
        <v>114</v>
      </c>
      <c r="K786" s="81" t="s">
        <v>25</v>
      </c>
      <c r="L786" s="82"/>
    </row>
    <row r="787" spans="1:12" ht="15" customHeight="1">
      <c r="B787" s="78"/>
      <c r="C787" s="984" t="s">
        <v>444</v>
      </c>
      <c r="D787" s="985"/>
      <c r="E787" s="986"/>
      <c r="F787" s="91">
        <v>1</v>
      </c>
      <c r="G787" s="91">
        <v>2.5</v>
      </c>
      <c r="H787" s="91">
        <v>30</v>
      </c>
      <c r="I787" s="91">
        <v>1</v>
      </c>
      <c r="J787" s="91">
        <v>0</v>
      </c>
      <c r="K787" s="89">
        <f>(G787*H787*I787*F787)-J787</f>
        <v>75</v>
      </c>
      <c r="L787" s="82"/>
    </row>
    <row r="788" spans="1:12">
      <c r="B788" s="78"/>
      <c r="C788" s="1115" t="s">
        <v>447</v>
      </c>
      <c r="D788" s="1116"/>
      <c r="E788" s="1117"/>
      <c r="F788" s="213">
        <v>1</v>
      </c>
      <c r="G788" s="214">
        <v>2.96</v>
      </c>
      <c r="H788" s="215">
        <v>2.74</v>
      </c>
      <c r="I788" s="214">
        <v>1</v>
      </c>
      <c r="J788" s="214">
        <v>0</v>
      </c>
      <c r="K788" s="89">
        <f>(G788*H788*I788*F788)-J788</f>
        <v>8.1104000000000003</v>
      </c>
      <c r="L788" s="82"/>
    </row>
    <row r="789" spans="1:12">
      <c r="B789" s="78"/>
      <c r="C789" s="1115" t="s">
        <v>447</v>
      </c>
      <c r="D789" s="1116"/>
      <c r="E789" s="1117"/>
      <c r="F789" s="213">
        <v>1</v>
      </c>
      <c r="G789" s="214">
        <v>1.67</v>
      </c>
      <c r="H789" s="215">
        <v>2.74</v>
      </c>
      <c r="I789" s="214">
        <v>1</v>
      </c>
      <c r="J789" s="214">
        <v>0</v>
      </c>
      <c r="K789" s="89">
        <f>(G789*H789*I789*F789)-J789</f>
        <v>4.5758000000000001</v>
      </c>
      <c r="L789" s="82"/>
    </row>
    <row r="790" spans="1:12">
      <c r="B790" s="78"/>
      <c r="C790" s="1115" t="s">
        <v>447</v>
      </c>
      <c r="D790" s="1116"/>
      <c r="E790" s="1117"/>
      <c r="F790" s="213">
        <v>1</v>
      </c>
      <c r="G790" s="214">
        <v>0.95</v>
      </c>
      <c r="H790" s="215">
        <v>2.74</v>
      </c>
      <c r="I790" s="214">
        <v>1</v>
      </c>
      <c r="J790" s="214">
        <v>0</v>
      </c>
      <c r="K790" s="89">
        <f>(G790*H790*I790*F790)-J790</f>
        <v>2.6030000000000002</v>
      </c>
      <c r="L790" s="82"/>
    </row>
    <row r="791" spans="1:12">
      <c r="B791" s="78"/>
      <c r="C791" s="979" t="s">
        <v>116</v>
      </c>
      <c r="D791" s="979"/>
      <c r="E791" s="979"/>
      <c r="F791" s="979"/>
      <c r="G791" s="979"/>
      <c r="H791" s="979"/>
      <c r="I791" s="979"/>
      <c r="J791" s="979"/>
      <c r="K791" s="81">
        <f>SUM(K787:K790)</f>
        <v>90.289199999999994</v>
      </c>
      <c r="L791" s="82"/>
    </row>
    <row r="792" spans="1:12">
      <c r="B792" s="82"/>
      <c r="C792" s="82"/>
      <c r="D792" s="82"/>
      <c r="E792" s="82"/>
      <c r="F792" s="82"/>
      <c r="G792" s="82"/>
      <c r="H792" s="82"/>
      <c r="I792" s="82"/>
      <c r="J792" s="82"/>
      <c r="K792" s="82"/>
      <c r="L792" s="82"/>
    </row>
    <row r="793" spans="1:12" ht="37.5" customHeight="1">
      <c r="B793" s="78" t="s">
        <v>198</v>
      </c>
      <c r="C793" s="989" t="s">
        <v>48</v>
      </c>
      <c r="D793" s="990"/>
      <c r="E793" s="990"/>
      <c r="F793" s="990"/>
      <c r="G793" s="990"/>
      <c r="H793" s="990"/>
      <c r="I793" s="990"/>
      <c r="J793" s="991"/>
      <c r="K793" s="97" t="s">
        <v>7</v>
      </c>
      <c r="L793" s="97">
        <f>K799</f>
        <v>90.289199999999994</v>
      </c>
    </row>
    <row r="794" spans="1:12">
      <c r="B794" s="78"/>
      <c r="C794" s="992" t="s">
        <v>20</v>
      </c>
      <c r="D794" s="992"/>
      <c r="E794" s="992"/>
      <c r="F794" s="79" t="s">
        <v>22</v>
      </c>
      <c r="G794" s="197" t="s">
        <v>111</v>
      </c>
      <c r="H794" s="79" t="s">
        <v>112</v>
      </c>
      <c r="I794" s="197" t="s">
        <v>113</v>
      </c>
      <c r="J794" s="197" t="s">
        <v>114</v>
      </c>
      <c r="K794" s="81" t="s">
        <v>25</v>
      </c>
      <c r="L794" s="82"/>
    </row>
    <row r="795" spans="1:12">
      <c r="B795" s="78"/>
      <c r="C795" s="984" t="s">
        <v>444</v>
      </c>
      <c r="D795" s="985"/>
      <c r="E795" s="986"/>
      <c r="F795" s="91">
        <v>1</v>
      </c>
      <c r="G795" s="91">
        <v>2.5</v>
      </c>
      <c r="H795" s="91">
        <v>30</v>
      </c>
      <c r="I795" s="91">
        <v>1</v>
      </c>
      <c r="J795" s="91">
        <v>0</v>
      </c>
      <c r="K795" s="89">
        <f>(G795*H795*I795*F795)-J795</f>
        <v>75</v>
      </c>
      <c r="L795" s="82"/>
    </row>
    <row r="796" spans="1:12">
      <c r="B796" s="78"/>
      <c r="C796" s="1115" t="s">
        <v>447</v>
      </c>
      <c r="D796" s="1116"/>
      <c r="E796" s="1117"/>
      <c r="F796" s="213">
        <v>1</v>
      </c>
      <c r="G796" s="214">
        <v>2.96</v>
      </c>
      <c r="H796" s="215">
        <v>2.74</v>
      </c>
      <c r="I796" s="214">
        <v>1</v>
      </c>
      <c r="J796" s="214">
        <v>0</v>
      </c>
      <c r="K796" s="89">
        <f>(G796*H796*I796*F796)-J796</f>
        <v>8.1104000000000003</v>
      </c>
      <c r="L796" s="82"/>
    </row>
    <row r="797" spans="1:12">
      <c r="B797" s="78"/>
      <c r="C797" s="1115" t="s">
        <v>447</v>
      </c>
      <c r="D797" s="1116"/>
      <c r="E797" s="1117"/>
      <c r="F797" s="213">
        <v>1</v>
      </c>
      <c r="G797" s="214">
        <v>1.67</v>
      </c>
      <c r="H797" s="215">
        <v>2.74</v>
      </c>
      <c r="I797" s="214">
        <v>1</v>
      </c>
      <c r="J797" s="214">
        <v>0</v>
      </c>
      <c r="K797" s="89">
        <f>(G797*H797*I797*F797)-J797</f>
        <v>4.5758000000000001</v>
      </c>
      <c r="L797" s="82"/>
    </row>
    <row r="798" spans="1:12">
      <c r="B798" s="78"/>
      <c r="C798" s="1115" t="s">
        <v>447</v>
      </c>
      <c r="D798" s="1116"/>
      <c r="E798" s="1117"/>
      <c r="F798" s="213">
        <v>1</v>
      </c>
      <c r="G798" s="214">
        <v>0.95</v>
      </c>
      <c r="H798" s="215">
        <v>2.74</v>
      </c>
      <c r="I798" s="214">
        <v>1</v>
      </c>
      <c r="J798" s="214">
        <v>0</v>
      </c>
      <c r="K798" s="89">
        <f>(G798*H798*I798*F798)-J798</f>
        <v>2.6030000000000002</v>
      </c>
      <c r="L798" s="82"/>
    </row>
    <row r="799" spans="1:12">
      <c r="B799" s="78"/>
      <c r="C799" s="979" t="s">
        <v>116</v>
      </c>
      <c r="D799" s="979"/>
      <c r="E799" s="979"/>
      <c r="F799" s="979"/>
      <c r="G799" s="979"/>
      <c r="H799" s="979"/>
      <c r="I799" s="979"/>
      <c r="J799" s="979"/>
      <c r="K799" s="81">
        <f>SUM(K795:K798)</f>
        <v>90.289199999999994</v>
      </c>
      <c r="L799" s="82"/>
    </row>
    <row r="800" spans="1:12">
      <c r="A800" s="82"/>
      <c r="B800" s="82"/>
      <c r="C800" s="82"/>
      <c r="D800" s="82"/>
      <c r="E800" s="82"/>
      <c r="F800" s="82"/>
      <c r="G800" s="82"/>
      <c r="H800" s="82"/>
      <c r="I800" s="82"/>
      <c r="J800" s="82"/>
      <c r="K800" s="82"/>
      <c r="L800" s="82"/>
    </row>
    <row r="801" spans="2:12" ht="39.75" customHeight="1">
      <c r="B801" s="78" t="s">
        <v>50</v>
      </c>
      <c r="C801" s="989" t="s">
        <v>51</v>
      </c>
      <c r="D801" s="990"/>
      <c r="E801" s="990"/>
      <c r="F801" s="990"/>
      <c r="G801" s="990"/>
      <c r="H801" s="990"/>
      <c r="I801" s="990"/>
      <c r="J801" s="991"/>
      <c r="K801" s="97" t="s">
        <v>7</v>
      </c>
      <c r="L801" s="97">
        <f>K804</f>
        <v>15</v>
      </c>
    </row>
    <row r="802" spans="2:12">
      <c r="B802" s="78"/>
      <c r="C802" s="992" t="s">
        <v>20</v>
      </c>
      <c r="D802" s="992"/>
      <c r="E802" s="992"/>
      <c r="F802" s="79" t="s">
        <v>22</v>
      </c>
      <c r="G802" s="197" t="s">
        <v>111</v>
      </c>
      <c r="H802" s="79" t="s">
        <v>112</v>
      </c>
      <c r="I802" s="197" t="s">
        <v>113</v>
      </c>
      <c r="J802" s="197" t="s">
        <v>114</v>
      </c>
      <c r="K802" s="81" t="s">
        <v>25</v>
      </c>
      <c r="L802" s="82"/>
    </row>
    <row r="803" spans="2:12">
      <c r="B803" s="78"/>
      <c r="C803" s="984" t="s">
        <v>443</v>
      </c>
      <c r="D803" s="985"/>
      <c r="E803" s="986"/>
      <c r="F803" s="91">
        <v>1</v>
      </c>
      <c r="G803" s="91">
        <v>3</v>
      </c>
      <c r="H803" s="91">
        <v>5</v>
      </c>
      <c r="I803" s="91">
        <v>1</v>
      </c>
      <c r="J803" s="91">
        <v>0</v>
      </c>
      <c r="K803" s="89">
        <f>(G803*H803*I803*F803)-J803</f>
        <v>15</v>
      </c>
      <c r="L803" s="82"/>
    </row>
    <row r="804" spans="2:12">
      <c r="B804" s="78"/>
      <c r="C804" s="979" t="s">
        <v>116</v>
      </c>
      <c r="D804" s="979"/>
      <c r="E804" s="979"/>
      <c r="F804" s="979"/>
      <c r="G804" s="979"/>
      <c r="H804" s="979"/>
      <c r="I804" s="979"/>
      <c r="J804" s="979"/>
      <c r="K804" s="81">
        <f>SUM(K803:K803)</f>
        <v>15</v>
      </c>
      <c r="L804" s="82"/>
    </row>
    <row r="806" spans="2:12">
      <c r="B806" s="76" t="s">
        <v>199</v>
      </c>
      <c r="C806" s="993" t="s">
        <v>53</v>
      </c>
      <c r="D806" s="993"/>
      <c r="E806" s="993"/>
      <c r="F806" s="993"/>
      <c r="G806" s="993"/>
      <c r="H806" s="993"/>
      <c r="I806" s="993"/>
      <c r="J806" s="993"/>
      <c r="K806" s="77"/>
      <c r="L806" s="77"/>
    </row>
    <row r="807" spans="2:12">
      <c r="B807" s="82"/>
      <c r="C807" s="82"/>
      <c r="D807" s="82"/>
      <c r="E807" s="82"/>
      <c r="F807" s="82"/>
      <c r="G807" s="82"/>
      <c r="H807" s="82"/>
      <c r="I807" s="82"/>
      <c r="J807" s="82"/>
      <c r="K807" s="82"/>
      <c r="L807" s="82"/>
    </row>
    <row r="808" spans="2:12" ht="33" customHeight="1">
      <c r="B808" s="78" t="s">
        <v>54</v>
      </c>
      <c r="C808" s="989" t="s">
        <v>1029</v>
      </c>
      <c r="D808" s="990"/>
      <c r="E808" s="990"/>
      <c r="F808" s="990"/>
      <c r="G808" s="990"/>
      <c r="H808" s="990"/>
      <c r="I808" s="990"/>
      <c r="J808" s="991"/>
      <c r="K808" s="97" t="s">
        <v>21</v>
      </c>
      <c r="L808" s="97">
        <f>K811</f>
        <v>1</v>
      </c>
    </row>
    <row r="809" spans="2:12">
      <c r="B809" s="78"/>
      <c r="C809" s="992" t="s">
        <v>20</v>
      </c>
      <c r="D809" s="992"/>
      <c r="E809" s="992"/>
      <c r="F809" s="79" t="s">
        <v>22</v>
      </c>
      <c r="G809" s="206" t="s">
        <v>111</v>
      </c>
      <c r="H809" s="79" t="s">
        <v>112</v>
      </c>
      <c r="I809" s="206" t="s">
        <v>113</v>
      </c>
      <c r="J809" s="206" t="s">
        <v>114</v>
      </c>
      <c r="K809" s="81" t="s">
        <v>25</v>
      </c>
      <c r="L809" s="82"/>
    </row>
    <row r="810" spans="2:12">
      <c r="B810" s="78"/>
      <c r="C810" s="976" t="s">
        <v>461</v>
      </c>
      <c r="D810" s="977"/>
      <c r="E810" s="978"/>
      <c r="F810" s="83">
        <v>1</v>
      </c>
      <c r="G810" s="83">
        <v>1</v>
      </c>
      <c r="H810" s="83">
        <v>1</v>
      </c>
      <c r="I810" s="83">
        <v>1</v>
      </c>
      <c r="J810" s="83">
        <v>0</v>
      </c>
      <c r="K810" s="89">
        <f>(G810*H810*I810*F810)-J810</f>
        <v>1</v>
      </c>
      <c r="L810" s="82"/>
    </row>
    <row r="811" spans="2:12">
      <c r="B811" s="78"/>
      <c r="C811" s="979" t="s">
        <v>116</v>
      </c>
      <c r="D811" s="979"/>
      <c r="E811" s="979"/>
      <c r="F811" s="979"/>
      <c r="G811" s="979"/>
      <c r="H811" s="979"/>
      <c r="I811" s="979"/>
      <c r="J811" s="979"/>
      <c r="K811" s="81">
        <f>K810</f>
        <v>1</v>
      </c>
      <c r="L811" s="82"/>
    </row>
    <row r="812" spans="2:12" ht="15" customHeight="1">
      <c r="B812" s="82"/>
      <c r="C812" s="82"/>
      <c r="D812" s="82"/>
      <c r="E812" s="82"/>
      <c r="F812" s="82"/>
      <c r="G812" s="82"/>
      <c r="H812" s="82"/>
      <c r="I812" s="82"/>
      <c r="J812" s="82"/>
      <c r="K812" s="82"/>
      <c r="L812" s="82"/>
    </row>
    <row r="813" spans="2:12" ht="39.75" customHeight="1">
      <c r="B813" s="78" t="s">
        <v>55</v>
      </c>
      <c r="C813" s="989" t="s">
        <v>1030</v>
      </c>
      <c r="D813" s="990"/>
      <c r="E813" s="990"/>
      <c r="F813" s="990"/>
      <c r="G813" s="990"/>
      <c r="H813" s="990"/>
      <c r="I813" s="990"/>
      <c r="J813" s="991"/>
      <c r="K813" s="97" t="s">
        <v>21</v>
      </c>
      <c r="L813" s="97">
        <f>K816</f>
        <v>8</v>
      </c>
    </row>
    <row r="814" spans="2:12">
      <c r="B814" s="78"/>
      <c r="C814" s="992" t="s">
        <v>20</v>
      </c>
      <c r="D814" s="992"/>
      <c r="E814" s="992"/>
      <c r="F814" s="79" t="s">
        <v>22</v>
      </c>
      <c r="G814" s="197" t="s">
        <v>111</v>
      </c>
      <c r="H814" s="79" t="s">
        <v>112</v>
      </c>
      <c r="I814" s="197" t="s">
        <v>113</v>
      </c>
      <c r="J814" s="197" t="s">
        <v>114</v>
      </c>
      <c r="K814" s="81" t="s">
        <v>25</v>
      </c>
      <c r="L814" s="82"/>
    </row>
    <row r="815" spans="2:12">
      <c r="B815" s="78"/>
      <c r="C815" s="976" t="s">
        <v>458</v>
      </c>
      <c r="D815" s="977"/>
      <c r="E815" s="978"/>
      <c r="F815" s="83">
        <v>8</v>
      </c>
      <c r="G815" s="83">
        <v>1</v>
      </c>
      <c r="H815" s="83">
        <v>1</v>
      </c>
      <c r="I815" s="83">
        <v>1</v>
      </c>
      <c r="J815" s="83">
        <v>0</v>
      </c>
      <c r="K815" s="89">
        <f>(G815*H815*I815*F815)-J815</f>
        <v>8</v>
      </c>
      <c r="L815" s="82"/>
    </row>
    <row r="816" spans="2:12">
      <c r="B816" s="78"/>
      <c r="C816" s="979" t="s">
        <v>116</v>
      </c>
      <c r="D816" s="979"/>
      <c r="E816" s="979"/>
      <c r="F816" s="979"/>
      <c r="G816" s="979"/>
      <c r="H816" s="979"/>
      <c r="I816" s="979"/>
      <c r="J816" s="979"/>
      <c r="K816" s="81">
        <f>K815</f>
        <v>8</v>
      </c>
      <c r="L816" s="82"/>
    </row>
    <row r="817" spans="2:12">
      <c r="B817" s="82"/>
      <c r="C817" s="82"/>
      <c r="D817" s="82"/>
      <c r="E817" s="82"/>
      <c r="F817" s="82"/>
      <c r="G817" s="82"/>
      <c r="H817" s="82"/>
      <c r="I817" s="82"/>
      <c r="J817" s="82"/>
      <c r="K817" s="82"/>
      <c r="L817" s="82"/>
    </row>
    <row r="818" spans="2:12" ht="30" customHeight="1">
      <c r="B818" s="78" t="s">
        <v>85</v>
      </c>
      <c r="C818" s="989" t="s">
        <v>452</v>
      </c>
      <c r="D818" s="990"/>
      <c r="E818" s="990"/>
      <c r="F818" s="990"/>
      <c r="G818" s="990"/>
      <c r="H818" s="990"/>
      <c r="I818" s="990"/>
      <c r="J818" s="991"/>
      <c r="K818" s="97" t="s">
        <v>7</v>
      </c>
      <c r="L818" s="97">
        <f>K821</f>
        <v>10</v>
      </c>
    </row>
    <row r="819" spans="2:12">
      <c r="B819" s="78"/>
      <c r="C819" s="992" t="s">
        <v>20</v>
      </c>
      <c r="D819" s="992"/>
      <c r="E819" s="992"/>
      <c r="F819" s="79" t="s">
        <v>22</v>
      </c>
      <c r="G819" s="197" t="s">
        <v>111</v>
      </c>
      <c r="H819" s="79" t="s">
        <v>112</v>
      </c>
      <c r="I819" s="197" t="s">
        <v>113</v>
      </c>
      <c r="J819" s="197" t="s">
        <v>114</v>
      </c>
      <c r="K819" s="81" t="s">
        <v>25</v>
      </c>
      <c r="L819" s="82"/>
    </row>
    <row r="820" spans="2:12">
      <c r="B820" s="78"/>
      <c r="C820" s="976" t="s">
        <v>338</v>
      </c>
      <c r="D820" s="977"/>
      <c r="E820" s="978"/>
      <c r="F820" s="83">
        <v>5</v>
      </c>
      <c r="G820" s="83">
        <v>1</v>
      </c>
      <c r="H820" s="83">
        <v>2</v>
      </c>
      <c r="I820" s="83">
        <v>1</v>
      </c>
      <c r="J820" s="83">
        <v>0</v>
      </c>
      <c r="K820" s="89">
        <f>(G820*H820*I820*F820)-J820</f>
        <v>10</v>
      </c>
      <c r="L820" s="82"/>
    </row>
    <row r="821" spans="2:12">
      <c r="B821" s="78"/>
      <c r="C821" s="979" t="s">
        <v>116</v>
      </c>
      <c r="D821" s="979"/>
      <c r="E821" s="979"/>
      <c r="F821" s="979"/>
      <c r="G821" s="979"/>
      <c r="H821" s="979"/>
      <c r="I821" s="979"/>
      <c r="J821" s="979"/>
      <c r="K821" s="81">
        <f>SUM(K820:K820)</f>
        <v>10</v>
      </c>
      <c r="L821" s="82"/>
    </row>
    <row r="823" spans="2:12" ht="14.25" customHeight="1">
      <c r="B823" s="78" t="s">
        <v>200</v>
      </c>
      <c r="C823" s="989" t="s">
        <v>99</v>
      </c>
      <c r="D823" s="990"/>
      <c r="E823" s="990"/>
      <c r="F823" s="990"/>
      <c r="G823" s="990"/>
      <c r="H823" s="990"/>
      <c r="I823" s="990"/>
      <c r="J823" s="991"/>
      <c r="K823" s="97" t="s">
        <v>7</v>
      </c>
      <c r="L823" s="97">
        <f>K829</f>
        <v>40.20000000000001</v>
      </c>
    </row>
    <row r="824" spans="2:12">
      <c r="B824" s="78"/>
      <c r="C824" s="992" t="s">
        <v>20</v>
      </c>
      <c r="D824" s="992"/>
      <c r="E824" s="992"/>
      <c r="F824" s="79" t="s">
        <v>22</v>
      </c>
      <c r="G824" s="197" t="s">
        <v>111</v>
      </c>
      <c r="H824" s="79" t="s">
        <v>112</v>
      </c>
      <c r="I824" s="197" t="s">
        <v>113</v>
      </c>
      <c r="J824" s="197" t="s">
        <v>114</v>
      </c>
      <c r="K824" s="81" t="s">
        <v>25</v>
      </c>
      <c r="L824" s="82"/>
    </row>
    <row r="825" spans="2:12">
      <c r="B825" s="78"/>
      <c r="C825" s="976" t="s">
        <v>459</v>
      </c>
      <c r="D825" s="977"/>
      <c r="E825" s="978"/>
      <c r="F825" s="83">
        <v>5</v>
      </c>
      <c r="G825" s="83">
        <v>1</v>
      </c>
      <c r="H825" s="83">
        <v>1.3</v>
      </c>
      <c r="I825" s="83">
        <v>2.2200000000000002</v>
      </c>
      <c r="J825" s="83">
        <v>0</v>
      </c>
      <c r="K825" s="89">
        <f>(G825*H825*I825*F825)-J825</f>
        <v>14.430000000000003</v>
      </c>
      <c r="L825" s="82"/>
    </row>
    <row r="826" spans="2:12">
      <c r="B826" s="78"/>
      <c r="C826" s="976" t="s">
        <v>338</v>
      </c>
      <c r="D826" s="977"/>
      <c r="E826" s="978"/>
      <c r="F826" s="83">
        <v>5</v>
      </c>
      <c r="G826" s="83">
        <v>1</v>
      </c>
      <c r="H826" s="83">
        <v>0.8</v>
      </c>
      <c r="I826" s="83">
        <v>2.1</v>
      </c>
      <c r="J826" s="83">
        <v>0</v>
      </c>
      <c r="K826" s="89">
        <f>(G826*H826*I826*F826)-J826</f>
        <v>8.4</v>
      </c>
      <c r="L826" s="82"/>
    </row>
    <row r="827" spans="2:12">
      <c r="B827" s="78"/>
      <c r="C827" s="976" t="s">
        <v>237</v>
      </c>
      <c r="D827" s="977"/>
      <c r="E827" s="978"/>
      <c r="F827" s="83">
        <v>5</v>
      </c>
      <c r="G827" s="83">
        <v>1</v>
      </c>
      <c r="H827" s="83">
        <v>0.9</v>
      </c>
      <c r="I827" s="83">
        <v>2.1</v>
      </c>
      <c r="J827" s="83">
        <v>0</v>
      </c>
      <c r="K827" s="89">
        <f>(G827*H827*I827*F827)-J827</f>
        <v>9.4500000000000011</v>
      </c>
      <c r="L827" s="82"/>
    </row>
    <row r="828" spans="2:12">
      <c r="B828" s="78"/>
      <c r="C828" s="976" t="s">
        <v>460</v>
      </c>
      <c r="D828" s="977"/>
      <c r="E828" s="978"/>
      <c r="F828" s="83">
        <v>5</v>
      </c>
      <c r="G828" s="83">
        <v>1</v>
      </c>
      <c r="H828" s="83">
        <v>1.44</v>
      </c>
      <c r="I828" s="83">
        <v>1.1000000000000001</v>
      </c>
      <c r="J828" s="83">
        <v>0</v>
      </c>
      <c r="K828" s="89">
        <f>(G828*H828*I828*F828)-J828</f>
        <v>7.92</v>
      </c>
      <c r="L828" s="82"/>
    </row>
    <row r="829" spans="2:12">
      <c r="B829" s="78"/>
      <c r="C829" s="979" t="s">
        <v>116</v>
      </c>
      <c r="D829" s="979"/>
      <c r="E829" s="979"/>
      <c r="F829" s="979"/>
      <c r="G829" s="979"/>
      <c r="H829" s="979"/>
      <c r="I829" s="979"/>
      <c r="J829" s="979"/>
      <c r="K829" s="81">
        <f>SUM(K825:K828)</f>
        <v>40.20000000000001</v>
      </c>
      <c r="L829" s="82"/>
    </row>
    <row r="830" spans="2:12">
      <c r="B830" s="78"/>
      <c r="C830" s="180"/>
      <c r="D830" s="180"/>
      <c r="E830" s="180"/>
      <c r="F830" s="180"/>
      <c r="G830" s="180"/>
      <c r="H830" s="180"/>
      <c r="I830" s="180"/>
      <c r="J830" s="180"/>
      <c r="K830" s="181"/>
      <c r="L830" s="82"/>
    </row>
    <row r="831" spans="2:12" ht="27" customHeight="1">
      <c r="B831" s="78" t="s">
        <v>536</v>
      </c>
      <c r="C831" s="989" t="s">
        <v>434</v>
      </c>
      <c r="D831" s="990"/>
      <c r="E831" s="990"/>
      <c r="F831" s="990"/>
      <c r="G831" s="990"/>
      <c r="H831" s="990"/>
      <c r="I831" s="990"/>
      <c r="J831" s="991"/>
      <c r="K831" s="97" t="s">
        <v>21</v>
      </c>
      <c r="L831" s="97">
        <f>K836</f>
        <v>9</v>
      </c>
    </row>
    <row r="832" spans="2:12">
      <c r="B832" s="78"/>
      <c r="C832" s="992" t="s">
        <v>20</v>
      </c>
      <c r="D832" s="992"/>
      <c r="E832" s="992"/>
      <c r="F832" s="79" t="s">
        <v>22</v>
      </c>
      <c r="G832" s="205" t="s">
        <v>111</v>
      </c>
      <c r="H832" s="79" t="s">
        <v>112</v>
      </c>
      <c r="I832" s="205" t="s">
        <v>113</v>
      </c>
      <c r="J832" s="205" t="s">
        <v>114</v>
      </c>
      <c r="K832" s="81" t="s">
        <v>25</v>
      </c>
      <c r="L832" s="82"/>
    </row>
    <row r="833" spans="2:12">
      <c r="B833" s="78"/>
      <c r="C833" s="976" t="s">
        <v>463</v>
      </c>
      <c r="D833" s="977"/>
      <c r="E833" s="978"/>
      <c r="F833" s="83">
        <v>3</v>
      </c>
      <c r="G833" s="83">
        <v>1</v>
      </c>
      <c r="H833" s="83">
        <v>1</v>
      </c>
      <c r="I833" s="83">
        <v>1</v>
      </c>
      <c r="J833" s="83">
        <v>0</v>
      </c>
      <c r="K833" s="89">
        <f>(G833*H833*I833*F833)-J833</f>
        <v>3</v>
      </c>
      <c r="L833" s="82"/>
    </row>
    <row r="834" spans="2:12">
      <c r="B834" s="78"/>
      <c r="C834" s="976" t="s">
        <v>464</v>
      </c>
      <c r="D834" s="977"/>
      <c r="E834" s="978"/>
      <c r="F834" s="83">
        <v>3</v>
      </c>
      <c r="G834" s="83">
        <v>1</v>
      </c>
      <c r="H834" s="83">
        <v>1</v>
      </c>
      <c r="I834" s="83">
        <v>1</v>
      </c>
      <c r="J834" s="83">
        <v>0</v>
      </c>
      <c r="K834" s="89">
        <f>(G834*H834*I834*F834)-J834</f>
        <v>3</v>
      </c>
      <c r="L834" s="82"/>
    </row>
    <row r="835" spans="2:12">
      <c r="B835" s="78"/>
      <c r="C835" s="976" t="s">
        <v>465</v>
      </c>
      <c r="D835" s="977"/>
      <c r="E835" s="978"/>
      <c r="F835" s="83">
        <v>3</v>
      </c>
      <c r="G835" s="83">
        <v>1</v>
      </c>
      <c r="H835" s="83">
        <v>1</v>
      </c>
      <c r="I835" s="83">
        <v>1</v>
      </c>
      <c r="J835" s="83">
        <v>0</v>
      </c>
      <c r="K835" s="89">
        <f>(G835*H835*I835*F835)-J835</f>
        <v>3</v>
      </c>
      <c r="L835" s="82"/>
    </row>
    <row r="836" spans="2:12">
      <c r="B836" s="78"/>
      <c r="C836" s="979" t="s">
        <v>116</v>
      </c>
      <c r="D836" s="979"/>
      <c r="E836" s="979"/>
      <c r="F836" s="979"/>
      <c r="G836" s="979"/>
      <c r="H836" s="979"/>
      <c r="I836" s="979"/>
      <c r="J836" s="979"/>
      <c r="K836" s="81">
        <f>SUM(K833:K835)</f>
        <v>9</v>
      </c>
      <c r="L836" s="82"/>
    </row>
    <row r="837" spans="2:12">
      <c r="B837" s="78"/>
      <c r="C837" s="180"/>
      <c r="D837" s="180"/>
      <c r="E837" s="180"/>
      <c r="F837" s="180"/>
      <c r="G837" s="180"/>
      <c r="H837" s="180"/>
      <c r="I837" s="180"/>
      <c r="J837" s="180"/>
      <c r="K837" s="181"/>
      <c r="L837" s="82"/>
    </row>
    <row r="838" spans="2:12">
      <c r="B838" s="76" t="s">
        <v>158</v>
      </c>
      <c r="C838" s="993" t="s">
        <v>57</v>
      </c>
      <c r="D838" s="993"/>
      <c r="E838" s="993"/>
      <c r="F838" s="993"/>
      <c r="G838" s="993"/>
      <c r="H838" s="993"/>
      <c r="I838" s="993"/>
      <c r="J838" s="993"/>
      <c r="K838" s="77"/>
      <c r="L838" s="77"/>
    </row>
    <row r="839" spans="2:12">
      <c r="B839" s="1114"/>
      <c r="C839" s="1114"/>
      <c r="D839" s="1114"/>
      <c r="E839" s="1114"/>
      <c r="F839" s="1114"/>
      <c r="G839" s="1114"/>
      <c r="H839" s="1114"/>
      <c r="I839" s="1114"/>
      <c r="J839" s="1114"/>
      <c r="K839" s="1114"/>
      <c r="L839" s="1114"/>
    </row>
    <row r="840" spans="2:12" ht="29.25" customHeight="1">
      <c r="B840" s="78" t="s">
        <v>59</v>
      </c>
      <c r="C840" s="989" t="s">
        <v>483</v>
      </c>
      <c r="D840" s="990"/>
      <c r="E840" s="990"/>
      <c r="F840" s="990"/>
      <c r="G840" s="990"/>
      <c r="H840" s="990"/>
      <c r="I840" s="990"/>
      <c r="J840" s="991"/>
      <c r="K840" s="97" t="s">
        <v>7</v>
      </c>
      <c r="L840" s="97">
        <f>K844</f>
        <v>25.103999999999999</v>
      </c>
    </row>
    <row r="841" spans="2:12">
      <c r="B841" s="78"/>
      <c r="C841" s="992" t="s">
        <v>20</v>
      </c>
      <c r="D841" s="992"/>
      <c r="E841" s="992"/>
      <c r="F841" s="79" t="s">
        <v>22</v>
      </c>
      <c r="G841" s="206" t="s">
        <v>111</v>
      </c>
      <c r="H841" s="79" t="s">
        <v>112</v>
      </c>
      <c r="I841" s="206" t="s">
        <v>113</v>
      </c>
      <c r="J841" s="206" t="s">
        <v>114</v>
      </c>
      <c r="K841" s="81" t="s">
        <v>25</v>
      </c>
      <c r="L841" s="82"/>
    </row>
    <row r="842" spans="2:12">
      <c r="B842" s="78"/>
      <c r="C842" s="976" t="s">
        <v>461</v>
      </c>
      <c r="D842" s="977"/>
      <c r="E842" s="978"/>
      <c r="F842" s="83">
        <v>1</v>
      </c>
      <c r="G842" s="83">
        <v>1</v>
      </c>
      <c r="H842" s="83">
        <v>2.2000000000000002</v>
      </c>
      <c r="I842" s="83">
        <v>1.2</v>
      </c>
      <c r="J842" s="83">
        <v>0</v>
      </c>
      <c r="K842" s="89">
        <f>(G842*H842*I842*F842)-J842</f>
        <v>2.64</v>
      </c>
      <c r="L842" s="82"/>
    </row>
    <row r="843" spans="2:12">
      <c r="B843" s="78"/>
      <c r="C843" s="976" t="s">
        <v>243</v>
      </c>
      <c r="D843" s="977"/>
      <c r="E843" s="978"/>
      <c r="F843" s="83">
        <v>1</v>
      </c>
      <c r="G843" s="83">
        <v>1</v>
      </c>
      <c r="H843" s="83">
        <v>5.76</v>
      </c>
      <c r="I843" s="83">
        <v>3.9</v>
      </c>
      <c r="J843" s="83">
        <v>0</v>
      </c>
      <c r="K843" s="89">
        <f>(G843*H843*I843*F843)-J843</f>
        <v>22.463999999999999</v>
      </c>
      <c r="L843" s="82"/>
    </row>
    <row r="844" spans="2:12">
      <c r="B844" s="78"/>
      <c r="C844" s="979" t="s">
        <v>116</v>
      </c>
      <c r="D844" s="979"/>
      <c r="E844" s="979"/>
      <c r="F844" s="979"/>
      <c r="G844" s="979"/>
      <c r="H844" s="979"/>
      <c r="I844" s="979"/>
      <c r="J844" s="979"/>
      <c r="K844" s="81">
        <f>SUM(K842:K843)</f>
        <v>25.103999999999999</v>
      </c>
      <c r="L844" s="82"/>
    </row>
    <row r="845" spans="2:12">
      <c r="B845" s="1114"/>
      <c r="C845" s="1114"/>
      <c r="D845" s="1114"/>
      <c r="E845" s="1114"/>
      <c r="F845" s="1114"/>
      <c r="G845" s="1114"/>
      <c r="H845" s="1114"/>
      <c r="I845" s="1114"/>
      <c r="J845" s="1114"/>
      <c r="K845" s="1114"/>
      <c r="L845" s="1114"/>
    </row>
    <row r="846" spans="2:12">
      <c r="B846" s="78" t="s">
        <v>61</v>
      </c>
      <c r="C846" s="989" t="str">
        <f>'ESC. LAFAYETE NUNES MACHADO'!C46</f>
        <v>FORRO EM PLACAS DE GESSO, PARA AMBIENTES RESIDENCIAIS. AF_05/2017_P</v>
      </c>
      <c r="D846" s="990"/>
      <c r="E846" s="990"/>
      <c r="F846" s="990"/>
      <c r="G846" s="990"/>
      <c r="H846" s="990"/>
      <c r="I846" s="990"/>
      <c r="J846" s="991"/>
      <c r="K846" s="97" t="s">
        <v>7</v>
      </c>
      <c r="L846" s="97">
        <f>K849</f>
        <v>400</v>
      </c>
    </row>
    <row r="847" spans="2:12">
      <c r="B847" s="78"/>
      <c r="C847" s="992" t="s">
        <v>20</v>
      </c>
      <c r="D847" s="992"/>
      <c r="E847" s="992"/>
      <c r="F847" s="79" t="s">
        <v>22</v>
      </c>
      <c r="G847" s="197" t="s">
        <v>111</v>
      </c>
      <c r="H847" s="79" t="s">
        <v>112</v>
      </c>
      <c r="I847" s="197" t="s">
        <v>113</v>
      </c>
      <c r="J847" s="197" t="s">
        <v>114</v>
      </c>
      <c r="K847" s="81" t="s">
        <v>25</v>
      </c>
      <c r="L847" s="82"/>
    </row>
    <row r="848" spans="2:12">
      <c r="B848" s="78"/>
      <c r="C848" s="976" t="s">
        <v>458</v>
      </c>
      <c r="D848" s="977"/>
      <c r="E848" s="978"/>
      <c r="F848" s="83">
        <v>20</v>
      </c>
      <c r="G848" s="83">
        <v>1</v>
      </c>
      <c r="H848" s="83">
        <v>5</v>
      </c>
      <c r="I848" s="83">
        <v>4</v>
      </c>
      <c r="J848" s="83">
        <v>0</v>
      </c>
      <c r="K848" s="89">
        <f>(G848*H848*I848*F848)-J848</f>
        <v>400</v>
      </c>
      <c r="L848" s="82"/>
    </row>
    <row r="849" spans="2:12">
      <c r="B849" s="78"/>
      <c r="C849" s="979" t="s">
        <v>116</v>
      </c>
      <c r="D849" s="979"/>
      <c r="E849" s="979"/>
      <c r="F849" s="979"/>
      <c r="G849" s="979"/>
      <c r="H849" s="979"/>
      <c r="I849" s="979"/>
      <c r="J849" s="979"/>
      <c r="K849" s="81">
        <f>K848</f>
        <v>400</v>
      </c>
      <c r="L849" s="82"/>
    </row>
    <row r="851" spans="2:12" ht="30.75" customHeight="1">
      <c r="B851" s="78" t="s">
        <v>469</v>
      </c>
      <c r="C851" s="989" t="str">
        <f>'ESC. LAFAYETE NUNES MACHADO'!C47</f>
        <v>RETIRADA E RECOLOCAÇÃO DE TELHA CERÂMICA CAPA-CANAL, COM ATÉ DUAS ÁGUAS, INCLUSO IÇAMENTO. AF_07/2019</v>
      </c>
      <c r="D851" s="990"/>
      <c r="E851" s="990"/>
      <c r="F851" s="990"/>
      <c r="G851" s="990"/>
      <c r="H851" s="990"/>
      <c r="I851" s="990"/>
      <c r="J851" s="991"/>
      <c r="K851" s="97" t="s">
        <v>21</v>
      </c>
      <c r="L851" s="97">
        <f>K854</f>
        <v>761</v>
      </c>
    </row>
    <row r="852" spans="2:12">
      <c r="B852" s="78"/>
      <c r="C852" s="992" t="s">
        <v>20</v>
      </c>
      <c r="D852" s="992"/>
      <c r="E852" s="992"/>
      <c r="F852" s="79"/>
      <c r="G852" s="197"/>
      <c r="H852" s="79"/>
      <c r="I852" s="197"/>
      <c r="J852" s="197" t="s">
        <v>1585</v>
      </c>
      <c r="K852" s="81" t="s">
        <v>25</v>
      </c>
      <c r="L852" s="82"/>
    </row>
    <row r="853" spans="2:12">
      <c r="B853" s="78"/>
      <c r="C853" s="976" t="s">
        <v>511</v>
      </c>
      <c r="D853" s="977"/>
      <c r="E853" s="978"/>
      <c r="F853" s="83"/>
      <c r="G853" s="83"/>
      <c r="H853" s="83"/>
      <c r="I853" s="83"/>
      <c r="J853" s="83">
        <f>'ESC. LAFAYETE NUNES MACHADO'!E47</f>
        <v>761</v>
      </c>
      <c r="K853" s="89">
        <f>J853</f>
        <v>761</v>
      </c>
      <c r="L853" s="82"/>
    </row>
    <row r="854" spans="2:12">
      <c r="B854" s="78"/>
      <c r="C854" s="979" t="s">
        <v>116</v>
      </c>
      <c r="D854" s="979"/>
      <c r="E854" s="979"/>
      <c r="F854" s="979"/>
      <c r="G854" s="979"/>
      <c r="H854" s="979"/>
      <c r="I854" s="979"/>
      <c r="J854" s="979"/>
      <c r="K854" s="81">
        <f>K853</f>
        <v>761</v>
      </c>
      <c r="L854" s="82"/>
    </row>
    <row r="855" spans="2:12">
      <c r="B855" s="897"/>
      <c r="C855" s="180"/>
      <c r="D855" s="180"/>
      <c r="E855" s="180"/>
      <c r="F855" s="180"/>
      <c r="G855" s="180"/>
      <c r="H855" s="180"/>
      <c r="I855" s="180"/>
      <c r="J855" s="180"/>
      <c r="K855" s="181"/>
      <c r="L855" s="82"/>
    </row>
    <row r="856" spans="2:12">
      <c r="B856" s="76" t="s">
        <v>201</v>
      </c>
      <c r="C856" s="993" t="s">
        <v>63</v>
      </c>
      <c r="D856" s="993"/>
      <c r="E856" s="993"/>
      <c r="F856" s="993"/>
      <c r="G856" s="993"/>
      <c r="H856" s="993"/>
      <c r="I856" s="993"/>
      <c r="J856" s="993"/>
      <c r="K856" s="77"/>
      <c r="L856" s="77"/>
    </row>
    <row r="858" spans="2:12" s="867" customFormat="1" ht="34.5" customHeight="1">
      <c r="B858" s="870" t="s">
        <v>64</v>
      </c>
      <c r="C858" s="1105" t="s">
        <v>486</v>
      </c>
      <c r="D858" s="1106"/>
      <c r="E858" s="1106"/>
      <c r="F858" s="1106"/>
      <c r="G858" s="1106"/>
      <c r="H858" s="1106"/>
      <c r="I858" s="1106"/>
      <c r="J858" s="1107"/>
      <c r="K858" s="871" t="s">
        <v>21</v>
      </c>
      <c r="L858" s="871">
        <f>K861</f>
        <v>87</v>
      </c>
    </row>
    <row r="859" spans="2:12" s="867" customFormat="1">
      <c r="B859" s="870"/>
      <c r="C859" s="1108" t="s">
        <v>20</v>
      </c>
      <c r="D859" s="1109"/>
      <c r="E859" s="1110"/>
      <c r="F859" s="872" t="s">
        <v>22</v>
      </c>
      <c r="G859" s="873" t="s">
        <v>111</v>
      </c>
      <c r="H859" s="872" t="s">
        <v>112</v>
      </c>
      <c r="I859" s="873" t="s">
        <v>113</v>
      </c>
      <c r="J859" s="873" t="s">
        <v>114</v>
      </c>
      <c r="K859" s="874" t="s">
        <v>25</v>
      </c>
      <c r="L859" s="875"/>
    </row>
    <row r="860" spans="2:12" s="867" customFormat="1">
      <c r="B860" s="870"/>
      <c r="C860" s="1101" t="s">
        <v>487</v>
      </c>
      <c r="D860" s="1102"/>
      <c r="E860" s="1103"/>
      <c r="F860" s="876">
        <v>1</v>
      </c>
      <c r="G860" s="876">
        <v>2.9</v>
      </c>
      <c r="H860" s="876">
        <v>30</v>
      </c>
      <c r="I860" s="876">
        <v>1</v>
      </c>
      <c r="J860" s="876">
        <v>0</v>
      </c>
      <c r="K860" s="877">
        <f>(G860*H860*I860*F860)-J860</f>
        <v>87</v>
      </c>
      <c r="L860" s="875"/>
    </row>
    <row r="861" spans="2:12" s="867" customFormat="1">
      <c r="B861" s="870"/>
      <c r="C861" s="1111" t="s">
        <v>116</v>
      </c>
      <c r="D861" s="1112"/>
      <c r="E861" s="1112"/>
      <c r="F861" s="1112"/>
      <c r="G861" s="1112"/>
      <c r="H861" s="1112"/>
      <c r="I861" s="1112"/>
      <c r="J861" s="1113"/>
      <c r="K861" s="874">
        <f>K860</f>
        <v>87</v>
      </c>
      <c r="L861" s="875"/>
    </row>
    <row r="862" spans="2:12" s="867" customFormat="1">
      <c r="B862" s="870"/>
      <c r="C862" s="878"/>
      <c r="D862" s="878"/>
      <c r="E862" s="878"/>
      <c r="F862" s="878"/>
      <c r="G862" s="878"/>
      <c r="H862" s="878"/>
      <c r="I862" s="878"/>
      <c r="J862" s="878"/>
      <c r="K862" s="879"/>
      <c r="L862" s="875"/>
    </row>
    <row r="863" spans="2:12" s="867" customFormat="1">
      <c r="B863" s="870" t="s">
        <v>101</v>
      </c>
      <c r="C863" s="1105" t="s">
        <v>641</v>
      </c>
      <c r="D863" s="1106"/>
      <c r="E863" s="1106"/>
      <c r="F863" s="1106"/>
      <c r="G863" s="1106"/>
      <c r="H863" s="1106"/>
      <c r="I863" s="1106"/>
      <c r="J863" s="1107"/>
      <c r="K863" s="871" t="s">
        <v>21</v>
      </c>
      <c r="L863" s="871">
        <f>K866</f>
        <v>14.5</v>
      </c>
    </row>
    <row r="864" spans="2:12" s="867" customFormat="1">
      <c r="B864" s="870"/>
      <c r="C864" s="1108" t="s">
        <v>20</v>
      </c>
      <c r="D864" s="1109"/>
      <c r="E864" s="1110"/>
      <c r="F864" s="872" t="s">
        <v>22</v>
      </c>
      <c r="G864" s="873" t="s">
        <v>111</v>
      </c>
      <c r="H864" s="872" t="s">
        <v>112</v>
      </c>
      <c r="I864" s="873" t="s">
        <v>113</v>
      </c>
      <c r="J864" s="873" t="s">
        <v>114</v>
      </c>
      <c r="K864" s="874" t="s">
        <v>25</v>
      </c>
      <c r="L864" s="875"/>
    </row>
    <row r="865" spans="2:12" s="867" customFormat="1">
      <c r="B865" s="870"/>
      <c r="C865" s="1101" t="s">
        <v>644</v>
      </c>
      <c r="D865" s="1102"/>
      <c r="E865" s="1103"/>
      <c r="F865" s="876">
        <v>1</v>
      </c>
      <c r="G865" s="876">
        <v>2.9</v>
      </c>
      <c r="H865" s="876">
        <v>5</v>
      </c>
      <c r="I865" s="876">
        <v>1</v>
      </c>
      <c r="J865" s="876">
        <v>0</v>
      </c>
      <c r="K865" s="877">
        <f>(G865*H865*I865*F865)-J865</f>
        <v>14.5</v>
      </c>
      <c r="L865" s="875"/>
    </row>
    <row r="866" spans="2:12" s="867" customFormat="1">
      <c r="B866" s="870"/>
      <c r="C866" s="1111" t="s">
        <v>116</v>
      </c>
      <c r="D866" s="1112"/>
      <c r="E866" s="1112"/>
      <c r="F866" s="1112"/>
      <c r="G866" s="1112"/>
      <c r="H866" s="1112"/>
      <c r="I866" s="1112"/>
      <c r="J866" s="1113"/>
      <c r="K866" s="874">
        <f>K865</f>
        <v>14.5</v>
      </c>
      <c r="L866" s="875"/>
    </row>
    <row r="867" spans="2:12" s="867" customFormat="1">
      <c r="B867" s="870"/>
      <c r="C867" s="878"/>
      <c r="D867" s="878"/>
      <c r="E867" s="878"/>
      <c r="F867" s="878"/>
      <c r="G867" s="878"/>
      <c r="H867" s="878"/>
      <c r="I867" s="878"/>
      <c r="J867" s="878"/>
      <c r="K867" s="879"/>
      <c r="L867" s="875"/>
    </row>
    <row r="868" spans="2:12" s="867" customFormat="1">
      <c r="B868" s="870" t="s">
        <v>429</v>
      </c>
      <c r="C868" s="1124" t="str">
        <f>'ESC. LAFAYETE NUNES MACHADO'!C52</f>
        <v>SIFÃO DO TIPO FLEXÍVEL EM PVC 1 X 1.1/2 - FORNECIMENTO E INSTALAÇÃO. AF_01/2020</v>
      </c>
      <c r="D868" s="1125"/>
      <c r="E868" s="1125"/>
      <c r="F868" s="1125"/>
      <c r="G868" s="1125"/>
      <c r="H868" s="1125"/>
      <c r="I868" s="1125"/>
      <c r="J868" s="1126"/>
      <c r="K868" s="871" t="s">
        <v>21</v>
      </c>
      <c r="L868" s="871">
        <f>K871</f>
        <v>5</v>
      </c>
    </row>
    <row r="869" spans="2:12" s="867" customFormat="1">
      <c r="B869" s="870"/>
      <c r="C869" s="1108" t="s">
        <v>20</v>
      </c>
      <c r="D869" s="1109"/>
      <c r="E869" s="1110"/>
      <c r="F869" s="872" t="s">
        <v>22</v>
      </c>
      <c r="G869" s="873" t="s">
        <v>111</v>
      </c>
      <c r="H869" s="872" t="s">
        <v>112</v>
      </c>
      <c r="I869" s="873" t="s">
        <v>113</v>
      </c>
      <c r="J869" s="873" t="s">
        <v>114</v>
      </c>
      <c r="K869" s="874" t="s">
        <v>25</v>
      </c>
      <c r="L869" s="875"/>
    </row>
    <row r="870" spans="2:12" s="867" customFormat="1" ht="28.5" customHeight="1">
      <c r="B870" s="870"/>
      <c r="C870" s="1101" t="s">
        <v>512</v>
      </c>
      <c r="D870" s="1102"/>
      <c r="E870" s="1103"/>
      <c r="F870" s="876">
        <v>5</v>
      </c>
      <c r="G870" s="876">
        <v>1</v>
      </c>
      <c r="H870" s="876">
        <v>1</v>
      </c>
      <c r="I870" s="876">
        <v>1</v>
      </c>
      <c r="J870" s="876">
        <v>0</v>
      </c>
      <c r="K870" s="877">
        <f>(G870*H870*I870*F870)-J870</f>
        <v>5</v>
      </c>
      <c r="L870" s="875"/>
    </row>
    <row r="871" spans="2:12" s="867" customFormat="1">
      <c r="B871" s="870"/>
      <c r="C871" s="1111" t="s">
        <v>116</v>
      </c>
      <c r="D871" s="1112"/>
      <c r="E871" s="1112"/>
      <c r="F871" s="1112"/>
      <c r="G871" s="1112"/>
      <c r="H871" s="1112"/>
      <c r="I871" s="1112"/>
      <c r="J871" s="1113"/>
      <c r="K871" s="874">
        <f>K870</f>
        <v>5</v>
      </c>
      <c r="L871" s="875"/>
    </row>
    <row r="872" spans="2:12" s="867" customFormat="1">
      <c r="B872" s="880"/>
      <c r="C872" s="880"/>
      <c r="D872" s="880"/>
      <c r="E872" s="880"/>
      <c r="F872" s="880"/>
      <c r="G872" s="880"/>
      <c r="H872" s="880"/>
      <c r="I872" s="880"/>
      <c r="J872" s="880"/>
      <c r="K872" s="880"/>
      <c r="L872" s="880"/>
    </row>
    <row r="873" spans="2:12" s="867" customFormat="1">
      <c r="B873" s="870" t="s">
        <v>546</v>
      </c>
      <c r="C873" s="1105" t="str">
        <f>'ESC. LAFAYETE NUNES MACHADO'!C53</f>
        <v>REVISÃO DE PONTO DE ESGOTO</v>
      </c>
      <c r="D873" s="1106"/>
      <c r="E873" s="1106"/>
      <c r="F873" s="1106"/>
      <c r="G873" s="1106"/>
      <c r="H873" s="1106"/>
      <c r="I873" s="1106"/>
      <c r="J873" s="1107"/>
      <c r="K873" s="871" t="s">
        <v>21</v>
      </c>
      <c r="L873" s="871">
        <f>K876</f>
        <v>7</v>
      </c>
    </row>
    <row r="874" spans="2:12" s="867" customFormat="1">
      <c r="B874" s="870"/>
      <c r="C874" s="1100" t="s">
        <v>20</v>
      </c>
      <c r="D874" s="1100"/>
      <c r="E874" s="1100"/>
      <c r="F874" s="872" t="s">
        <v>22</v>
      </c>
      <c r="G874" s="873" t="s">
        <v>111</v>
      </c>
      <c r="H874" s="872" t="s">
        <v>112</v>
      </c>
      <c r="I874" s="873" t="s">
        <v>113</v>
      </c>
      <c r="J874" s="873" t="s">
        <v>114</v>
      </c>
      <c r="K874" s="874" t="s">
        <v>25</v>
      </c>
      <c r="L874" s="875"/>
    </row>
    <row r="875" spans="2:12" s="867" customFormat="1">
      <c r="B875" s="870"/>
      <c r="C875" s="1101" t="s">
        <v>513</v>
      </c>
      <c r="D875" s="1102"/>
      <c r="E875" s="1103"/>
      <c r="F875" s="876">
        <v>7</v>
      </c>
      <c r="G875" s="876">
        <v>1</v>
      </c>
      <c r="H875" s="876">
        <v>1</v>
      </c>
      <c r="I875" s="876">
        <v>1</v>
      </c>
      <c r="J875" s="876">
        <v>0</v>
      </c>
      <c r="K875" s="877">
        <f>(G875*H875*I875*F875)-J875</f>
        <v>7</v>
      </c>
      <c r="L875" s="875"/>
    </row>
    <row r="876" spans="2:12" s="867" customFormat="1">
      <c r="B876" s="870"/>
      <c r="C876" s="1104" t="s">
        <v>116</v>
      </c>
      <c r="D876" s="1104"/>
      <c r="E876" s="1104"/>
      <c r="F876" s="1104"/>
      <c r="G876" s="1104"/>
      <c r="H876" s="1104"/>
      <c r="I876" s="1104"/>
      <c r="J876" s="1104"/>
      <c r="K876" s="874">
        <f>K875</f>
        <v>7</v>
      </c>
      <c r="L876" s="875"/>
    </row>
    <row r="877" spans="2:12" s="867" customFormat="1">
      <c r="B877" s="870"/>
      <c r="C877" s="878"/>
      <c r="D877" s="878"/>
      <c r="E877" s="878"/>
      <c r="F877" s="878"/>
      <c r="G877" s="878"/>
      <c r="H877" s="878"/>
      <c r="I877" s="878"/>
      <c r="J877" s="878"/>
      <c r="K877" s="879"/>
      <c r="L877" s="875"/>
    </row>
    <row r="878" spans="2:12" s="867" customFormat="1" ht="24.75" customHeight="1">
      <c r="B878" s="870" t="s">
        <v>547</v>
      </c>
      <c r="C878" s="1105" t="str">
        <f>'ESC. LAFAYETE NUNES MACHADO'!C54</f>
        <v>TORNEIRA CROMADA DE MESA, 1/2 OU 3/4, PARA LAVATÓRIO, PADRÃO POPULAR - FORNECIMENTO E INSTALAÇÃO. AF_01/2020</v>
      </c>
      <c r="D878" s="1106"/>
      <c r="E878" s="1106"/>
      <c r="F878" s="1106"/>
      <c r="G878" s="1106"/>
      <c r="H878" s="1106"/>
      <c r="I878" s="1106"/>
      <c r="J878" s="1107"/>
      <c r="K878" s="871" t="s">
        <v>21</v>
      </c>
      <c r="L878" s="871">
        <f>K881</f>
        <v>4</v>
      </c>
    </row>
    <row r="879" spans="2:12" s="867" customFormat="1">
      <c r="B879" s="870"/>
      <c r="C879" s="1100" t="s">
        <v>20</v>
      </c>
      <c r="D879" s="1100"/>
      <c r="E879" s="1100"/>
      <c r="F879" s="872" t="s">
        <v>22</v>
      </c>
      <c r="G879" s="873" t="s">
        <v>111</v>
      </c>
      <c r="H879" s="872" t="s">
        <v>112</v>
      </c>
      <c r="I879" s="873" t="s">
        <v>113</v>
      </c>
      <c r="J879" s="873" t="s">
        <v>114</v>
      </c>
      <c r="K879" s="874" t="s">
        <v>25</v>
      </c>
      <c r="L879" s="875"/>
    </row>
    <row r="880" spans="2:12" s="867" customFormat="1">
      <c r="B880" s="870"/>
      <c r="C880" s="1101" t="s">
        <v>513</v>
      </c>
      <c r="D880" s="1102"/>
      <c r="E880" s="1103"/>
      <c r="F880" s="876">
        <v>4</v>
      </c>
      <c r="G880" s="876">
        <v>1</v>
      </c>
      <c r="H880" s="876">
        <v>1</v>
      </c>
      <c r="I880" s="876">
        <v>1</v>
      </c>
      <c r="J880" s="876">
        <v>0</v>
      </c>
      <c r="K880" s="877">
        <f>(G880*H880*I880*F880)-J880</f>
        <v>4</v>
      </c>
      <c r="L880" s="875"/>
    </row>
    <row r="881" spans="2:12" s="867" customFormat="1">
      <c r="B881" s="870"/>
      <c r="C881" s="1104" t="s">
        <v>116</v>
      </c>
      <c r="D881" s="1104"/>
      <c r="E881" s="1104"/>
      <c r="F881" s="1104"/>
      <c r="G881" s="1104"/>
      <c r="H881" s="1104"/>
      <c r="I881" s="1104"/>
      <c r="J881" s="1104"/>
      <c r="K881" s="874">
        <f>K880</f>
        <v>4</v>
      </c>
      <c r="L881" s="875"/>
    </row>
    <row r="882" spans="2:12" s="867" customFormat="1">
      <c r="B882" s="870"/>
      <c r="C882" s="878"/>
      <c r="D882" s="878"/>
      <c r="E882" s="878"/>
      <c r="F882" s="878"/>
      <c r="G882" s="878"/>
      <c r="H882" s="878"/>
      <c r="I882" s="878"/>
      <c r="J882" s="878"/>
      <c r="K882" s="879"/>
      <c r="L882" s="875"/>
    </row>
    <row r="883" spans="2:12">
      <c r="B883" s="76" t="s">
        <v>630</v>
      </c>
      <c r="C883" s="993" t="s">
        <v>442</v>
      </c>
      <c r="D883" s="993"/>
      <c r="E883" s="993"/>
      <c r="F883" s="993"/>
      <c r="G883" s="993"/>
      <c r="H883" s="993"/>
      <c r="I883" s="993"/>
      <c r="J883" s="993"/>
      <c r="K883" s="77"/>
      <c r="L883" s="77"/>
    </row>
    <row r="884" spans="2:12">
      <c r="B884" s="842"/>
      <c r="C884" s="180"/>
      <c r="D884" s="180"/>
      <c r="E884" s="180"/>
      <c r="F884" s="180"/>
      <c r="G884" s="180"/>
      <c r="H884" s="180"/>
      <c r="I884" s="180"/>
      <c r="J884" s="180"/>
      <c r="K884" s="181"/>
      <c r="L884" s="82"/>
    </row>
    <row r="885" spans="2:12">
      <c r="B885" s="842" t="s">
        <v>68</v>
      </c>
      <c r="C885" s="989" t="str">
        <f>'ESC. LAFAYETE NUNES MACHADO'!C57</f>
        <v>INSTALAÇÃO DE AR CONDICIONADO  DE AR TIPO SPLIT HIGHT WALL, 12000 BTU</v>
      </c>
      <c r="D885" s="990"/>
      <c r="E885" s="990"/>
      <c r="F885" s="990"/>
      <c r="G885" s="990"/>
      <c r="H885" s="990"/>
      <c r="I885" s="990"/>
      <c r="J885" s="991"/>
      <c r="K885" s="97" t="s">
        <v>21</v>
      </c>
      <c r="L885" s="97">
        <f>K888</f>
        <v>15</v>
      </c>
    </row>
    <row r="886" spans="2:12">
      <c r="B886" s="842"/>
      <c r="C886" s="992" t="s">
        <v>20</v>
      </c>
      <c r="D886" s="992"/>
      <c r="E886" s="992"/>
      <c r="F886" s="79" t="s">
        <v>22</v>
      </c>
      <c r="G886" s="841" t="s">
        <v>111</v>
      </c>
      <c r="H886" s="79" t="s">
        <v>112</v>
      </c>
      <c r="I886" s="841" t="s">
        <v>113</v>
      </c>
      <c r="J886" s="841" t="s">
        <v>114</v>
      </c>
      <c r="K886" s="81" t="s">
        <v>25</v>
      </c>
      <c r="L886" s="82"/>
    </row>
    <row r="887" spans="2:12">
      <c r="B887" s="842"/>
      <c r="C887" s="976" t="s">
        <v>458</v>
      </c>
      <c r="D887" s="977"/>
      <c r="E887" s="978"/>
      <c r="F887" s="83">
        <v>15</v>
      </c>
      <c r="G887" s="83">
        <v>1</v>
      </c>
      <c r="H887" s="83">
        <v>1</v>
      </c>
      <c r="I887" s="83">
        <v>1</v>
      </c>
      <c r="J887" s="83">
        <v>0</v>
      </c>
      <c r="K887" s="89">
        <f>(G887*H887*I887*F887)-J887</f>
        <v>15</v>
      </c>
      <c r="L887" s="82"/>
    </row>
    <row r="888" spans="2:12">
      <c r="B888" s="842"/>
      <c r="C888" s="979" t="s">
        <v>116</v>
      </c>
      <c r="D888" s="979"/>
      <c r="E888" s="979"/>
      <c r="F888" s="979"/>
      <c r="G888" s="979"/>
      <c r="H888" s="979"/>
      <c r="I888" s="979"/>
      <c r="J888" s="979"/>
      <c r="K888" s="81">
        <f>K887</f>
        <v>15</v>
      </c>
      <c r="L888" s="82"/>
    </row>
    <row r="889" spans="2:12">
      <c r="B889" s="842"/>
      <c r="C889" s="180"/>
      <c r="D889" s="180"/>
      <c r="E889" s="180"/>
      <c r="F889" s="180"/>
      <c r="G889" s="180"/>
      <c r="H889" s="180"/>
      <c r="I889" s="180"/>
      <c r="J889" s="180"/>
      <c r="K889" s="181"/>
      <c r="L889" s="82"/>
    </row>
    <row r="890" spans="2:12">
      <c r="B890" s="78"/>
      <c r="C890" s="180"/>
      <c r="D890" s="180"/>
      <c r="E890" s="180"/>
      <c r="F890" s="180"/>
      <c r="G890" s="180"/>
      <c r="H890" s="180"/>
      <c r="I890" s="180"/>
      <c r="J890" s="180"/>
      <c r="K890" s="181"/>
      <c r="L890" s="82"/>
    </row>
    <row r="891" spans="2:12" ht="31.5" customHeight="1">
      <c r="B891" s="78" t="s">
        <v>202</v>
      </c>
      <c r="C891" s="989" t="s">
        <v>428</v>
      </c>
      <c r="D891" s="990"/>
      <c r="E891" s="990"/>
      <c r="F891" s="990"/>
      <c r="G891" s="990"/>
      <c r="H891" s="990"/>
      <c r="I891" s="990"/>
      <c r="J891" s="991"/>
      <c r="K891" s="97" t="s">
        <v>21</v>
      </c>
      <c r="L891" s="97">
        <f>K894</f>
        <v>4</v>
      </c>
    </row>
    <row r="892" spans="2:12">
      <c r="B892" s="78"/>
      <c r="C892" s="992" t="s">
        <v>20</v>
      </c>
      <c r="D892" s="992"/>
      <c r="E892" s="992"/>
      <c r="F892" s="79" t="s">
        <v>22</v>
      </c>
      <c r="G892" s="205" t="s">
        <v>111</v>
      </c>
      <c r="H892" s="79" t="s">
        <v>112</v>
      </c>
      <c r="I892" s="205" t="s">
        <v>113</v>
      </c>
      <c r="J892" s="205" t="s">
        <v>114</v>
      </c>
      <c r="K892" s="81" t="s">
        <v>25</v>
      </c>
      <c r="L892" s="82"/>
    </row>
    <row r="893" spans="2:12">
      <c r="B893" s="78"/>
      <c r="C893" s="976" t="s">
        <v>514</v>
      </c>
      <c r="D893" s="977"/>
      <c r="E893" s="978"/>
      <c r="F893" s="83">
        <v>4</v>
      </c>
      <c r="G893" s="83">
        <v>1</v>
      </c>
      <c r="H893" s="83">
        <v>1</v>
      </c>
      <c r="I893" s="83">
        <v>1</v>
      </c>
      <c r="J893" s="83">
        <v>0</v>
      </c>
      <c r="K893" s="89">
        <f>(G893*H893*I893*F893)-J893</f>
        <v>4</v>
      </c>
      <c r="L893" s="82"/>
    </row>
    <row r="894" spans="2:12">
      <c r="B894" s="78"/>
      <c r="C894" s="979" t="s">
        <v>116</v>
      </c>
      <c r="D894" s="979"/>
      <c r="E894" s="979"/>
      <c r="F894" s="979"/>
      <c r="G894" s="979"/>
      <c r="H894" s="979"/>
      <c r="I894" s="979"/>
      <c r="J894" s="979"/>
      <c r="K894" s="81">
        <f>K893</f>
        <v>4</v>
      </c>
      <c r="L894" s="82"/>
    </row>
    <row r="895" spans="2:12">
      <c r="B895" s="78"/>
      <c r="C895" s="180"/>
      <c r="D895" s="180"/>
      <c r="E895" s="180"/>
      <c r="F895" s="180"/>
      <c r="G895" s="180"/>
      <c r="H895" s="180"/>
      <c r="I895" s="180"/>
      <c r="J895" s="180"/>
      <c r="K895" s="181"/>
      <c r="L895" s="82"/>
    </row>
    <row r="896" spans="2:12">
      <c r="B896" s="78" t="s">
        <v>525</v>
      </c>
      <c r="C896" s="989" t="s">
        <v>424</v>
      </c>
      <c r="D896" s="990"/>
      <c r="E896" s="990"/>
      <c r="F896" s="990"/>
      <c r="G896" s="990"/>
      <c r="H896" s="990"/>
      <c r="I896" s="990"/>
      <c r="J896" s="991"/>
      <c r="K896" s="97" t="s">
        <v>21</v>
      </c>
      <c r="L896" s="97">
        <f>K899</f>
        <v>68</v>
      </c>
    </row>
    <row r="897" spans="2:12" ht="15.75" customHeight="1">
      <c r="B897" s="78"/>
      <c r="C897" s="992" t="s">
        <v>20</v>
      </c>
      <c r="D897" s="992"/>
      <c r="E897" s="992"/>
      <c r="F897" s="79" t="s">
        <v>22</v>
      </c>
      <c r="G897" s="197" t="s">
        <v>111</v>
      </c>
      <c r="H897" s="79" t="s">
        <v>112</v>
      </c>
      <c r="I897" s="197" t="s">
        <v>113</v>
      </c>
      <c r="J897" s="197" t="s">
        <v>114</v>
      </c>
      <c r="K897" s="81" t="s">
        <v>25</v>
      </c>
      <c r="L897" s="82"/>
    </row>
    <row r="898" spans="2:12">
      <c r="B898" s="78"/>
      <c r="C898" s="976" t="s">
        <v>475</v>
      </c>
      <c r="D898" s="977"/>
      <c r="E898" s="978"/>
      <c r="F898" s="83">
        <v>68</v>
      </c>
      <c r="G898" s="83">
        <v>1</v>
      </c>
      <c r="H898" s="83">
        <v>1</v>
      </c>
      <c r="I898" s="83">
        <v>1</v>
      </c>
      <c r="J898" s="83">
        <v>0</v>
      </c>
      <c r="K898" s="89">
        <f>(G898*H898*I898*F898)-J898</f>
        <v>68</v>
      </c>
      <c r="L898" s="82"/>
    </row>
    <row r="899" spans="2:12">
      <c r="B899" s="78"/>
      <c r="C899" s="979" t="s">
        <v>116</v>
      </c>
      <c r="D899" s="979"/>
      <c r="E899" s="979"/>
      <c r="F899" s="979"/>
      <c r="G899" s="979"/>
      <c r="H899" s="979"/>
      <c r="I899" s="979"/>
      <c r="J899" s="979"/>
      <c r="K899" s="81">
        <f>K898</f>
        <v>68</v>
      </c>
      <c r="L899" s="82"/>
    </row>
    <row r="901" spans="2:12" ht="29.25" customHeight="1">
      <c r="B901" s="78" t="s">
        <v>549</v>
      </c>
      <c r="C901" s="989" t="s">
        <v>426</v>
      </c>
      <c r="D901" s="990"/>
      <c r="E901" s="990"/>
      <c r="F901" s="990"/>
      <c r="G901" s="990"/>
      <c r="H901" s="990"/>
      <c r="I901" s="990"/>
      <c r="J901" s="991"/>
      <c r="K901" s="97" t="s">
        <v>21</v>
      </c>
      <c r="L901" s="97">
        <f>K904</f>
        <v>2</v>
      </c>
    </row>
    <row r="902" spans="2:12">
      <c r="B902" s="78"/>
      <c r="C902" s="992" t="s">
        <v>20</v>
      </c>
      <c r="D902" s="992"/>
      <c r="E902" s="992"/>
      <c r="F902" s="79" t="s">
        <v>22</v>
      </c>
      <c r="G902" s="197" t="s">
        <v>111</v>
      </c>
      <c r="H902" s="79" t="s">
        <v>112</v>
      </c>
      <c r="I902" s="197" t="s">
        <v>113</v>
      </c>
      <c r="J902" s="197" t="s">
        <v>114</v>
      </c>
      <c r="K902" s="81" t="s">
        <v>25</v>
      </c>
      <c r="L902" s="82"/>
    </row>
    <row r="903" spans="2:12">
      <c r="B903" s="78"/>
      <c r="C903" s="976" t="s">
        <v>515</v>
      </c>
      <c r="D903" s="977"/>
      <c r="E903" s="978"/>
      <c r="F903" s="83">
        <v>2</v>
      </c>
      <c r="G903" s="83">
        <v>1</v>
      </c>
      <c r="H903" s="83">
        <v>1</v>
      </c>
      <c r="I903" s="83">
        <v>1</v>
      </c>
      <c r="J903" s="83">
        <v>0</v>
      </c>
      <c r="K903" s="89">
        <f>(G903*H903*I903*F903)-J903</f>
        <v>2</v>
      </c>
      <c r="L903" s="82"/>
    </row>
    <row r="904" spans="2:12">
      <c r="B904" s="78"/>
      <c r="C904" s="979" t="s">
        <v>116</v>
      </c>
      <c r="D904" s="979"/>
      <c r="E904" s="979"/>
      <c r="F904" s="979"/>
      <c r="G904" s="979"/>
      <c r="H904" s="979"/>
      <c r="I904" s="979"/>
      <c r="J904" s="979"/>
      <c r="K904" s="81">
        <f>K903</f>
        <v>2</v>
      </c>
      <c r="L904" s="82"/>
    </row>
    <row r="905" spans="2:12">
      <c r="B905" s="78"/>
      <c r="C905" s="180"/>
      <c r="D905" s="180"/>
      <c r="E905" s="180"/>
      <c r="F905" s="180"/>
      <c r="G905" s="180"/>
      <c r="H905" s="180"/>
      <c r="I905" s="180"/>
      <c r="J905" s="180"/>
      <c r="K905" s="181"/>
      <c r="L905" s="82"/>
    </row>
    <row r="906" spans="2:12" s="867" customFormat="1">
      <c r="B906" s="76" t="s">
        <v>72</v>
      </c>
      <c r="C906" s="993" t="str">
        <f>'ESC. LAFAYETE NUNES MACHADO'!C62</f>
        <v xml:space="preserve">IMPERMEABILIZAÇÃO </v>
      </c>
      <c r="D906" s="993"/>
      <c r="E906" s="993"/>
      <c r="F906" s="993"/>
      <c r="G906" s="993"/>
      <c r="H906" s="993"/>
      <c r="I906" s="993"/>
      <c r="J906" s="993"/>
      <c r="K906" s="77"/>
      <c r="L906" s="77"/>
    </row>
    <row r="907" spans="2:12" s="867" customFormat="1">
      <c r="B907" s="880"/>
      <c r="C907" s="880"/>
      <c r="D907" s="880"/>
      <c r="E907" s="880"/>
      <c r="F907" s="880"/>
      <c r="G907" s="880"/>
      <c r="H907" s="880"/>
      <c r="I907" s="880"/>
      <c r="J907" s="880"/>
      <c r="K907" s="880"/>
      <c r="L907" s="880"/>
    </row>
    <row r="908" spans="2:12" s="867" customFormat="1" ht="36" customHeight="1">
      <c r="B908" s="870" t="s">
        <v>75</v>
      </c>
      <c r="C908" s="1105" t="s">
        <v>527</v>
      </c>
      <c r="D908" s="1106"/>
      <c r="E908" s="1106"/>
      <c r="F908" s="1106"/>
      <c r="G908" s="1106"/>
      <c r="H908" s="1106"/>
      <c r="I908" s="1106"/>
      <c r="J908" s="1107"/>
      <c r="K908" s="871" t="s">
        <v>77</v>
      </c>
      <c r="L908" s="871">
        <f>K911</f>
        <v>9</v>
      </c>
    </row>
    <row r="909" spans="2:12" s="867" customFormat="1">
      <c r="B909" s="870"/>
      <c r="C909" s="1100" t="s">
        <v>20</v>
      </c>
      <c r="D909" s="1100"/>
      <c r="E909" s="1100"/>
      <c r="F909" s="872" t="s">
        <v>22</v>
      </c>
      <c r="G909" s="873" t="s">
        <v>111</v>
      </c>
      <c r="H909" s="872" t="s">
        <v>112</v>
      </c>
      <c r="I909" s="873" t="s">
        <v>113</v>
      </c>
      <c r="J909" s="873" t="s">
        <v>114</v>
      </c>
      <c r="K909" s="874" t="s">
        <v>25</v>
      </c>
      <c r="L909" s="875"/>
    </row>
    <row r="910" spans="2:12" s="867" customFormat="1">
      <c r="B910" s="870"/>
      <c r="C910" s="1101" t="s">
        <v>519</v>
      </c>
      <c r="D910" s="1102"/>
      <c r="E910" s="1103"/>
      <c r="F910" s="876">
        <v>1</v>
      </c>
      <c r="G910" s="876">
        <v>1</v>
      </c>
      <c r="H910" s="876">
        <v>3</v>
      </c>
      <c r="I910" s="876">
        <v>3</v>
      </c>
      <c r="J910" s="876">
        <v>0</v>
      </c>
      <c r="K910" s="877">
        <f>(G910*H910*I910*F910)-J910</f>
        <v>9</v>
      </c>
      <c r="L910" s="875"/>
    </row>
    <row r="911" spans="2:12" s="867" customFormat="1">
      <c r="B911" s="870"/>
      <c r="C911" s="1104" t="s">
        <v>116</v>
      </c>
      <c r="D911" s="1104"/>
      <c r="E911" s="1104"/>
      <c r="F911" s="1104"/>
      <c r="G911" s="1104"/>
      <c r="H911" s="1104"/>
      <c r="I911" s="1104"/>
      <c r="J911" s="1104"/>
      <c r="K911" s="874">
        <f>K910</f>
        <v>9</v>
      </c>
      <c r="L911" s="875"/>
    </row>
    <row r="912" spans="2:12" s="867" customFormat="1">
      <c r="B912" s="880"/>
      <c r="C912" s="880"/>
      <c r="D912" s="880"/>
      <c r="E912" s="880"/>
      <c r="F912" s="880"/>
      <c r="G912" s="880"/>
      <c r="H912" s="880"/>
      <c r="I912" s="880"/>
      <c r="J912" s="880"/>
      <c r="K912" s="880"/>
      <c r="L912" s="880"/>
    </row>
    <row r="913" spans="2:12">
      <c r="B913" s="76" t="s">
        <v>628</v>
      </c>
      <c r="C913" s="993" t="s">
        <v>73</v>
      </c>
      <c r="D913" s="993"/>
      <c r="E913" s="993"/>
      <c r="F913" s="993"/>
      <c r="G913" s="993"/>
      <c r="H913" s="993"/>
      <c r="I913" s="993"/>
      <c r="J913" s="993"/>
      <c r="K913" s="77"/>
      <c r="L913" s="77"/>
    </row>
    <row r="914" spans="2:12">
      <c r="B914" s="391"/>
      <c r="C914" s="180"/>
      <c r="D914" s="180"/>
      <c r="E914" s="180"/>
      <c r="F914" s="180"/>
      <c r="G914" s="180"/>
      <c r="H914" s="180"/>
      <c r="I914" s="180"/>
      <c r="J914" s="180"/>
      <c r="K914" s="181"/>
      <c r="L914" s="82"/>
    </row>
    <row r="915" spans="2:12" ht="47.25" customHeight="1">
      <c r="B915" s="391" t="s">
        <v>629</v>
      </c>
      <c r="C915" s="989" t="s">
        <v>76</v>
      </c>
      <c r="D915" s="990"/>
      <c r="E915" s="990"/>
      <c r="F915" s="990"/>
      <c r="G915" s="990"/>
      <c r="H915" s="990"/>
      <c r="I915" s="990"/>
      <c r="J915" s="991"/>
      <c r="K915" s="97" t="s">
        <v>77</v>
      </c>
      <c r="L915" s="97">
        <f>K918</f>
        <v>13</v>
      </c>
    </row>
    <row r="916" spans="2:12">
      <c r="B916" s="391"/>
      <c r="C916" s="992" t="s">
        <v>20</v>
      </c>
      <c r="D916" s="992"/>
      <c r="E916" s="992"/>
      <c r="F916" s="79" t="s">
        <v>22</v>
      </c>
      <c r="G916" s="390" t="s">
        <v>111</v>
      </c>
      <c r="H916" s="79" t="s">
        <v>112</v>
      </c>
      <c r="I916" s="390" t="s">
        <v>113</v>
      </c>
      <c r="J916" s="390" t="s">
        <v>114</v>
      </c>
      <c r="K916" s="81" t="s">
        <v>25</v>
      </c>
      <c r="L916" s="82"/>
    </row>
    <row r="917" spans="2:12">
      <c r="B917" s="391"/>
      <c r="C917" s="976" t="s">
        <v>477</v>
      </c>
      <c r="D917" s="977"/>
      <c r="E917" s="978"/>
      <c r="F917" s="83">
        <v>13</v>
      </c>
      <c r="G917" s="83">
        <v>1</v>
      </c>
      <c r="H917" s="83">
        <v>1</v>
      </c>
      <c r="I917" s="83">
        <v>1</v>
      </c>
      <c r="J917" s="83">
        <v>0</v>
      </c>
      <c r="K917" s="89">
        <f>(G917*H917*I917*F917)-J917</f>
        <v>13</v>
      </c>
      <c r="L917" s="82"/>
    </row>
    <row r="918" spans="2:12">
      <c r="B918" s="391"/>
      <c r="C918" s="979" t="s">
        <v>116</v>
      </c>
      <c r="D918" s="979"/>
      <c r="E918" s="979"/>
      <c r="F918" s="979"/>
      <c r="G918" s="979"/>
      <c r="H918" s="979"/>
      <c r="I918" s="979"/>
      <c r="J918" s="979"/>
      <c r="K918" s="81">
        <f>K917</f>
        <v>13</v>
      </c>
      <c r="L918" s="82"/>
    </row>
    <row r="919" spans="2:12">
      <c r="B919" s="391"/>
      <c r="C919" s="180"/>
      <c r="D919" s="180"/>
      <c r="E919" s="180"/>
      <c r="F919" s="180"/>
      <c r="G919" s="180"/>
      <c r="H919" s="180"/>
      <c r="I919" s="180"/>
      <c r="J919" s="180"/>
      <c r="K919" s="181"/>
      <c r="L919" s="82"/>
    </row>
    <row r="920" spans="2:12">
      <c r="B920" s="391" t="s">
        <v>701</v>
      </c>
      <c r="C920" s="989" t="s">
        <v>648</v>
      </c>
      <c r="D920" s="990"/>
      <c r="E920" s="990"/>
      <c r="F920" s="990"/>
      <c r="G920" s="990"/>
      <c r="H920" s="990"/>
      <c r="I920" s="990"/>
      <c r="J920" s="991"/>
      <c r="K920" s="97" t="s">
        <v>7</v>
      </c>
      <c r="L920" s="97">
        <f>K922</f>
        <v>10</v>
      </c>
    </row>
    <row r="921" spans="2:12">
      <c r="B921" s="391"/>
      <c r="C921" s="992" t="s">
        <v>20</v>
      </c>
      <c r="D921" s="992"/>
      <c r="E921" s="992"/>
      <c r="F921" s="79" t="s">
        <v>22</v>
      </c>
      <c r="G921" s="390" t="s">
        <v>111</v>
      </c>
      <c r="H921" s="79" t="s">
        <v>112</v>
      </c>
      <c r="I921" s="390" t="s">
        <v>113</v>
      </c>
      <c r="J921" s="390" t="s">
        <v>114</v>
      </c>
      <c r="K921" s="81" t="s">
        <v>25</v>
      </c>
      <c r="L921" s="82"/>
    </row>
    <row r="922" spans="2:12">
      <c r="B922" s="391"/>
      <c r="C922" s="976" t="s">
        <v>526</v>
      </c>
      <c r="D922" s="977"/>
      <c r="E922" s="978"/>
      <c r="F922" s="83">
        <v>2</v>
      </c>
      <c r="G922" s="83">
        <v>1</v>
      </c>
      <c r="H922" s="83">
        <v>2</v>
      </c>
      <c r="I922" s="83">
        <v>2.5</v>
      </c>
      <c r="J922" s="83">
        <v>0</v>
      </c>
      <c r="K922" s="89">
        <f>(G922*H922*I922*F922)-J922</f>
        <v>10</v>
      </c>
      <c r="L922" s="82"/>
    </row>
    <row r="923" spans="2:12">
      <c r="B923" s="391"/>
      <c r="C923" s="180"/>
      <c r="D923" s="180"/>
      <c r="E923" s="180"/>
      <c r="F923" s="180"/>
      <c r="G923" s="180"/>
      <c r="H923" s="180"/>
      <c r="I923" s="180"/>
      <c r="J923" s="180"/>
      <c r="K923" s="181"/>
      <c r="L923" s="82"/>
    </row>
    <row r="925" spans="2:12" ht="27" customHeight="1">
      <c r="B925" s="391" t="s">
        <v>702</v>
      </c>
      <c r="C925" s="989" t="str">
        <f>'ESC. LAFAYETE NUNES MACHADO'!C68</f>
        <v>REVISÃO DE ESTRUTURA METÁLICA EXCLUSIVE  CHUMBAMENTO (ALAMBRADO,GUARDA-CORPO), EXCLUSIVE TELA</v>
      </c>
      <c r="D925" s="990"/>
      <c r="E925" s="990"/>
      <c r="F925" s="990"/>
      <c r="G925" s="990"/>
      <c r="H925" s="990"/>
      <c r="I925" s="990"/>
      <c r="J925" s="991"/>
      <c r="K925" s="97" t="s">
        <v>77</v>
      </c>
      <c r="L925" s="97">
        <f>K929</f>
        <v>224</v>
      </c>
    </row>
    <row r="926" spans="2:12">
      <c r="B926" s="391"/>
      <c r="C926" s="992" t="s">
        <v>20</v>
      </c>
      <c r="D926" s="992"/>
      <c r="E926" s="992"/>
      <c r="F926" s="79" t="s">
        <v>22</v>
      </c>
      <c r="G926" s="390" t="s">
        <v>111</v>
      </c>
      <c r="H926" s="79" t="s">
        <v>112</v>
      </c>
      <c r="I926" s="390" t="s">
        <v>113</v>
      </c>
      <c r="J926" s="390" t="s">
        <v>114</v>
      </c>
      <c r="K926" s="81" t="s">
        <v>25</v>
      </c>
      <c r="L926" s="82"/>
    </row>
    <row r="927" spans="2:12">
      <c r="B927" s="391"/>
      <c r="C927" s="976" t="s">
        <v>478</v>
      </c>
      <c r="D927" s="977"/>
      <c r="E927" s="978"/>
      <c r="F927" s="83">
        <v>2</v>
      </c>
      <c r="G927" s="83">
        <v>5</v>
      </c>
      <c r="H927" s="83">
        <v>10.4</v>
      </c>
      <c r="I927" s="83">
        <v>1</v>
      </c>
      <c r="J927" s="83">
        <v>0</v>
      </c>
      <c r="K927" s="89">
        <f>(G927*H927*I927*F927)-J927</f>
        <v>104</v>
      </c>
      <c r="L927" s="82"/>
    </row>
    <row r="928" spans="2:12">
      <c r="B928" s="391"/>
      <c r="C928" s="976" t="s">
        <v>478</v>
      </c>
      <c r="D928" s="977"/>
      <c r="E928" s="978"/>
      <c r="F928" s="83">
        <v>2</v>
      </c>
      <c r="G928" s="83">
        <v>5</v>
      </c>
      <c r="H928" s="83">
        <v>12</v>
      </c>
      <c r="I928" s="83">
        <v>1</v>
      </c>
      <c r="J928" s="83">
        <v>0</v>
      </c>
      <c r="K928" s="89">
        <f>(G928*H928*I928*F928)-J928</f>
        <v>120</v>
      </c>
      <c r="L928" s="82"/>
    </row>
    <row r="929" spans="2:12">
      <c r="B929" s="391"/>
      <c r="C929" s="979" t="s">
        <v>116</v>
      </c>
      <c r="D929" s="979"/>
      <c r="E929" s="979"/>
      <c r="F929" s="979"/>
      <c r="G929" s="979"/>
      <c r="H929" s="979"/>
      <c r="I929" s="979"/>
      <c r="J929" s="979"/>
      <c r="K929" s="81">
        <f>SUM(K927:K928)</f>
        <v>224</v>
      </c>
      <c r="L929" s="82"/>
    </row>
    <row r="930" spans="2:12">
      <c r="B930" s="391"/>
      <c r="C930" s="180"/>
      <c r="D930" s="180"/>
      <c r="E930" s="180"/>
      <c r="F930" s="180"/>
      <c r="G930" s="180"/>
      <c r="H930" s="180"/>
      <c r="I930" s="180"/>
      <c r="J930" s="180"/>
      <c r="K930" s="181"/>
      <c r="L930" s="82"/>
    </row>
    <row r="931" spans="2:12">
      <c r="B931" s="391" t="s">
        <v>703</v>
      </c>
      <c r="C931" s="989" t="s">
        <v>609</v>
      </c>
      <c r="D931" s="990"/>
      <c r="E931" s="990"/>
      <c r="F931" s="990"/>
      <c r="G931" s="990"/>
      <c r="H931" s="990"/>
      <c r="I931" s="990"/>
      <c r="J931" s="991"/>
      <c r="K931" s="97" t="s">
        <v>7</v>
      </c>
      <c r="L931" s="97">
        <f>K934</f>
        <v>200</v>
      </c>
    </row>
    <row r="932" spans="2:12">
      <c r="B932" s="391"/>
      <c r="C932" s="992" t="s">
        <v>20</v>
      </c>
      <c r="D932" s="992"/>
      <c r="E932" s="992"/>
      <c r="F932" s="79" t="s">
        <v>22</v>
      </c>
      <c r="G932" s="390" t="s">
        <v>111</v>
      </c>
      <c r="H932" s="79" t="s">
        <v>112</v>
      </c>
      <c r="I932" s="390" t="s">
        <v>113</v>
      </c>
      <c r="J932" s="390" t="s">
        <v>114</v>
      </c>
      <c r="K932" s="81" t="s">
        <v>25</v>
      </c>
      <c r="L932" s="82"/>
    </row>
    <row r="933" spans="2:12">
      <c r="B933" s="391"/>
      <c r="C933" s="976" t="s">
        <v>615</v>
      </c>
      <c r="D933" s="977"/>
      <c r="E933" s="978"/>
      <c r="F933" s="83">
        <v>1</v>
      </c>
      <c r="G933" s="83">
        <v>1</v>
      </c>
      <c r="H933" s="83">
        <v>20</v>
      </c>
      <c r="I933" s="83">
        <v>10</v>
      </c>
      <c r="J933" s="83">
        <v>0</v>
      </c>
      <c r="K933" s="89">
        <f>(G933*H933*I933*F933)-J933</f>
        <v>200</v>
      </c>
      <c r="L933" s="82"/>
    </row>
    <row r="934" spans="2:12">
      <c r="B934" s="391"/>
      <c r="C934" s="979" t="s">
        <v>116</v>
      </c>
      <c r="D934" s="979"/>
      <c r="E934" s="979"/>
      <c r="F934" s="979"/>
      <c r="G934" s="979"/>
      <c r="H934" s="979"/>
      <c r="I934" s="979"/>
      <c r="J934" s="979"/>
      <c r="K934" s="81">
        <f>K933</f>
        <v>200</v>
      </c>
      <c r="L934" s="82"/>
    </row>
  </sheetData>
  <mergeCells count="788">
    <mergeCell ref="C879:E879"/>
    <mergeCell ref="C880:E880"/>
    <mergeCell ref="C881:J881"/>
    <mergeCell ref="C748:E748"/>
    <mergeCell ref="C758:E758"/>
    <mergeCell ref="C762:E762"/>
    <mergeCell ref="C763:E763"/>
    <mergeCell ref="C764:E764"/>
    <mergeCell ref="C765:J765"/>
    <mergeCell ref="C759:E759"/>
    <mergeCell ref="C760:E760"/>
    <mergeCell ref="C761:E761"/>
    <mergeCell ref="C749:E749"/>
    <mergeCell ref="C750:E750"/>
    <mergeCell ref="C751:E751"/>
    <mergeCell ref="C752:E752"/>
    <mergeCell ref="C753:E753"/>
    <mergeCell ref="C754:E754"/>
    <mergeCell ref="C755:E755"/>
    <mergeCell ref="C756:E756"/>
    <mergeCell ref="C757:E757"/>
    <mergeCell ref="C816:J816"/>
    <mergeCell ref="C818:J818"/>
    <mergeCell ref="C824:E824"/>
    <mergeCell ref="C813:J813"/>
    <mergeCell ref="C814:E814"/>
    <mergeCell ref="C815:E815"/>
    <mergeCell ref="C204:E204"/>
    <mergeCell ref="C205:E205"/>
    <mergeCell ref="C206:J206"/>
    <mergeCell ref="C778:J778"/>
    <mergeCell ref="C779:E779"/>
    <mergeCell ref="C780:E780"/>
    <mergeCell ref="C781:J781"/>
    <mergeCell ref="C718:E718"/>
    <mergeCell ref="C681:E681"/>
    <mergeCell ref="C680:E680"/>
    <mergeCell ref="C682:E682"/>
    <mergeCell ref="C683:E683"/>
    <mergeCell ref="C661:E661"/>
    <mergeCell ref="C662:E662"/>
    <mergeCell ref="C663:E663"/>
    <mergeCell ref="C664:E664"/>
    <mergeCell ref="C665:E665"/>
    <mergeCell ref="C666:E666"/>
    <mergeCell ref="C667:E667"/>
    <mergeCell ref="C668:E668"/>
    <mergeCell ref="C694:E694"/>
    <mergeCell ref="C820:E820"/>
    <mergeCell ref="C821:J821"/>
    <mergeCell ref="C724:E724"/>
    <mergeCell ref="C725:E725"/>
    <mergeCell ref="C726:E726"/>
    <mergeCell ref="C727:E727"/>
    <mergeCell ref="C728:E728"/>
    <mergeCell ref="C729:E729"/>
    <mergeCell ref="C823:J823"/>
    <mergeCell ref="C730:E730"/>
    <mergeCell ref="C731:E731"/>
    <mergeCell ref="C732:E732"/>
    <mergeCell ref="C733:E733"/>
    <mergeCell ref="C734:E734"/>
    <mergeCell ref="C735:E735"/>
    <mergeCell ref="C736:E736"/>
    <mergeCell ref="C737:E737"/>
    <mergeCell ref="C738:E738"/>
    <mergeCell ref="C739:E739"/>
    <mergeCell ref="C740:E740"/>
    <mergeCell ref="C741:E741"/>
    <mergeCell ref="C742:E742"/>
    <mergeCell ref="C743:E743"/>
    <mergeCell ref="C744:E744"/>
    <mergeCell ref="C695:E695"/>
    <mergeCell ref="C696:E696"/>
    <mergeCell ref="C697:E697"/>
    <mergeCell ref="C698:E698"/>
    <mergeCell ref="C687:E687"/>
    <mergeCell ref="C688:E688"/>
    <mergeCell ref="C689:E689"/>
    <mergeCell ref="C690:E690"/>
    <mergeCell ref="C691:E691"/>
    <mergeCell ref="C692:E692"/>
    <mergeCell ref="C693:E693"/>
    <mergeCell ref="C652:E652"/>
    <mergeCell ref="C653:E653"/>
    <mergeCell ref="C654:E654"/>
    <mergeCell ref="C670:E670"/>
    <mergeCell ref="C655:E655"/>
    <mergeCell ref="C656:E656"/>
    <mergeCell ref="C657:E657"/>
    <mergeCell ref="C658:E658"/>
    <mergeCell ref="C659:E659"/>
    <mergeCell ref="C660:E660"/>
    <mergeCell ref="C669:E669"/>
    <mergeCell ref="C684:E684"/>
    <mergeCell ref="C685:E685"/>
    <mergeCell ref="C686:E686"/>
    <mergeCell ref="C894:J894"/>
    <mergeCell ref="C825:E825"/>
    <mergeCell ref="C826:E826"/>
    <mergeCell ref="C827:E827"/>
    <mergeCell ref="C829:J829"/>
    <mergeCell ref="C838:J838"/>
    <mergeCell ref="C846:J846"/>
    <mergeCell ref="C834:E834"/>
    <mergeCell ref="C835:E835"/>
    <mergeCell ref="C836:J836"/>
    <mergeCell ref="C828:E828"/>
    <mergeCell ref="C856:J856"/>
    <mergeCell ref="C868:J868"/>
    <mergeCell ref="C869:E869"/>
    <mergeCell ref="C870:E870"/>
    <mergeCell ref="C871:J871"/>
    <mergeCell ref="C873:J873"/>
    <mergeCell ref="C891:J891"/>
    <mergeCell ref="C892:E892"/>
    <mergeCell ref="C893:E893"/>
    <mergeCell ref="C819:E819"/>
    <mergeCell ref="C804:J804"/>
    <mergeCell ref="C806:J806"/>
    <mergeCell ref="C808:J808"/>
    <mergeCell ref="C809:E809"/>
    <mergeCell ref="C810:E810"/>
    <mergeCell ref="C811:J811"/>
    <mergeCell ref="C797:E797"/>
    <mergeCell ref="C798:E798"/>
    <mergeCell ref="C799:J799"/>
    <mergeCell ref="C801:J801"/>
    <mergeCell ref="C802:E802"/>
    <mergeCell ref="C803:E803"/>
    <mergeCell ref="C791:J791"/>
    <mergeCell ref="C793:J793"/>
    <mergeCell ref="C794:E794"/>
    <mergeCell ref="C795:E795"/>
    <mergeCell ref="C796:E796"/>
    <mergeCell ref="C785:J785"/>
    <mergeCell ref="C786:E786"/>
    <mergeCell ref="C787:E787"/>
    <mergeCell ref="C788:E788"/>
    <mergeCell ref="C789:E789"/>
    <mergeCell ref="C790:E790"/>
    <mergeCell ref="C773:J773"/>
    <mergeCell ref="C774:E774"/>
    <mergeCell ref="C775:E775"/>
    <mergeCell ref="C776:J776"/>
    <mergeCell ref="C783:J783"/>
    <mergeCell ref="C771:J771"/>
    <mergeCell ref="C720:J720"/>
    <mergeCell ref="C767:J767"/>
    <mergeCell ref="C768:E768"/>
    <mergeCell ref="C769:E769"/>
    <mergeCell ref="C770:E770"/>
    <mergeCell ref="C722:J722"/>
    <mergeCell ref="C723:E723"/>
    <mergeCell ref="C745:E745"/>
    <mergeCell ref="C746:E746"/>
    <mergeCell ref="C747:E747"/>
    <mergeCell ref="C699:E699"/>
    <mergeCell ref="C700:E700"/>
    <mergeCell ref="C701:E701"/>
    <mergeCell ref="C702:E702"/>
    <mergeCell ref="C703:E703"/>
    <mergeCell ref="C704:E704"/>
    <mergeCell ref="C705:E705"/>
    <mergeCell ref="C706:E706"/>
    <mergeCell ref="C707:E707"/>
    <mergeCell ref="C708:E708"/>
    <mergeCell ref="C709:E709"/>
    <mergeCell ref="C710:E710"/>
    <mergeCell ref="C711:E711"/>
    <mergeCell ref="C712:E712"/>
    <mergeCell ref="C719:E719"/>
    <mergeCell ref="C713:E713"/>
    <mergeCell ref="C714:E714"/>
    <mergeCell ref="C717:E717"/>
    <mergeCell ref="C716:E716"/>
    <mergeCell ref="C715:E715"/>
    <mergeCell ref="C633:E633"/>
    <mergeCell ref="C674:E674"/>
    <mergeCell ref="C675:J675"/>
    <mergeCell ref="C677:J677"/>
    <mergeCell ref="C678:E678"/>
    <mergeCell ref="C679:E679"/>
    <mergeCell ref="C634:E634"/>
    <mergeCell ref="C635:E635"/>
    <mergeCell ref="C636:E636"/>
    <mergeCell ref="C637:E637"/>
    <mergeCell ref="C638:E638"/>
    <mergeCell ref="C639:E639"/>
    <mergeCell ref="C640:E640"/>
    <mergeCell ref="C641:E641"/>
    <mergeCell ref="C642:E642"/>
    <mergeCell ref="C643:E643"/>
    <mergeCell ref="C644:E644"/>
    <mergeCell ref="C645:E645"/>
    <mergeCell ref="C646:E646"/>
    <mergeCell ref="C647:E647"/>
    <mergeCell ref="C648:E648"/>
    <mergeCell ref="C649:E649"/>
    <mergeCell ref="C650:E650"/>
    <mergeCell ref="C651:E651"/>
    <mergeCell ref="C627:E627"/>
    <mergeCell ref="C628:E628"/>
    <mergeCell ref="C629:E629"/>
    <mergeCell ref="C630:E630"/>
    <mergeCell ref="C631:E631"/>
    <mergeCell ref="C632:E632"/>
    <mergeCell ref="C621:E621"/>
    <mergeCell ref="C622:E622"/>
    <mergeCell ref="C623:E623"/>
    <mergeCell ref="C624:E624"/>
    <mergeCell ref="C625:E625"/>
    <mergeCell ref="C626:E626"/>
    <mergeCell ref="C617:E617"/>
    <mergeCell ref="C618:E618"/>
    <mergeCell ref="C619:E619"/>
    <mergeCell ref="C620:E620"/>
    <mergeCell ref="C609:J609"/>
    <mergeCell ref="C611:J611"/>
    <mergeCell ref="C612:E612"/>
    <mergeCell ref="C613:E613"/>
    <mergeCell ref="C614:E614"/>
    <mergeCell ref="C607:J607"/>
    <mergeCell ref="C600:E600"/>
    <mergeCell ref="C601:E601"/>
    <mergeCell ref="C602:J602"/>
    <mergeCell ref="C604:J604"/>
    <mergeCell ref="C605:E605"/>
    <mergeCell ref="C606:E606"/>
    <mergeCell ref="C615:E615"/>
    <mergeCell ref="C616:E616"/>
    <mergeCell ref="C592:J592"/>
    <mergeCell ref="C593:E593"/>
    <mergeCell ref="C594:E594"/>
    <mergeCell ref="C595:J595"/>
    <mergeCell ref="C598:J598"/>
    <mergeCell ref="C599:E599"/>
    <mergeCell ref="C585:J585"/>
    <mergeCell ref="C586:J586"/>
    <mergeCell ref="C587:E587"/>
    <mergeCell ref="C588:E588"/>
    <mergeCell ref="C589:J589"/>
    <mergeCell ref="C591:J591"/>
    <mergeCell ref="C577:J577"/>
    <mergeCell ref="C579:J579"/>
    <mergeCell ref="C580:E580"/>
    <mergeCell ref="C581:E581"/>
    <mergeCell ref="C582:E582"/>
    <mergeCell ref="C583:J583"/>
    <mergeCell ref="C570:E570"/>
    <mergeCell ref="C571:J571"/>
    <mergeCell ref="C573:J573"/>
    <mergeCell ref="C574:E574"/>
    <mergeCell ref="C575:E575"/>
    <mergeCell ref="C576:E576"/>
    <mergeCell ref="C563:J563"/>
    <mergeCell ref="C564:E564"/>
    <mergeCell ref="C565:E565"/>
    <mergeCell ref="C566:J566"/>
    <mergeCell ref="C568:J568"/>
    <mergeCell ref="C569:E569"/>
    <mergeCell ref="C555:J555"/>
    <mergeCell ref="C557:J557"/>
    <mergeCell ref="C558:J558"/>
    <mergeCell ref="C559:E559"/>
    <mergeCell ref="C560:E560"/>
    <mergeCell ref="C561:J561"/>
    <mergeCell ref="C548:E548"/>
    <mergeCell ref="C549:J549"/>
    <mergeCell ref="C551:J551"/>
    <mergeCell ref="C552:E552"/>
    <mergeCell ref="C553:E553"/>
    <mergeCell ref="C554:E554"/>
    <mergeCell ref="C541:E541"/>
    <mergeCell ref="C542:E542"/>
    <mergeCell ref="C543:J543"/>
    <mergeCell ref="C545:J545"/>
    <mergeCell ref="C546:E546"/>
    <mergeCell ref="C547:E547"/>
    <mergeCell ref="C533:J533"/>
    <mergeCell ref="C535:J535"/>
    <mergeCell ref="C536:E536"/>
    <mergeCell ref="C537:E537"/>
    <mergeCell ref="C538:J538"/>
    <mergeCell ref="C540:J540"/>
    <mergeCell ref="C526:E526"/>
    <mergeCell ref="C527:J527"/>
    <mergeCell ref="C529:J529"/>
    <mergeCell ref="C530:J530"/>
    <mergeCell ref="C531:E531"/>
    <mergeCell ref="C532:E532"/>
    <mergeCell ref="C519:E519"/>
    <mergeCell ref="C520:E520"/>
    <mergeCell ref="C521:J521"/>
    <mergeCell ref="C523:J523"/>
    <mergeCell ref="C524:E524"/>
    <mergeCell ref="C525:E525"/>
    <mergeCell ref="C512:E512"/>
    <mergeCell ref="C513:E513"/>
    <mergeCell ref="C514:E514"/>
    <mergeCell ref="C515:J515"/>
    <mergeCell ref="C517:J517"/>
    <mergeCell ref="C518:E518"/>
    <mergeCell ref="C505:J505"/>
    <mergeCell ref="C506:E506"/>
    <mergeCell ref="C507:E507"/>
    <mergeCell ref="C508:J508"/>
    <mergeCell ref="C510:J510"/>
    <mergeCell ref="C511:E511"/>
    <mergeCell ref="C498:J498"/>
    <mergeCell ref="C499:E499"/>
    <mergeCell ref="C500:E500"/>
    <mergeCell ref="C501:E501"/>
    <mergeCell ref="C502:E502"/>
    <mergeCell ref="C503:J503"/>
    <mergeCell ref="C491:E491"/>
    <mergeCell ref="C492:E492"/>
    <mergeCell ref="C493:E493"/>
    <mergeCell ref="C494:E494"/>
    <mergeCell ref="C495:J495"/>
    <mergeCell ref="C497:J497"/>
    <mergeCell ref="C484:E484"/>
    <mergeCell ref="C485:E485"/>
    <mergeCell ref="C486:E486"/>
    <mergeCell ref="C487:E487"/>
    <mergeCell ref="C488:J488"/>
    <mergeCell ref="C490:J490"/>
    <mergeCell ref="C476:J476"/>
    <mergeCell ref="C478:J478"/>
    <mergeCell ref="C479:E479"/>
    <mergeCell ref="C480:E480"/>
    <mergeCell ref="C481:J481"/>
    <mergeCell ref="C483:J483"/>
    <mergeCell ref="C469:E469"/>
    <mergeCell ref="C470:E470"/>
    <mergeCell ref="C471:J471"/>
    <mergeCell ref="C473:J473"/>
    <mergeCell ref="C474:E474"/>
    <mergeCell ref="C475:E475"/>
    <mergeCell ref="C462:E462"/>
    <mergeCell ref="C463:E463"/>
    <mergeCell ref="C464:E464"/>
    <mergeCell ref="C465:J465"/>
    <mergeCell ref="C467:J467"/>
    <mergeCell ref="C468:J468"/>
    <mergeCell ref="C455:E455"/>
    <mergeCell ref="C456:E456"/>
    <mergeCell ref="C457:E457"/>
    <mergeCell ref="C458:J458"/>
    <mergeCell ref="C460:J460"/>
    <mergeCell ref="C461:E461"/>
    <mergeCell ref="C447:J447"/>
    <mergeCell ref="C449:J449"/>
    <mergeCell ref="C450:E450"/>
    <mergeCell ref="C451:E451"/>
    <mergeCell ref="C452:J452"/>
    <mergeCell ref="C454:J454"/>
    <mergeCell ref="C440:E440"/>
    <mergeCell ref="C441:E441"/>
    <mergeCell ref="C442:J442"/>
    <mergeCell ref="C444:J444"/>
    <mergeCell ref="C445:E445"/>
    <mergeCell ref="C446:E446"/>
    <mergeCell ref="C433:E433"/>
    <mergeCell ref="C434:E434"/>
    <mergeCell ref="C435:J435"/>
    <mergeCell ref="C437:J437"/>
    <mergeCell ref="C438:J438"/>
    <mergeCell ref="C439:J439"/>
    <mergeCell ref="C426:E426"/>
    <mergeCell ref="C427:E427"/>
    <mergeCell ref="C428:E428"/>
    <mergeCell ref="C429:J429"/>
    <mergeCell ref="C431:J431"/>
    <mergeCell ref="C432:E432"/>
    <mergeCell ref="C419:J419"/>
    <mergeCell ref="C420:E420"/>
    <mergeCell ref="C421:E421"/>
    <mergeCell ref="C422:E422"/>
    <mergeCell ref="C423:J423"/>
    <mergeCell ref="C425:J425"/>
    <mergeCell ref="C412:E412"/>
    <mergeCell ref="C413:E413"/>
    <mergeCell ref="C414:E414"/>
    <mergeCell ref="C415:E415"/>
    <mergeCell ref="C416:E416"/>
    <mergeCell ref="C417:J417"/>
    <mergeCell ref="C405:E405"/>
    <mergeCell ref="C406:E406"/>
    <mergeCell ref="C407:E407"/>
    <mergeCell ref="C408:J408"/>
    <mergeCell ref="C410:J410"/>
    <mergeCell ref="C411:E411"/>
    <mergeCell ref="C398:E398"/>
    <mergeCell ref="C399:J399"/>
    <mergeCell ref="C401:J401"/>
    <mergeCell ref="C402:E402"/>
    <mergeCell ref="C403:E403"/>
    <mergeCell ref="C404:E404"/>
    <mergeCell ref="C392:J392"/>
    <mergeCell ref="C393:E393"/>
    <mergeCell ref="C394:E394"/>
    <mergeCell ref="C395:E395"/>
    <mergeCell ref="C396:E396"/>
    <mergeCell ref="C397:E397"/>
    <mergeCell ref="C384:J384"/>
    <mergeCell ref="C386:J386"/>
    <mergeCell ref="C387:E387"/>
    <mergeCell ref="C388:E388"/>
    <mergeCell ref="C389:J389"/>
    <mergeCell ref="C391:J391"/>
    <mergeCell ref="C377:E377"/>
    <mergeCell ref="C378:E378"/>
    <mergeCell ref="C379:J379"/>
    <mergeCell ref="C381:J381"/>
    <mergeCell ref="C382:E382"/>
    <mergeCell ref="C383:E383"/>
    <mergeCell ref="C369:J369"/>
    <mergeCell ref="C371:J371"/>
    <mergeCell ref="C372:E372"/>
    <mergeCell ref="C373:E373"/>
    <mergeCell ref="C374:J374"/>
    <mergeCell ref="C376:J376"/>
    <mergeCell ref="C362:E362"/>
    <mergeCell ref="C363:E363"/>
    <mergeCell ref="C364:J364"/>
    <mergeCell ref="C366:J366"/>
    <mergeCell ref="C367:E367"/>
    <mergeCell ref="C368:E368"/>
    <mergeCell ref="C354:J354"/>
    <mergeCell ref="C356:J356"/>
    <mergeCell ref="C357:E357"/>
    <mergeCell ref="C358:E358"/>
    <mergeCell ref="C359:J359"/>
    <mergeCell ref="C361:J361"/>
    <mergeCell ref="C347:E347"/>
    <mergeCell ref="C348:E348"/>
    <mergeCell ref="C349:J349"/>
    <mergeCell ref="C351:J351"/>
    <mergeCell ref="C352:E352"/>
    <mergeCell ref="C353:E353"/>
    <mergeCell ref="C339:J339"/>
    <mergeCell ref="C341:J341"/>
    <mergeCell ref="C342:E342"/>
    <mergeCell ref="C343:E343"/>
    <mergeCell ref="C344:J344"/>
    <mergeCell ref="C346:J346"/>
    <mergeCell ref="C332:E332"/>
    <mergeCell ref="C333:E333"/>
    <mergeCell ref="C334:J334"/>
    <mergeCell ref="C336:J336"/>
    <mergeCell ref="C337:E337"/>
    <mergeCell ref="C338:E338"/>
    <mergeCell ref="C324:J324"/>
    <mergeCell ref="C326:J326"/>
    <mergeCell ref="C327:E327"/>
    <mergeCell ref="C328:E328"/>
    <mergeCell ref="C329:J329"/>
    <mergeCell ref="C331:J331"/>
    <mergeCell ref="C317:E317"/>
    <mergeCell ref="C318:E318"/>
    <mergeCell ref="C319:J319"/>
    <mergeCell ref="C321:J321"/>
    <mergeCell ref="C322:E322"/>
    <mergeCell ref="C323:E323"/>
    <mergeCell ref="C310:J310"/>
    <mergeCell ref="C311:E311"/>
    <mergeCell ref="C312:E312"/>
    <mergeCell ref="C313:J313"/>
    <mergeCell ref="C315:J315"/>
    <mergeCell ref="C316:J316"/>
    <mergeCell ref="C302:E302"/>
    <mergeCell ref="C303:J303"/>
    <mergeCell ref="C305:J305"/>
    <mergeCell ref="C306:E306"/>
    <mergeCell ref="C307:E307"/>
    <mergeCell ref="C308:J308"/>
    <mergeCell ref="C295:J295"/>
    <mergeCell ref="C296:E296"/>
    <mergeCell ref="C297:E297"/>
    <mergeCell ref="C298:J298"/>
    <mergeCell ref="C300:J300"/>
    <mergeCell ref="C301:E301"/>
    <mergeCell ref="C287:E287"/>
    <mergeCell ref="C288:J288"/>
    <mergeCell ref="C290:J290"/>
    <mergeCell ref="C291:E291"/>
    <mergeCell ref="C292:E292"/>
    <mergeCell ref="C293:J293"/>
    <mergeCell ref="C280:J280"/>
    <mergeCell ref="C281:E281"/>
    <mergeCell ref="C282:E282"/>
    <mergeCell ref="C283:J283"/>
    <mergeCell ref="C285:J285"/>
    <mergeCell ref="C286:E286"/>
    <mergeCell ref="C272:E272"/>
    <mergeCell ref="C273:J273"/>
    <mergeCell ref="C275:J275"/>
    <mergeCell ref="C276:E276"/>
    <mergeCell ref="C277:E277"/>
    <mergeCell ref="C278:J278"/>
    <mergeCell ref="C265:J265"/>
    <mergeCell ref="C266:E266"/>
    <mergeCell ref="C267:E267"/>
    <mergeCell ref="C268:J268"/>
    <mergeCell ref="C270:J270"/>
    <mergeCell ref="C271:E271"/>
    <mergeCell ref="C193:E193"/>
    <mergeCell ref="C194:J194"/>
    <mergeCell ref="C196:J196"/>
    <mergeCell ref="C197:E197"/>
    <mergeCell ref="C198:E198"/>
    <mergeCell ref="C191:J191"/>
    <mergeCell ref="C200:J200"/>
    <mergeCell ref="C199:E199"/>
    <mergeCell ref="C230:J230"/>
    <mergeCell ref="C223:E223"/>
    <mergeCell ref="C224:E224"/>
    <mergeCell ref="C225:E225"/>
    <mergeCell ref="C226:E226"/>
    <mergeCell ref="C227:E227"/>
    <mergeCell ref="C228:J228"/>
    <mergeCell ref="C208:J208"/>
    <mergeCell ref="C209:E209"/>
    <mergeCell ref="C210:E210"/>
    <mergeCell ref="C211:E211"/>
    <mergeCell ref="C214:J214"/>
    <mergeCell ref="C212:E212"/>
    <mergeCell ref="C213:E213"/>
    <mergeCell ref="C202:J202"/>
    <mergeCell ref="C203:E203"/>
    <mergeCell ref="C187:J187"/>
    <mergeCell ref="C189:J189"/>
    <mergeCell ref="C181:J181"/>
    <mergeCell ref="C182:J182"/>
    <mergeCell ref="C183:E183"/>
    <mergeCell ref="C184:E184"/>
    <mergeCell ref="C185:E185"/>
    <mergeCell ref="C186:E186"/>
    <mergeCell ref="C192:E192"/>
    <mergeCell ref="C173:E173"/>
    <mergeCell ref="C174:J174"/>
    <mergeCell ref="C176:J176"/>
    <mergeCell ref="C177:E177"/>
    <mergeCell ref="C178:E178"/>
    <mergeCell ref="C179:J179"/>
    <mergeCell ref="C166:J166"/>
    <mergeCell ref="C167:E167"/>
    <mergeCell ref="C168:E168"/>
    <mergeCell ref="C169:J169"/>
    <mergeCell ref="C171:J171"/>
    <mergeCell ref="C172:E172"/>
    <mergeCell ref="C158:E158"/>
    <mergeCell ref="C159:J159"/>
    <mergeCell ref="C161:J161"/>
    <mergeCell ref="C162:E162"/>
    <mergeCell ref="C163:E163"/>
    <mergeCell ref="C164:J164"/>
    <mergeCell ref="C151:E151"/>
    <mergeCell ref="C152:E152"/>
    <mergeCell ref="C153:E153"/>
    <mergeCell ref="C154:J154"/>
    <mergeCell ref="C156:J156"/>
    <mergeCell ref="C157:E157"/>
    <mergeCell ref="C144:J144"/>
    <mergeCell ref="C145:E145"/>
    <mergeCell ref="C146:E146"/>
    <mergeCell ref="C147:E147"/>
    <mergeCell ref="C148:J148"/>
    <mergeCell ref="C150:J150"/>
    <mergeCell ref="C136:J136"/>
    <mergeCell ref="C138:J138"/>
    <mergeCell ref="C139:E139"/>
    <mergeCell ref="C140:E140"/>
    <mergeCell ref="C141:E141"/>
    <mergeCell ref="C142:J142"/>
    <mergeCell ref="C129:J129"/>
    <mergeCell ref="C131:J131"/>
    <mergeCell ref="C132:E132"/>
    <mergeCell ref="C133:E133"/>
    <mergeCell ref="C134:E134"/>
    <mergeCell ref="C135:E135"/>
    <mergeCell ref="C123:E123"/>
    <mergeCell ref="C124:E124"/>
    <mergeCell ref="C125:E125"/>
    <mergeCell ref="C126:E126"/>
    <mergeCell ref="C127:E127"/>
    <mergeCell ref="C128:E128"/>
    <mergeCell ref="C116:E116"/>
    <mergeCell ref="C117:E117"/>
    <mergeCell ref="C118:E118"/>
    <mergeCell ref="C119:E119"/>
    <mergeCell ref="C120:J120"/>
    <mergeCell ref="C122:J122"/>
    <mergeCell ref="C109:E109"/>
    <mergeCell ref="C110:E110"/>
    <mergeCell ref="C111:J111"/>
    <mergeCell ref="C113:J113"/>
    <mergeCell ref="C114:E114"/>
    <mergeCell ref="C115:E115"/>
    <mergeCell ref="C102:E102"/>
    <mergeCell ref="C103:E103"/>
    <mergeCell ref="C104:J104"/>
    <mergeCell ref="C106:J106"/>
    <mergeCell ref="C107:E107"/>
    <mergeCell ref="C108:E108"/>
    <mergeCell ref="C95:J95"/>
    <mergeCell ref="C96:E96"/>
    <mergeCell ref="C97:E97"/>
    <mergeCell ref="C98:J98"/>
    <mergeCell ref="C100:J100"/>
    <mergeCell ref="C101:J101"/>
    <mergeCell ref="C87:E87"/>
    <mergeCell ref="C88:J88"/>
    <mergeCell ref="C90:J90"/>
    <mergeCell ref="C91:E91"/>
    <mergeCell ref="C92:E92"/>
    <mergeCell ref="C93:J93"/>
    <mergeCell ref="C80:E80"/>
    <mergeCell ref="C81:E81"/>
    <mergeCell ref="C82:E82"/>
    <mergeCell ref="C83:J83"/>
    <mergeCell ref="C85:J85"/>
    <mergeCell ref="C86:E86"/>
    <mergeCell ref="C73:E73"/>
    <mergeCell ref="C74:J74"/>
    <mergeCell ref="C76:J76"/>
    <mergeCell ref="C77:E77"/>
    <mergeCell ref="C78:E78"/>
    <mergeCell ref="C79:E79"/>
    <mergeCell ref="C67:J67"/>
    <mergeCell ref="C68:E68"/>
    <mergeCell ref="C69:E69"/>
    <mergeCell ref="C70:E70"/>
    <mergeCell ref="C71:E71"/>
    <mergeCell ref="C72:E72"/>
    <mergeCell ref="C60:E60"/>
    <mergeCell ref="C61:E61"/>
    <mergeCell ref="C62:E62"/>
    <mergeCell ref="C63:E63"/>
    <mergeCell ref="C64:E64"/>
    <mergeCell ref="C65:J65"/>
    <mergeCell ref="C53:E53"/>
    <mergeCell ref="C54:J54"/>
    <mergeCell ref="C56:J56"/>
    <mergeCell ref="C57:J57"/>
    <mergeCell ref="C58:E58"/>
    <mergeCell ref="C59:E59"/>
    <mergeCell ref="C46:E46"/>
    <mergeCell ref="C47:E47"/>
    <mergeCell ref="C48:E48"/>
    <mergeCell ref="C49:J49"/>
    <mergeCell ref="C51:J51"/>
    <mergeCell ref="C52:E52"/>
    <mergeCell ref="C39:J39"/>
    <mergeCell ref="C41:J41"/>
    <mergeCell ref="C42:E42"/>
    <mergeCell ref="C43:E43"/>
    <mergeCell ref="C44:E44"/>
    <mergeCell ref="C45:E45"/>
    <mergeCell ref="C36:J36"/>
    <mergeCell ref="C37:E37"/>
    <mergeCell ref="C38:E38"/>
    <mergeCell ref="C25:E25"/>
    <mergeCell ref="C26:E26"/>
    <mergeCell ref="C27:J27"/>
    <mergeCell ref="C29:J29"/>
    <mergeCell ref="C30:J30"/>
    <mergeCell ref="C31:E31"/>
    <mergeCell ref="B2:C5"/>
    <mergeCell ref="D2:I2"/>
    <mergeCell ref="J2:L5"/>
    <mergeCell ref="D3:I3"/>
    <mergeCell ref="D4:I5"/>
    <mergeCell ref="B7:C7"/>
    <mergeCell ref="C831:J831"/>
    <mergeCell ref="C832:E832"/>
    <mergeCell ref="C833:E833"/>
    <mergeCell ref="C18:J18"/>
    <mergeCell ref="C19:E19"/>
    <mergeCell ref="C20:E20"/>
    <mergeCell ref="C21:J21"/>
    <mergeCell ref="C23:J23"/>
    <mergeCell ref="C24:E24"/>
    <mergeCell ref="C8:D8"/>
    <mergeCell ref="C12:J12"/>
    <mergeCell ref="C13:J13"/>
    <mergeCell ref="C14:E14"/>
    <mergeCell ref="C15:E15"/>
    <mergeCell ref="C16:J16"/>
    <mergeCell ref="C32:E32"/>
    <mergeCell ref="C33:J33"/>
    <mergeCell ref="C35:J35"/>
    <mergeCell ref="C231:E231"/>
    <mergeCell ref="C232:E232"/>
    <mergeCell ref="C233:E233"/>
    <mergeCell ref="C234:E234"/>
    <mergeCell ref="C235:E235"/>
    <mergeCell ref="C244:E244"/>
    <mergeCell ref="C245:E245"/>
    <mergeCell ref="C246:J246"/>
    <mergeCell ref="C247:E247"/>
    <mergeCell ref="C261:J261"/>
    <mergeCell ref="C262:E262"/>
    <mergeCell ref="C263:J263"/>
    <mergeCell ref="C250:E250"/>
    <mergeCell ref="C251:E251"/>
    <mergeCell ref="C252:J252"/>
    <mergeCell ref="C254:J254"/>
    <mergeCell ref="C255:E255"/>
    <mergeCell ref="C256:E256"/>
    <mergeCell ref="C259:J259"/>
    <mergeCell ref="C260:E260"/>
    <mergeCell ref="C248:E248"/>
    <mergeCell ref="C249:J249"/>
    <mergeCell ref="C236:J236"/>
    <mergeCell ref="C238:J238"/>
    <mergeCell ref="C240:E240"/>
    <mergeCell ref="C241:E241"/>
    <mergeCell ref="C242:E242"/>
    <mergeCell ref="C243:E243"/>
    <mergeCell ref="C257:J257"/>
    <mergeCell ref="C216:J216"/>
    <mergeCell ref="C218:J218"/>
    <mergeCell ref="C219:E219"/>
    <mergeCell ref="C220:E220"/>
    <mergeCell ref="C221:J221"/>
    <mergeCell ref="C863:J863"/>
    <mergeCell ref="C864:E864"/>
    <mergeCell ref="C865:E865"/>
    <mergeCell ref="C866:J866"/>
    <mergeCell ref="C840:J840"/>
    <mergeCell ref="C841:E841"/>
    <mergeCell ref="C842:E842"/>
    <mergeCell ref="C844:J844"/>
    <mergeCell ref="B845:L845"/>
    <mergeCell ref="B839:L839"/>
    <mergeCell ref="C843:E843"/>
    <mergeCell ref="C858:J858"/>
    <mergeCell ref="C859:E859"/>
    <mergeCell ref="C860:E860"/>
    <mergeCell ref="C861:J861"/>
    <mergeCell ref="C847:E847"/>
    <mergeCell ref="C848:E848"/>
    <mergeCell ref="C849:J849"/>
    <mergeCell ref="C852:E852"/>
    <mergeCell ref="C931:J931"/>
    <mergeCell ref="C906:J906"/>
    <mergeCell ref="C908:J908"/>
    <mergeCell ref="C909:E909"/>
    <mergeCell ref="C910:E910"/>
    <mergeCell ref="C911:J911"/>
    <mergeCell ref="C932:E932"/>
    <mergeCell ref="C933:E933"/>
    <mergeCell ref="C934:J934"/>
    <mergeCell ref="C913:J913"/>
    <mergeCell ref="C915:J915"/>
    <mergeCell ref="C916:E916"/>
    <mergeCell ref="C917:E917"/>
    <mergeCell ref="C918:J918"/>
    <mergeCell ref="C920:J920"/>
    <mergeCell ref="C921:E921"/>
    <mergeCell ref="C922:E922"/>
    <mergeCell ref="C925:J925"/>
    <mergeCell ref="C851:J851"/>
    <mergeCell ref="C885:J885"/>
    <mergeCell ref="C886:E886"/>
    <mergeCell ref="C887:E887"/>
    <mergeCell ref="C888:J888"/>
    <mergeCell ref="C926:E926"/>
    <mergeCell ref="C927:E927"/>
    <mergeCell ref="C928:E928"/>
    <mergeCell ref="C929:J929"/>
    <mergeCell ref="C853:E853"/>
    <mergeCell ref="C854:J854"/>
    <mergeCell ref="C874:E874"/>
    <mergeCell ref="C875:E875"/>
    <mergeCell ref="C876:J876"/>
    <mergeCell ref="C898:E898"/>
    <mergeCell ref="C899:J899"/>
    <mergeCell ref="C901:J901"/>
    <mergeCell ref="C902:E902"/>
    <mergeCell ref="C903:E903"/>
    <mergeCell ref="C904:J904"/>
    <mergeCell ref="C883:J883"/>
    <mergeCell ref="C896:J896"/>
    <mergeCell ref="C897:E897"/>
    <mergeCell ref="C878:J878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50" orientation="portrait" horizontalDpi="360" verticalDpi="360" r:id="rId1"/>
  <headerFooter>
    <oddFooter>Página &amp;P de &amp;N</oddFooter>
  </headerFooter>
  <rowBreaks count="2" manualBreakCount="2">
    <brk id="792" min="1" max="11" man="1"/>
    <brk id="858" min="1" max="11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2"/>
  <sheetViews>
    <sheetView view="pageBreakPreview" zoomScale="85" zoomScaleNormal="100" zoomScaleSheetLayoutView="85" workbookViewId="0">
      <selection activeCell="D57" sqref="D57"/>
    </sheetView>
  </sheetViews>
  <sheetFormatPr defaultRowHeight="15"/>
  <cols>
    <col min="1" max="1" width="17.42578125" style="26" bestFit="1" customWidth="1"/>
    <col min="2" max="2" width="17.140625" style="26" customWidth="1"/>
    <col min="3" max="3" width="35.85546875" style="27" customWidth="1"/>
    <col min="4" max="4" width="6.85546875" style="26" customWidth="1"/>
    <col min="5" max="5" width="12.28515625" style="935" customWidth="1"/>
    <col min="6" max="6" width="11.28515625" style="936" bestFit="1" customWidth="1"/>
    <col min="7" max="7" width="13.5703125" style="936" bestFit="1" customWidth="1"/>
    <col min="8" max="8" width="23.5703125" style="936" customWidth="1"/>
    <col min="257" max="257" width="17.42578125" bestFit="1" customWidth="1"/>
    <col min="258" max="258" width="8.7109375" customWidth="1"/>
    <col min="259" max="259" width="58.85546875" customWidth="1"/>
    <col min="260" max="260" width="6.85546875" customWidth="1"/>
    <col min="261" max="261" width="8.42578125" bestFit="1" customWidth="1"/>
    <col min="262" max="262" width="11.28515625" bestFit="1" customWidth="1"/>
    <col min="263" max="264" width="13.5703125" bestFit="1" customWidth="1"/>
    <col min="513" max="513" width="17.42578125" bestFit="1" customWidth="1"/>
    <col min="514" max="514" width="8.7109375" customWidth="1"/>
    <col min="515" max="515" width="58.85546875" customWidth="1"/>
    <col min="516" max="516" width="6.85546875" customWidth="1"/>
    <col min="517" max="517" width="8.42578125" bestFit="1" customWidth="1"/>
    <col min="518" max="518" width="11.28515625" bestFit="1" customWidth="1"/>
    <col min="519" max="520" width="13.5703125" bestFit="1" customWidth="1"/>
    <col min="769" max="769" width="17.42578125" bestFit="1" customWidth="1"/>
    <col min="770" max="770" width="8.7109375" customWidth="1"/>
    <col min="771" max="771" width="58.85546875" customWidth="1"/>
    <col min="772" max="772" width="6.85546875" customWidth="1"/>
    <col min="773" max="773" width="8.42578125" bestFit="1" customWidth="1"/>
    <col min="774" max="774" width="11.28515625" bestFit="1" customWidth="1"/>
    <col min="775" max="776" width="13.5703125" bestFit="1" customWidth="1"/>
    <col min="1025" max="1025" width="17.42578125" bestFit="1" customWidth="1"/>
    <col min="1026" max="1026" width="8.7109375" customWidth="1"/>
    <col min="1027" max="1027" width="58.85546875" customWidth="1"/>
    <col min="1028" max="1028" width="6.85546875" customWidth="1"/>
    <col min="1029" max="1029" width="8.42578125" bestFit="1" customWidth="1"/>
    <col min="1030" max="1030" width="11.28515625" bestFit="1" customWidth="1"/>
    <col min="1031" max="1032" width="13.5703125" bestFit="1" customWidth="1"/>
    <col min="1281" max="1281" width="17.42578125" bestFit="1" customWidth="1"/>
    <col min="1282" max="1282" width="8.7109375" customWidth="1"/>
    <col min="1283" max="1283" width="58.85546875" customWidth="1"/>
    <col min="1284" max="1284" width="6.85546875" customWidth="1"/>
    <col min="1285" max="1285" width="8.42578125" bestFit="1" customWidth="1"/>
    <col min="1286" max="1286" width="11.28515625" bestFit="1" customWidth="1"/>
    <col min="1287" max="1288" width="13.5703125" bestFit="1" customWidth="1"/>
    <col min="1537" max="1537" width="17.42578125" bestFit="1" customWidth="1"/>
    <col min="1538" max="1538" width="8.7109375" customWidth="1"/>
    <col min="1539" max="1539" width="58.85546875" customWidth="1"/>
    <col min="1540" max="1540" width="6.85546875" customWidth="1"/>
    <col min="1541" max="1541" width="8.42578125" bestFit="1" customWidth="1"/>
    <col min="1542" max="1542" width="11.28515625" bestFit="1" customWidth="1"/>
    <col min="1543" max="1544" width="13.5703125" bestFit="1" customWidth="1"/>
    <col min="1793" max="1793" width="17.42578125" bestFit="1" customWidth="1"/>
    <col min="1794" max="1794" width="8.7109375" customWidth="1"/>
    <col min="1795" max="1795" width="58.85546875" customWidth="1"/>
    <col min="1796" max="1796" width="6.85546875" customWidth="1"/>
    <col min="1797" max="1797" width="8.42578125" bestFit="1" customWidth="1"/>
    <col min="1798" max="1798" width="11.28515625" bestFit="1" customWidth="1"/>
    <col min="1799" max="1800" width="13.5703125" bestFit="1" customWidth="1"/>
    <col min="2049" max="2049" width="17.42578125" bestFit="1" customWidth="1"/>
    <col min="2050" max="2050" width="8.7109375" customWidth="1"/>
    <col min="2051" max="2051" width="58.85546875" customWidth="1"/>
    <col min="2052" max="2052" width="6.85546875" customWidth="1"/>
    <col min="2053" max="2053" width="8.42578125" bestFit="1" customWidth="1"/>
    <col min="2054" max="2054" width="11.28515625" bestFit="1" customWidth="1"/>
    <col min="2055" max="2056" width="13.5703125" bestFit="1" customWidth="1"/>
    <col min="2305" max="2305" width="17.42578125" bestFit="1" customWidth="1"/>
    <col min="2306" max="2306" width="8.7109375" customWidth="1"/>
    <col min="2307" max="2307" width="58.85546875" customWidth="1"/>
    <col min="2308" max="2308" width="6.85546875" customWidth="1"/>
    <col min="2309" max="2309" width="8.42578125" bestFit="1" customWidth="1"/>
    <col min="2310" max="2310" width="11.28515625" bestFit="1" customWidth="1"/>
    <col min="2311" max="2312" width="13.5703125" bestFit="1" customWidth="1"/>
    <col min="2561" max="2561" width="17.42578125" bestFit="1" customWidth="1"/>
    <col min="2562" max="2562" width="8.7109375" customWidth="1"/>
    <col min="2563" max="2563" width="58.85546875" customWidth="1"/>
    <col min="2564" max="2564" width="6.85546875" customWidth="1"/>
    <col min="2565" max="2565" width="8.42578125" bestFit="1" customWidth="1"/>
    <col min="2566" max="2566" width="11.28515625" bestFit="1" customWidth="1"/>
    <col min="2567" max="2568" width="13.5703125" bestFit="1" customWidth="1"/>
    <col min="2817" max="2817" width="17.42578125" bestFit="1" customWidth="1"/>
    <col min="2818" max="2818" width="8.7109375" customWidth="1"/>
    <col min="2819" max="2819" width="58.85546875" customWidth="1"/>
    <col min="2820" max="2820" width="6.85546875" customWidth="1"/>
    <col min="2821" max="2821" width="8.42578125" bestFit="1" customWidth="1"/>
    <col min="2822" max="2822" width="11.28515625" bestFit="1" customWidth="1"/>
    <col min="2823" max="2824" width="13.5703125" bestFit="1" customWidth="1"/>
    <col min="3073" max="3073" width="17.42578125" bestFit="1" customWidth="1"/>
    <col min="3074" max="3074" width="8.7109375" customWidth="1"/>
    <col min="3075" max="3075" width="58.85546875" customWidth="1"/>
    <col min="3076" max="3076" width="6.85546875" customWidth="1"/>
    <col min="3077" max="3077" width="8.42578125" bestFit="1" customWidth="1"/>
    <col min="3078" max="3078" width="11.28515625" bestFit="1" customWidth="1"/>
    <col min="3079" max="3080" width="13.5703125" bestFit="1" customWidth="1"/>
    <col min="3329" max="3329" width="17.42578125" bestFit="1" customWidth="1"/>
    <col min="3330" max="3330" width="8.7109375" customWidth="1"/>
    <col min="3331" max="3331" width="58.85546875" customWidth="1"/>
    <col min="3332" max="3332" width="6.85546875" customWidth="1"/>
    <col min="3333" max="3333" width="8.42578125" bestFit="1" customWidth="1"/>
    <col min="3334" max="3334" width="11.28515625" bestFit="1" customWidth="1"/>
    <col min="3335" max="3336" width="13.5703125" bestFit="1" customWidth="1"/>
    <col min="3585" max="3585" width="17.42578125" bestFit="1" customWidth="1"/>
    <col min="3586" max="3586" width="8.7109375" customWidth="1"/>
    <col min="3587" max="3587" width="58.85546875" customWidth="1"/>
    <col min="3588" max="3588" width="6.85546875" customWidth="1"/>
    <col min="3589" max="3589" width="8.42578125" bestFit="1" customWidth="1"/>
    <col min="3590" max="3590" width="11.28515625" bestFit="1" customWidth="1"/>
    <col min="3591" max="3592" width="13.5703125" bestFit="1" customWidth="1"/>
    <col min="3841" max="3841" width="17.42578125" bestFit="1" customWidth="1"/>
    <col min="3842" max="3842" width="8.7109375" customWidth="1"/>
    <col min="3843" max="3843" width="58.85546875" customWidth="1"/>
    <col min="3844" max="3844" width="6.85546875" customWidth="1"/>
    <col min="3845" max="3845" width="8.42578125" bestFit="1" customWidth="1"/>
    <col min="3846" max="3846" width="11.28515625" bestFit="1" customWidth="1"/>
    <col min="3847" max="3848" width="13.5703125" bestFit="1" customWidth="1"/>
    <col min="4097" max="4097" width="17.42578125" bestFit="1" customWidth="1"/>
    <col min="4098" max="4098" width="8.7109375" customWidth="1"/>
    <col min="4099" max="4099" width="58.85546875" customWidth="1"/>
    <col min="4100" max="4100" width="6.85546875" customWidth="1"/>
    <col min="4101" max="4101" width="8.42578125" bestFit="1" customWidth="1"/>
    <col min="4102" max="4102" width="11.28515625" bestFit="1" customWidth="1"/>
    <col min="4103" max="4104" width="13.5703125" bestFit="1" customWidth="1"/>
    <col min="4353" max="4353" width="17.42578125" bestFit="1" customWidth="1"/>
    <col min="4354" max="4354" width="8.7109375" customWidth="1"/>
    <col min="4355" max="4355" width="58.85546875" customWidth="1"/>
    <col min="4356" max="4356" width="6.85546875" customWidth="1"/>
    <col min="4357" max="4357" width="8.42578125" bestFit="1" customWidth="1"/>
    <col min="4358" max="4358" width="11.28515625" bestFit="1" customWidth="1"/>
    <col min="4359" max="4360" width="13.5703125" bestFit="1" customWidth="1"/>
    <col min="4609" max="4609" width="17.42578125" bestFit="1" customWidth="1"/>
    <col min="4610" max="4610" width="8.7109375" customWidth="1"/>
    <col min="4611" max="4611" width="58.85546875" customWidth="1"/>
    <col min="4612" max="4612" width="6.85546875" customWidth="1"/>
    <col min="4613" max="4613" width="8.42578125" bestFit="1" customWidth="1"/>
    <col min="4614" max="4614" width="11.28515625" bestFit="1" customWidth="1"/>
    <col min="4615" max="4616" width="13.5703125" bestFit="1" customWidth="1"/>
    <col min="4865" max="4865" width="17.42578125" bestFit="1" customWidth="1"/>
    <col min="4866" max="4866" width="8.7109375" customWidth="1"/>
    <col min="4867" max="4867" width="58.85546875" customWidth="1"/>
    <col min="4868" max="4868" width="6.85546875" customWidth="1"/>
    <col min="4869" max="4869" width="8.42578125" bestFit="1" customWidth="1"/>
    <col min="4870" max="4870" width="11.28515625" bestFit="1" customWidth="1"/>
    <col min="4871" max="4872" width="13.5703125" bestFit="1" customWidth="1"/>
    <col min="5121" max="5121" width="17.42578125" bestFit="1" customWidth="1"/>
    <col min="5122" max="5122" width="8.7109375" customWidth="1"/>
    <col min="5123" max="5123" width="58.85546875" customWidth="1"/>
    <col min="5124" max="5124" width="6.85546875" customWidth="1"/>
    <col min="5125" max="5125" width="8.42578125" bestFit="1" customWidth="1"/>
    <col min="5126" max="5126" width="11.28515625" bestFit="1" customWidth="1"/>
    <col min="5127" max="5128" width="13.5703125" bestFit="1" customWidth="1"/>
    <col min="5377" max="5377" width="17.42578125" bestFit="1" customWidth="1"/>
    <col min="5378" max="5378" width="8.7109375" customWidth="1"/>
    <col min="5379" max="5379" width="58.85546875" customWidth="1"/>
    <col min="5380" max="5380" width="6.85546875" customWidth="1"/>
    <col min="5381" max="5381" width="8.42578125" bestFit="1" customWidth="1"/>
    <col min="5382" max="5382" width="11.28515625" bestFit="1" customWidth="1"/>
    <col min="5383" max="5384" width="13.5703125" bestFit="1" customWidth="1"/>
    <col min="5633" max="5633" width="17.42578125" bestFit="1" customWidth="1"/>
    <col min="5634" max="5634" width="8.7109375" customWidth="1"/>
    <col min="5635" max="5635" width="58.85546875" customWidth="1"/>
    <col min="5636" max="5636" width="6.85546875" customWidth="1"/>
    <col min="5637" max="5637" width="8.42578125" bestFit="1" customWidth="1"/>
    <col min="5638" max="5638" width="11.28515625" bestFit="1" customWidth="1"/>
    <col min="5639" max="5640" width="13.5703125" bestFit="1" customWidth="1"/>
    <col min="5889" max="5889" width="17.42578125" bestFit="1" customWidth="1"/>
    <col min="5890" max="5890" width="8.7109375" customWidth="1"/>
    <col min="5891" max="5891" width="58.85546875" customWidth="1"/>
    <col min="5892" max="5892" width="6.85546875" customWidth="1"/>
    <col min="5893" max="5893" width="8.42578125" bestFit="1" customWidth="1"/>
    <col min="5894" max="5894" width="11.28515625" bestFit="1" customWidth="1"/>
    <col min="5895" max="5896" width="13.5703125" bestFit="1" customWidth="1"/>
    <col min="6145" max="6145" width="17.42578125" bestFit="1" customWidth="1"/>
    <col min="6146" max="6146" width="8.7109375" customWidth="1"/>
    <col min="6147" max="6147" width="58.85546875" customWidth="1"/>
    <col min="6148" max="6148" width="6.85546875" customWidth="1"/>
    <col min="6149" max="6149" width="8.42578125" bestFit="1" customWidth="1"/>
    <col min="6150" max="6150" width="11.28515625" bestFit="1" customWidth="1"/>
    <col min="6151" max="6152" width="13.5703125" bestFit="1" customWidth="1"/>
    <col min="6401" max="6401" width="17.42578125" bestFit="1" customWidth="1"/>
    <col min="6402" max="6402" width="8.7109375" customWidth="1"/>
    <col min="6403" max="6403" width="58.85546875" customWidth="1"/>
    <col min="6404" max="6404" width="6.85546875" customWidth="1"/>
    <col min="6405" max="6405" width="8.42578125" bestFit="1" customWidth="1"/>
    <col min="6406" max="6406" width="11.28515625" bestFit="1" customWidth="1"/>
    <col min="6407" max="6408" width="13.5703125" bestFit="1" customWidth="1"/>
    <col min="6657" max="6657" width="17.42578125" bestFit="1" customWidth="1"/>
    <col min="6658" max="6658" width="8.7109375" customWidth="1"/>
    <col min="6659" max="6659" width="58.85546875" customWidth="1"/>
    <col min="6660" max="6660" width="6.85546875" customWidth="1"/>
    <col min="6661" max="6661" width="8.42578125" bestFit="1" customWidth="1"/>
    <col min="6662" max="6662" width="11.28515625" bestFit="1" customWidth="1"/>
    <col min="6663" max="6664" width="13.5703125" bestFit="1" customWidth="1"/>
    <col min="6913" max="6913" width="17.42578125" bestFit="1" customWidth="1"/>
    <col min="6914" max="6914" width="8.7109375" customWidth="1"/>
    <col min="6915" max="6915" width="58.85546875" customWidth="1"/>
    <col min="6916" max="6916" width="6.85546875" customWidth="1"/>
    <col min="6917" max="6917" width="8.42578125" bestFit="1" customWidth="1"/>
    <col min="6918" max="6918" width="11.28515625" bestFit="1" customWidth="1"/>
    <col min="6919" max="6920" width="13.5703125" bestFit="1" customWidth="1"/>
    <col min="7169" max="7169" width="17.42578125" bestFit="1" customWidth="1"/>
    <col min="7170" max="7170" width="8.7109375" customWidth="1"/>
    <col min="7171" max="7171" width="58.85546875" customWidth="1"/>
    <col min="7172" max="7172" width="6.85546875" customWidth="1"/>
    <col min="7173" max="7173" width="8.42578125" bestFit="1" customWidth="1"/>
    <col min="7174" max="7174" width="11.28515625" bestFit="1" customWidth="1"/>
    <col min="7175" max="7176" width="13.5703125" bestFit="1" customWidth="1"/>
    <col min="7425" max="7425" width="17.42578125" bestFit="1" customWidth="1"/>
    <col min="7426" max="7426" width="8.7109375" customWidth="1"/>
    <col min="7427" max="7427" width="58.85546875" customWidth="1"/>
    <col min="7428" max="7428" width="6.85546875" customWidth="1"/>
    <col min="7429" max="7429" width="8.42578125" bestFit="1" customWidth="1"/>
    <col min="7430" max="7430" width="11.28515625" bestFit="1" customWidth="1"/>
    <col min="7431" max="7432" width="13.5703125" bestFit="1" customWidth="1"/>
    <col min="7681" max="7681" width="17.42578125" bestFit="1" customWidth="1"/>
    <col min="7682" max="7682" width="8.7109375" customWidth="1"/>
    <col min="7683" max="7683" width="58.85546875" customWidth="1"/>
    <col min="7684" max="7684" width="6.85546875" customWidth="1"/>
    <col min="7685" max="7685" width="8.42578125" bestFit="1" customWidth="1"/>
    <col min="7686" max="7686" width="11.28515625" bestFit="1" customWidth="1"/>
    <col min="7687" max="7688" width="13.5703125" bestFit="1" customWidth="1"/>
    <col min="7937" max="7937" width="17.42578125" bestFit="1" customWidth="1"/>
    <col min="7938" max="7938" width="8.7109375" customWidth="1"/>
    <col min="7939" max="7939" width="58.85546875" customWidth="1"/>
    <col min="7940" max="7940" width="6.85546875" customWidth="1"/>
    <col min="7941" max="7941" width="8.42578125" bestFit="1" customWidth="1"/>
    <col min="7942" max="7942" width="11.28515625" bestFit="1" customWidth="1"/>
    <col min="7943" max="7944" width="13.5703125" bestFit="1" customWidth="1"/>
    <col min="8193" max="8193" width="17.42578125" bestFit="1" customWidth="1"/>
    <col min="8194" max="8194" width="8.7109375" customWidth="1"/>
    <col min="8195" max="8195" width="58.85546875" customWidth="1"/>
    <col min="8196" max="8196" width="6.85546875" customWidth="1"/>
    <col min="8197" max="8197" width="8.42578125" bestFit="1" customWidth="1"/>
    <col min="8198" max="8198" width="11.28515625" bestFit="1" customWidth="1"/>
    <col min="8199" max="8200" width="13.5703125" bestFit="1" customWidth="1"/>
    <col min="8449" max="8449" width="17.42578125" bestFit="1" customWidth="1"/>
    <col min="8450" max="8450" width="8.7109375" customWidth="1"/>
    <col min="8451" max="8451" width="58.85546875" customWidth="1"/>
    <col min="8452" max="8452" width="6.85546875" customWidth="1"/>
    <col min="8453" max="8453" width="8.42578125" bestFit="1" customWidth="1"/>
    <col min="8454" max="8454" width="11.28515625" bestFit="1" customWidth="1"/>
    <col min="8455" max="8456" width="13.5703125" bestFit="1" customWidth="1"/>
    <col min="8705" max="8705" width="17.42578125" bestFit="1" customWidth="1"/>
    <col min="8706" max="8706" width="8.7109375" customWidth="1"/>
    <col min="8707" max="8707" width="58.85546875" customWidth="1"/>
    <col min="8708" max="8708" width="6.85546875" customWidth="1"/>
    <col min="8709" max="8709" width="8.42578125" bestFit="1" customWidth="1"/>
    <col min="8710" max="8710" width="11.28515625" bestFit="1" customWidth="1"/>
    <col min="8711" max="8712" width="13.5703125" bestFit="1" customWidth="1"/>
    <col min="8961" max="8961" width="17.42578125" bestFit="1" customWidth="1"/>
    <col min="8962" max="8962" width="8.7109375" customWidth="1"/>
    <col min="8963" max="8963" width="58.85546875" customWidth="1"/>
    <col min="8964" max="8964" width="6.85546875" customWidth="1"/>
    <col min="8965" max="8965" width="8.42578125" bestFit="1" customWidth="1"/>
    <col min="8966" max="8966" width="11.28515625" bestFit="1" customWidth="1"/>
    <col min="8967" max="8968" width="13.5703125" bestFit="1" customWidth="1"/>
    <col min="9217" max="9217" width="17.42578125" bestFit="1" customWidth="1"/>
    <col min="9218" max="9218" width="8.7109375" customWidth="1"/>
    <col min="9219" max="9219" width="58.85546875" customWidth="1"/>
    <col min="9220" max="9220" width="6.85546875" customWidth="1"/>
    <col min="9221" max="9221" width="8.42578125" bestFit="1" customWidth="1"/>
    <col min="9222" max="9222" width="11.28515625" bestFit="1" customWidth="1"/>
    <col min="9223" max="9224" width="13.5703125" bestFit="1" customWidth="1"/>
    <col min="9473" max="9473" width="17.42578125" bestFit="1" customWidth="1"/>
    <col min="9474" max="9474" width="8.7109375" customWidth="1"/>
    <col min="9475" max="9475" width="58.85546875" customWidth="1"/>
    <col min="9476" max="9476" width="6.85546875" customWidth="1"/>
    <col min="9477" max="9477" width="8.42578125" bestFit="1" customWidth="1"/>
    <col min="9478" max="9478" width="11.28515625" bestFit="1" customWidth="1"/>
    <col min="9479" max="9480" width="13.5703125" bestFit="1" customWidth="1"/>
    <col min="9729" max="9729" width="17.42578125" bestFit="1" customWidth="1"/>
    <col min="9730" max="9730" width="8.7109375" customWidth="1"/>
    <col min="9731" max="9731" width="58.85546875" customWidth="1"/>
    <col min="9732" max="9732" width="6.85546875" customWidth="1"/>
    <col min="9733" max="9733" width="8.42578125" bestFit="1" customWidth="1"/>
    <col min="9734" max="9734" width="11.28515625" bestFit="1" customWidth="1"/>
    <col min="9735" max="9736" width="13.5703125" bestFit="1" customWidth="1"/>
    <col min="9985" max="9985" width="17.42578125" bestFit="1" customWidth="1"/>
    <col min="9986" max="9986" width="8.7109375" customWidth="1"/>
    <col min="9987" max="9987" width="58.85546875" customWidth="1"/>
    <col min="9988" max="9988" width="6.85546875" customWidth="1"/>
    <col min="9989" max="9989" width="8.42578125" bestFit="1" customWidth="1"/>
    <col min="9990" max="9990" width="11.28515625" bestFit="1" customWidth="1"/>
    <col min="9991" max="9992" width="13.5703125" bestFit="1" customWidth="1"/>
    <col min="10241" max="10241" width="17.42578125" bestFit="1" customWidth="1"/>
    <col min="10242" max="10242" width="8.7109375" customWidth="1"/>
    <col min="10243" max="10243" width="58.85546875" customWidth="1"/>
    <col min="10244" max="10244" width="6.85546875" customWidth="1"/>
    <col min="10245" max="10245" width="8.42578125" bestFit="1" customWidth="1"/>
    <col min="10246" max="10246" width="11.28515625" bestFit="1" customWidth="1"/>
    <col min="10247" max="10248" width="13.5703125" bestFit="1" customWidth="1"/>
    <col min="10497" max="10497" width="17.42578125" bestFit="1" customWidth="1"/>
    <col min="10498" max="10498" width="8.7109375" customWidth="1"/>
    <col min="10499" max="10499" width="58.85546875" customWidth="1"/>
    <col min="10500" max="10500" width="6.85546875" customWidth="1"/>
    <col min="10501" max="10501" width="8.42578125" bestFit="1" customWidth="1"/>
    <col min="10502" max="10502" width="11.28515625" bestFit="1" customWidth="1"/>
    <col min="10503" max="10504" width="13.5703125" bestFit="1" customWidth="1"/>
    <col min="10753" max="10753" width="17.42578125" bestFit="1" customWidth="1"/>
    <col min="10754" max="10754" width="8.7109375" customWidth="1"/>
    <col min="10755" max="10755" width="58.85546875" customWidth="1"/>
    <col min="10756" max="10756" width="6.85546875" customWidth="1"/>
    <col min="10757" max="10757" width="8.42578125" bestFit="1" customWidth="1"/>
    <col min="10758" max="10758" width="11.28515625" bestFit="1" customWidth="1"/>
    <col min="10759" max="10760" width="13.5703125" bestFit="1" customWidth="1"/>
    <col min="11009" max="11009" width="17.42578125" bestFit="1" customWidth="1"/>
    <col min="11010" max="11010" width="8.7109375" customWidth="1"/>
    <col min="11011" max="11011" width="58.85546875" customWidth="1"/>
    <col min="11012" max="11012" width="6.85546875" customWidth="1"/>
    <col min="11013" max="11013" width="8.42578125" bestFit="1" customWidth="1"/>
    <col min="11014" max="11014" width="11.28515625" bestFit="1" customWidth="1"/>
    <col min="11015" max="11016" width="13.5703125" bestFit="1" customWidth="1"/>
    <col min="11265" max="11265" width="17.42578125" bestFit="1" customWidth="1"/>
    <col min="11266" max="11266" width="8.7109375" customWidth="1"/>
    <col min="11267" max="11267" width="58.85546875" customWidth="1"/>
    <col min="11268" max="11268" width="6.85546875" customWidth="1"/>
    <col min="11269" max="11269" width="8.42578125" bestFit="1" customWidth="1"/>
    <col min="11270" max="11270" width="11.28515625" bestFit="1" customWidth="1"/>
    <col min="11271" max="11272" width="13.5703125" bestFit="1" customWidth="1"/>
    <col min="11521" max="11521" width="17.42578125" bestFit="1" customWidth="1"/>
    <col min="11522" max="11522" width="8.7109375" customWidth="1"/>
    <col min="11523" max="11523" width="58.85546875" customWidth="1"/>
    <col min="11524" max="11524" width="6.85546875" customWidth="1"/>
    <col min="11525" max="11525" width="8.42578125" bestFit="1" customWidth="1"/>
    <col min="11526" max="11526" width="11.28515625" bestFit="1" customWidth="1"/>
    <col min="11527" max="11528" width="13.5703125" bestFit="1" customWidth="1"/>
    <col min="11777" max="11777" width="17.42578125" bestFit="1" customWidth="1"/>
    <col min="11778" max="11778" width="8.7109375" customWidth="1"/>
    <col min="11779" max="11779" width="58.85546875" customWidth="1"/>
    <col min="11780" max="11780" width="6.85546875" customWidth="1"/>
    <col min="11781" max="11781" width="8.42578125" bestFit="1" customWidth="1"/>
    <col min="11782" max="11782" width="11.28515625" bestFit="1" customWidth="1"/>
    <col min="11783" max="11784" width="13.5703125" bestFit="1" customWidth="1"/>
    <col min="12033" max="12033" width="17.42578125" bestFit="1" customWidth="1"/>
    <col min="12034" max="12034" width="8.7109375" customWidth="1"/>
    <col min="12035" max="12035" width="58.85546875" customWidth="1"/>
    <col min="12036" max="12036" width="6.85546875" customWidth="1"/>
    <col min="12037" max="12037" width="8.42578125" bestFit="1" customWidth="1"/>
    <col min="12038" max="12038" width="11.28515625" bestFit="1" customWidth="1"/>
    <col min="12039" max="12040" width="13.5703125" bestFit="1" customWidth="1"/>
    <col min="12289" max="12289" width="17.42578125" bestFit="1" customWidth="1"/>
    <col min="12290" max="12290" width="8.7109375" customWidth="1"/>
    <col min="12291" max="12291" width="58.85546875" customWidth="1"/>
    <col min="12292" max="12292" width="6.85546875" customWidth="1"/>
    <col min="12293" max="12293" width="8.42578125" bestFit="1" customWidth="1"/>
    <col min="12294" max="12294" width="11.28515625" bestFit="1" customWidth="1"/>
    <col min="12295" max="12296" width="13.5703125" bestFit="1" customWidth="1"/>
    <col min="12545" max="12545" width="17.42578125" bestFit="1" customWidth="1"/>
    <col min="12546" max="12546" width="8.7109375" customWidth="1"/>
    <col min="12547" max="12547" width="58.85546875" customWidth="1"/>
    <col min="12548" max="12548" width="6.85546875" customWidth="1"/>
    <col min="12549" max="12549" width="8.42578125" bestFit="1" customWidth="1"/>
    <col min="12550" max="12550" width="11.28515625" bestFit="1" customWidth="1"/>
    <col min="12551" max="12552" width="13.5703125" bestFit="1" customWidth="1"/>
    <col min="12801" max="12801" width="17.42578125" bestFit="1" customWidth="1"/>
    <col min="12802" max="12802" width="8.7109375" customWidth="1"/>
    <col min="12803" max="12803" width="58.85546875" customWidth="1"/>
    <col min="12804" max="12804" width="6.85546875" customWidth="1"/>
    <col min="12805" max="12805" width="8.42578125" bestFit="1" customWidth="1"/>
    <col min="12806" max="12806" width="11.28515625" bestFit="1" customWidth="1"/>
    <col min="12807" max="12808" width="13.5703125" bestFit="1" customWidth="1"/>
    <col min="13057" max="13057" width="17.42578125" bestFit="1" customWidth="1"/>
    <col min="13058" max="13058" width="8.7109375" customWidth="1"/>
    <col min="13059" max="13059" width="58.85546875" customWidth="1"/>
    <col min="13060" max="13060" width="6.85546875" customWidth="1"/>
    <col min="13061" max="13061" width="8.42578125" bestFit="1" customWidth="1"/>
    <col min="13062" max="13062" width="11.28515625" bestFit="1" customWidth="1"/>
    <col min="13063" max="13064" width="13.5703125" bestFit="1" customWidth="1"/>
    <col min="13313" max="13313" width="17.42578125" bestFit="1" customWidth="1"/>
    <col min="13314" max="13314" width="8.7109375" customWidth="1"/>
    <col min="13315" max="13315" width="58.85546875" customWidth="1"/>
    <col min="13316" max="13316" width="6.85546875" customWidth="1"/>
    <col min="13317" max="13317" width="8.42578125" bestFit="1" customWidth="1"/>
    <col min="13318" max="13318" width="11.28515625" bestFit="1" customWidth="1"/>
    <col min="13319" max="13320" width="13.5703125" bestFit="1" customWidth="1"/>
    <col min="13569" max="13569" width="17.42578125" bestFit="1" customWidth="1"/>
    <col min="13570" max="13570" width="8.7109375" customWidth="1"/>
    <col min="13571" max="13571" width="58.85546875" customWidth="1"/>
    <col min="13572" max="13572" width="6.85546875" customWidth="1"/>
    <col min="13573" max="13573" width="8.42578125" bestFit="1" customWidth="1"/>
    <col min="13574" max="13574" width="11.28515625" bestFit="1" customWidth="1"/>
    <col min="13575" max="13576" width="13.5703125" bestFit="1" customWidth="1"/>
    <col min="13825" max="13825" width="17.42578125" bestFit="1" customWidth="1"/>
    <col min="13826" max="13826" width="8.7109375" customWidth="1"/>
    <col min="13827" max="13827" width="58.85546875" customWidth="1"/>
    <col min="13828" max="13828" width="6.85546875" customWidth="1"/>
    <col min="13829" max="13829" width="8.42578125" bestFit="1" customWidth="1"/>
    <col min="13830" max="13830" width="11.28515625" bestFit="1" customWidth="1"/>
    <col min="13831" max="13832" width="13.5703125" bestFit="1" customWidth="1"/>
    <col min="14081" max="14081" width="17.42578125" bestFit="1" customWidth="1"/>
    <col min="14082" max="14082" width="8.7109375" customWidth="1"/>
    <col min="14083" max="14083" width="58.85546875" customWidth="1"/>
    <col min="14084" max="14084" width="6.85546875" customWidth="1"/>
    <col min="14085" max="14085" width="8.42578125" bestFit="1" customWidth="1"/>
    <col min="14086" max="14086" width="11.28515625" bestFit="1" customWidth="1"/>
    <col min="14087" max="14088" width="13.5703125" bestFit="1" customWidth="1"/>
    <col min="14337" max="14337" width="17.42578125" bestFit="1" customWidth="1"/>
    <col min="14338" max="14338" width="8.7109375" customWidth="1"/>
    <col min="14339" max="14339" width="58.85546875" customWidth="1"/>
    <col min="14340" max="14340" width="6.85546875" customWidth="1"/>
    <col min="14341" max="14341" width="8.42578125" bestFit="1" customWidth="1"/>
    <col min="14342" max="14342" width="11.28515625" bestFit="1" customWidth="1"/>
    <col min="14343" max="14344" width="13.5703125" bestFit="1" customWidth="1"/>
    <col min="14593" max="14593" width="17.42578125" bestFit="1" customWidth="1"/>
    <col min="14594" max="14594" width="8.7109375" customWidth="1"/>
    <col min="14595" max="14595" width="58.85546875" customWidth="1"/>
    <col min="14596" max="14596" width="6.85546875" customWidth="1"/>
    <col min="14597" max="14597" width="8.42578125" bestFit="1" customWidth="1"/>
    <col min="14598" max="14598" width="11.28515625" bestFit="1" customWidth="1"/>
    <col min="14599" max="14600" width="13.5703125" bestFit="1" customWidth="1"/>
    <col min="14849" max="14849" width="17.42578125" bestFit="1" customWidth="1"/>
    <col min="14850" max="14850" width="8.7109375" customWidth="1"/>
    <col min="14851" max="14851" width="58.85546875" customWidth="1"/>
    <col min="14852" max="14852" width="6.85546875" customWidth="1"/>
    <col min="14853" max="14853" width="8.42578125" bestFit="1" customWidth="1"/>
    <col min="14854" max="14854" width="11.28515625" bestFit="1" customWidth="1"/>
    <col min="14855" max="14856" width="13.5703125" bestFit="1" customWidth="1"/>
    <col min="15105" max="15105" width="17.42578125" bestFit="1" customWidth="1"/>
    <col min="15106" max="15106" width="8.7109375" customWidth="1"/>
    <col min="15107" max="15107" width="58.85546875" customWidth="1"/>
    <col min="15108" max="15108" width="6.85546875" customWidth="1"/>
    <col min="15109" max="15109" width="8.42578125" bestFit="1" customWidth="1"/>
    <col min="15110" max="15110" width="11.28515625" bestFit="1" customWidth="1"/>
    <col min="15111" max="15112" width="13.5703125" bestFit="1" customWidth="1"/>
    <col min="15361" max="15361" width="17.42578125" bestFit="1" customWidth="1"/>
    <col min="15362" max="15362" width="8.7109375" customWidth="1"/>
    <col min="15363" max="15363" width="58.85546875" customWidth="1"/>
    <col min="15364" max="15364" width="6.85546875" customWidth="1"/>
    <col min="15365" max="15365" width="8.42578125" bestFit="1" customWidth="1"/>
    <col min="15366" max="15366" width="11.28515625" bestFit="1" customWidth="1"/>
    <col min="15367" max="15368" width="13.5703125" bestFit="1" customWidth="1"/>
    <col min="15617" max="15617" width="17.42578125" bestFit="1" customWidth="1"/>
    <col min="15618" max="15618" width="8.7109375" customWidth="1"/>
    <col min="15619" max="15619" width="58.85546875" customWidth="1"/>
    <col min="15620" max="15620" width="6.85546875" customWidth="1"/>
    <col min="15621" max="15621" width="8.42578125" bestFit="1" customWidth="1"/>
    <col min="15622" max="15622" width="11.28515625" bestFit="1" customWidth="1"/>
    <col min="15623" max="15624" width="13.5703125" bestFit="1" customWidth="1"/>
    <col min="15873" max="15873" width="17.42578125" bestFit="1" customWidth="1"/>
    <col min="15874" max="15874" width="8.7109375" customWidth="1"/>
    <col min="15875" max="15875" width="58.85546875" customWidth="1"/>
    <col min="15876" max="15876" width="6.85546875" customWidth="1"/>
    <col min="15877" max="15877" width="8.42578125" bestFit="1" customWidth="1"/>
    <col min="15878" max="15878" width="11.28515625" bestFit="1" customWidth="1"/>
    <col min="15879" max="15880" width="13.5703125" bestFit="1" customWidth="1"/>
    <col min="16129" max="16129" width="17.42578125" bestFit="1" customWidth="1"/>
    <col min="16130" max="16130" width="8.7109375" customWidth="1"/>
    <col min="16131" max="16131" width="58.85546875" customWidth="1"/>
    <col min="16132" max="16132" width="6.85546875" customWidth="1"/>
    <col min="16133" max="16133" width="8.42578125" bestFit="1" customWidth="1"/>
    <col min="16134" max="16134" width="11.28515625" bestFit="1" customWidth="1"/>
    <col min="16135" max="16136" width="13.5703125" bestFit="1" customWidth="1"/>
  </cols>
  <sheetData>
    <row r="1" spans="1:13">
      <c r="A1" s="961"/>
      <c r="B1" s="967"/>
      <c r="C1" s="963" t="s">
        <v>17</v>
      </c>
      <c r="D1" s="963"/>
      <c r="E1" s="963"/>
      <c r="F1" s="963"/>
      <c r="G1" s="963"/>
      <c r="H1" s="963"/>
    </row>
    <row r="2" spans="1:13">
      <c r="A2" s="967"/>
      <c r="B2" s="967"/>
      <c r="C2" s="963"/>
      <c r="D2" s="963"/>
      <c r="E2" s="963"/>
      <c r="F2" s="963"/>
      <c r="G2" s="963"/>
      <c r="H2" s="963"/>
    </row>
    <row r="3" spans="1:13">
      <c r="A3" s="967"/>
      <c r="B3" s="967"/>
      <c r="C3" s="963"/>
      <c r="D3" s="963"/>
      <c r="E3" s="963"/>
      <c r="F3" s="963"/>
      <c r="G3" s="963"/>
      <c r="H3" s="963"/>
    </row>
    <row r="4" spans="1:13">
      <c r="A4" s="967"/>
      <c r="B4" s="967"/>
      <c r="C4" s="963"/>
      <c r="D4" s="963"/>
      <c r="E4" s="963"/>
      <c r="F4" s="963"/>
      <c r="G4" s="963"/>
      <c r="H4" s="963"/>
    </row>
    <row r="5" spans="1:13">
      <c r="A5" s="967"/>
      <c r="B5" s="967"/>
      <c r="C5" s="963"/>
      <c r="D5" s="963"/>
      <c r="E5" s="963"/>
      <c r="F5" s="963"/>
      <c r="G5" s="963"/>
      <c r="H5" s="963"/>
    </row>
    <row r="6" spans="1:13">
      <c r="A6" s="963" t="s">
        <v>80</v>
      </c>
      <c r="B6" s="967"/>
      <c r="C6" s="963" t="s">
        <v>1054</v>
      </c>
      <c r="D6" s="963"/>
      <c r="E6" s="963"/>
      <c r="F6" s="963"/>
      <c r="G6" s="963"/>
      <c r="H6" s="963"/>
    </row>
    <row r="7" spans="1:13">
      <c r="A7" s="967"/>
      <c r="B7" s="967"/>
      <c r="C7" s="963"/>
      <c r="D7" s="963"/>
      <c r="E7" s="963"/>
      <c r="F7" s="963"/>
      <c r="G7" s="963"/>
      <c r="H7" s="963"/>
    </row>
    <row r="8" spans="1:13" ht="15.75" customHeight="1">
      <c r="A8" s="963" t="s">
        <v>1521</v>
      </c>
      <c r="B8" s="963"/>
      <c r="C8" s="963" t="s">
        <v>1032</v>
      </c>
      <c r="D8" s="963"/>
      <c r="E8" s="963"/>
      <c r="F8" s="963"/>
      <c r="G8" s="963"/>
      <c r="H8" s="963"/>
    </row>
    <row r="9" spans="1:13">
      <c r="A9" s="963"/>
      <c r="B9" s="963"/>
      <c r="C9" s="963"/>
      <c r="D9" s="963"/>
      <c r="E9" s="963"/>
      <c r="F9" s="963"/>
      <c r="G9" s="963"/>
      <c r="H9" s="963"/>
    </row>
    <row r="10" spans="1:13" ht="18.75" customHeight="1">
      <c r="A10" s="958" t="s">
        <v>220</v>
      </c>
      <c r="B10" s="958"/>
      <c r="C10" s="937" t="s">
        <v>221</v>
      </c>
      <c r="D10" s="945"/>
      <c r="E10" s="946"/>
      <c r="F10" s="946"/>
      <c r="G10" s="946"/>
      <c r="H10" s="947"/>
    </row>
    <row r="11" spans="1:13">
      <c r="A11" s="964" t="s">
        <v>1125</v>
      </c>
      <c r="B11" s="964"/>
      <c r="C11" s="964"/>
      <c r="D11" s="964"/>
      <c r="E11" s="964"/>
      <c r="F11" s="964"/>
      <c r="G11" s="965" t="s">
        <v>2</v>
      </c>
      <c r="H11" s="966">
        <f>[5]BDI!O29</f>
        <v>0.25215503759149449</v>
      </c>
    </row>
    <row r="12" spans="1:13">
      <c r="A12" s="964" t="s">
        <v>1045</v>
      </c>
      <c r="B12" s="964"/>
      <c r="C12" s="964"/>
      <c r="D12" s="964"/>
      <c r="E12" s="964"/>
      <c r="F12" s="964"/>
      <c r="G12" s="965"/>
      <c r="H12" s="966"/>
    </row>
    <row r="13" spans="1:13">
      <c r="A13" s="968" t="s">
        <v>18</v>
      </c>
      <c r="B13" s="968" t="s">
        <v>19</v>
      </c>
      <c r="C13" s="1128" t="s">
        <v>20</v>
      </c>
      <c r="D13" s="972"/>
      <c r="E13" s="972"/>
      <c r="F13" s="972"/>
      <c r="G13" s="972"/>
      <c r="H13" s="972"/>
    </row>
    <row r="14" spans="1:13">
      <c r="A14" s="969"/>
      <c r="B14" s="968"/>
      <c r="C14" s="1128"/>
      <c r="D14" s="908" t="s">
        <v>21</v>
      </c>
      <c r="E14" s="2" t="s">
        <v>22</v>
      </c>
      <c r="F14" s="3" t="s">
        <v>23</v>
      </c>
      <c r="G14" s="3" t="s">
        <v>24</v>
      </c>
      <c r="H14" s="3" t="s">
        <v>25</v>
      </c>
    </row>
    <row r="15" spans="1:13" ht="26.25" customHeight="1">
      <c r="A15" s="4"/>
      <c r="B15" s="4" t="s">
        <v>26</v>
      </c>
      <c r="C15" s="5" t="s">
        <v>5</v>
      </c>
      <c r="D15" s="4"/>
      <c r="E15" s="306"/>
      <c r="F15" s="291"/>
      <c r="G15" s="291"/>
      <c r="H15" s="291">
        <f>SUM(H16:H21)</f>
        <v>2428.9705360966877</v>
      </c>
      <c r="I15" s="360"/>
      <c r="J15" s="360"/>
      <c r="K15" s="360"/>
      <c r="L15" s="360"/>
      <c r="M15" s="360"/>
    </row>
    <row r="16" spans="1:13" ht="26.25" customHeight="1">
      <c r="A16" s="38" t="s">
        <v>1084</v>
      </c>
      <c r="B16" s="908" t="s">
        <v>6</v>
      </c>
      <c r="C16" s="36" t="s">
        <v>10</v>
      </c>
      <c r="D16" s="908" t="s">
        <v>7</v>
      </c>
      <c r="E16" s="99">
        <v>24.97</v>
      </c>
      <c r="F16" s="314">
        <v>2.73</v>
      </c>
      <c r="G16" s="905">
        <f>F16+F16*$H$11</f>
        <v>3.4183832526247802</v>
      </c>
      <c r="H16" s="32">
        <f t="shared" ref="H16:H21" si="0">G16*E16</f>
        <v>85.357029818040758</v>
      </c>
      <c r="I16" s="1091" t="s">
        <v>530</v>
      </c>
      <c r="J16" s="1092"/>
      <c r="K16" s="1092"/>
      <c r="L16" s="1092"/>
      <c r="M16" s="1092"/>
    </row>
    <row r="17" spans="1:13" s="11" customFormat="1" ht="41.25" customHeight="1">
      <c r="A17" s="908" t="s">
        <v>16</v>
      </c>
      <c r="B17" s="908" t="s">
        <v>29</v>
      </c>
      <c r="C17" s="8" t="s">
        <v>27</v>
      </c>
      <c r="D17" s="908" t="s">
        <v>7</v>
      </c>
      <c r="E17" s="99">
        <v>40</v>
      </c>
      <c r="F17" s="32">
        <v>2.62</v>
      </c>
      <c r="G17" s="905">
        <f t="shared" ref="G17:G63" si="1">F17+F17*$H$11</f>
        <v>3.2806461984897157</v>
      </c>
      <c r="H17" s="32">
        <f t="shared" si="0"/>
        <v>131.22584793958862</v>
      </c>
      <c r="I17" s="1091" t="s">
        <v>531</v>
      </c>
      <c r="J17" s="1092"/>
      <c r="K17" s="1092"/>
      <c r="L17" s="1092"/>
      <c r="M17" s="1092"/>
    </row>
    <row r="18" spans="1:13" s="11" customFormat="1" ht="37.5" customHeight="1">
      <c r="A18" s="908" t="s">
        <v>28</v>
      </c>
      <c r="B18" s="908" t="s">
        <v>31</v>
      </c>
      <c r="C18" s="8" t="s">
        <v>8</v>
      </c>
      <c r="D18" s="908" t="s">
        <v>7</v>
      </c>
      <c r="E18" s="99">
        <v>40</v>
      </c>
      <c r="F18" s="32">
        <v>18.8</v>
      </c>
      <c r="G18" s="905">
        <f t="shared" si="1"/>
        <v>23.540514706720096</v>
      </c>
      <c r="H18" s="32">
        <f t="shared" si="0"/>
        <v>941.62058826880389</v>
      </c>
      <c r="I18" s="1091" t="s">
        <v>531</v>
      </c>
      <c r="J18" s="1092"/>
      <c r="K18" s="1092"/>
      <c r="L18" s="1092"/>
      <c r="M18" s="1092"/>
    </row>
    <row r="19" spans="1:13" s="11" customFormat="1" ht="24">
      <c r="A19" s="38" t="str">
        <f>COMPOSIÇÕES!B16</f>
        <v>COMPOSIÇÃO 02</v>
      </c>
      <c r="B19" s="908" t="s">
        <v>79</v>
      </c>
      <c r="C19" s="938" t="str">
        <f>COMPOSIÇÕES!C16</f>
        <v>DEMOLIÇÃO DE PISO DE ALTA RESISTÊNCIA</v>
      </c>
      <c r="D19" s="908" t="s">
        <v>7</v>
      </c>
      <c r="E19" s="99">
        <v>40</v>
      </c>
      <c r="F19" s="32">
        <f>COMPOSIÇÕES!G22</f>
        <v>19.484999999999999</v>
      </c>
      <c r="G19" s="905">
        <f t="shared" si="1"/>
        <v>24.398240907470267</v>
      </c>
      <c r="H19" s="32">
        <f t="shared" si="0"/>
        <v>975.92963629881069</v>
      </c>
      <c r="I19" s="1091" t="s">
        <v>531</v>
      </c>
      <c r="J19" s="1092"/>
      <c r="K19" s="1092"/>
      <c r="L19" s="1092"/>
      <c r="M19" s="1092"/>
    </row>
    <row r="20" spans="1:13" s="11" customFormat="1">
      <c r="A20" s="908" t="str">
        <f>COMPOSIÇÕES!B95</f>
        <v>COMPOSIÇÃO 08</v>
      </c>
      <c r="B20" s="908" t="s">
        <v>196</v>
      </c>
      <c r="C20" s="8" t="str">
        <f>COMPOSIÇÕES!C95</f>
        <v>DEMOLIÇAO DE REBOCO</v>
      </c>
      <c r="D20" s="908" t="s">
        <v>7</v>
      </c>
      <c r="E20" s="99">
        <v>22.6</v>
      </c>
      <c r="F20" s="32">
        <f>COMPOSIÇÕES!G100</f>
        <v>8.66</v>
      </c>
      <c r="G20" s="905">
        <f t="shared" si="1"/>
        <v>10.843662625542343</v>
      </c>
      <c r="H20" s="32">
        <f t="shared" si="0"/>
        <v>245.06677533725698</v>
      </c>
      <c r="I20" s="1091" t="s">
        <v>533</v>
      </c>
      <c r="J20" s="1092"/>
      <c r="K20" s="1092"/>
      <c r="L20" s="1092"/>
      <c r="M20" s="1092"/>
    </row>
    <row r="21" spans="1:13" s="11" customFormat="1">
      <c r="A21" s="908" t="str">
        <f>COMPOSIÇÕES!B133</f>
        <v>COMPOSIÇÃO 12</v>
      </c>
      <c r="B21" s="908" t="s">
        <v>637</v>
      </c>
      <c r="C21" s="8" t="str">
        <f>COMPOSIÇÕES!C133</f>
        <v>DEMOLIÇÃO DE FORROS</v>
      </c>
      <c r="D21" s="908" t="s">
        <v>7</v>
      </c>
      <c r="E21" s="99">
        <f>'MEMORIA PASCOAL CARRAZONI'!K608</f>
        <v>10</v>
      </c>
      <c r="F21" s="32">
        <f>COMPOSIÇÕES!G139</f>
        <v>3.9748000000000001</v>
      </c>
      <c r="G21" s="905">
        <f t="shared" si="1"/>
        <v>4.9770658434186723</v>
      </c>
      <c r="H21" s="32">
        <f t="shared" si="0"/>
        <v>49.770658434186721</v>
      </c>
      <c r="I21" s="338"/>
      <c r="J21" s="341"/>
      <c r="K21" s="341"/>
      <c r="L21" s="341"/>
      <c r="M21" s="341"/>
    </row>
    <row r="22" spans="1:13">
      <c r="A22" s="1090"/>
      <c r="B22" s="1090"/>
      <c r="C22" s="1090"/>
      <c r="D22" s="1090"/>
      <c r="E22" s="1090"/>
      <c r="F22" s="1090"/>
      <c r="G22" s="1090"/>
      <c r="H22" s="1090"/>
      <c r="I22" s="340"/>
      <c r="J22" s="361"/>
      <c r="K22" s="361"/>
      <c r="L22" s="361"/>
      <c r="M22" s="361"/>
    </row>
    <row r="23" spans="1:13">
      <c r="A23" s="4"/>
      <c r="B23" s="4" t="s">
        <v>32</v>
      </c>
      <c r="C23" s="5" t="s">
        <v>34</v>
      </c>
      <c r="D23" s="4"/>
      <c r="E23" s="306"/>
      <c r="F23" s="291"/>
      <c r="G23" s="291"/>
      <c r="H23" s="291">
        <f>SUM(H24:H30)</f>
        <v>43007.424623405219</v>
      </c>
      <c r="I23" s="340"/>
      <c r="J23" s="340"/>
      <c r="K23" s="340"/>
      <c r="L23" s="361"/>
      <c r="M23" s="361"/>
    </row>
    <row r="24" spans="1:13" ht="42.75" customHeight="1">
      <c r="A24" s="908" t="s">
        <v>36</v>
      </c>
      <c r="B24" s="908" t="s">
        <v>12</v>
      </c>
      <c r="C24" s="939" t="str">
        <f>'ESC. MUN. ANDRE VIDAL'!C23</f>
        <v>APLICAÇÃO MANUAL DE PINTURA COM TINTA LÁTEX ACRÍLICA EM PAREDES, DUAS DEMÃOS. AF_06/2014</v>
      </c>
      <c r="D24" s="13" t="s">
        <v>7</v>
      </c>
      <c r="E24" s="31">
        <f>'MEMORIA PASCOAL CARRAZONI'!L613</f>
        <v>456.5499999999999</v>
      </c>
      <c r="F24" s="32">
        <v>13.67</v>
      </c>
      <c r="G24" s="905">
        <f t="shared" si="1"/>
        <v>17.116959363875729</v>
      </c>
      <c r="H24" s="32">
        <f t="shared" ref="H24:H30" si="2">G24*E24</f>
        <v>7814.7477975774627</v>
      </c>
      <c r="I24" s="1070" t="s">
        <v>534</v>
      </c>
      <c r="J24" s="1071"/>
      <c r="K24" s="1071"/>
      <c r="L24" s="1071"/>
      <c r="M24" s="1071"/>
    </row>
    <row r="25" spans="1:13" ht="42.75" customHeight="1">
      <c r="A25" s="908" t="s">
        <v>1286</v>
      </c>
      <c r="B25" s="908" t="s">
        <v>435</v>
      </c>
      <c r="C25" s="939" t="s">
        <v>841</v>
      </c>
      <c r="D25" s="13" t="s">
        <v>7</v>
      </c>
      <c r="E25" s="31">
        <f>'MEMORIA PASCOAL CARRAZONI'!L639</f>
        <v>923.91000000000031</v>
      </c>
      <c r="F25" s="32">
        <v>14.26</v>
      </c>
      <c r="G25" s="905">
        <f t="shared" si="1"/>
        <v>17.855730836054711</v>
      </c>
      <c r="H25" s="32">
        <f t="shared" si="2"/>
        <v>16497.088276739312</v>
      </c>
      <c r="I25" s="1070" t="s">
        <v>534</v>
      </c>
      <c r="J25" s="1071"/>
      <c r="K25" s="1071"/>
      <c r="L25" s="1071"/>
      <c r="M25" s="1071"/>
    </row>
    <row r="26" spans="1:13" ht="41.25" customHeight="1">
      <c r="A26" s="908" t="str">
        <f>COMPOSIÇÕES!B188</f>
        <v>COMPOSIÇÃO 18</v>
      </c>
      <c r="B26" s="908" t="s">
        <v>436</v>
      </c>
      <c r="C26" s="940" t="str">
        <f>COMPOSIÇÕES!C188</f>
        <v>PINTURA DE ACABAMENTO COM APLICAÇÃO DE 02 DEMÃOS DE ESMALTE SOBRE PAREDE (EXTERNO E INTERNO)</v>
      </c>
      <c r="D26" s="13" t="s">
        <v>7</v>
      </c>
      <c r="E26" s="31">
        <f>'MEMORIA PASCOAL CARRAZONI'!L665</f>
        <v>461.95500000000015</v>
      </c>
      <c r="F26" s="32">
        <f>COMPOSIÇÕES!G195</f>
        <v>15.700000000000001</v>
      </c>
      <c r="G26" s="905">
        <f t="shared" si="1"/>
        <v>19.658834090186463</v>
      </c>
      <c r="H26" s="32">
        <f t="shared" si="2"/>
        <v>9081.4967021320899</v>
      </c>
      <c r="I26" s="347"/>
      <c r="J26" s="348"/>
      <c r="K26" s="348"/>
      <c r="L26" s="348"/>
      <c r="M26" s="348"/>
    </row>
    <row r="27" spans="1:13" ht="29.25" customHeight="1">
      <c r="A27" s="908" t="str">
        <f>COMPOSIÇÕES!B622</f>
        <v>COMPOSIÇÃO 29</v>
      </c>
      <c r="B27" s="908" t="s">
        <v>437</v>
      </c>
      <c r="C27" s="941" t="str">
        <f>COMPOSIÇÕES!C622</f>
        <v>APLICAÇÃO MECÂNICA DE PINTURA COM TINTA LÁTEX PVA EM TETO, DUAS DEMÃOS</v>
      </c>
      <c r="D27" s="13" t="s">
        <v>7</v>
      </c>
      <c r="E27" s="31">
        <f>'MEMORIA PASCOAL CARRAZONI'!L691</f>
        <v>16.372499999999999</v>
      </c>
      <c r="F27" s="32">
        <f>COMPOSIÇÕES!G630</f>
        <v>10.499575999999999</v>
      </c>
      <c r="G27" s="905">
        <f t="shared" si="1"/>
        <v>13.147096980974752</v>
      </c>
      <c r="H27" s="32">
        <f t="shared" si="2"/>
        <v>215.25084532100911</v>
      </c>
      <c r="I27" s="1070" t="s">
        <v>534</v>
      </c>
      <c r="J27" s="1071"/>
      <c r="K27" s="1071"/>
      <c r="L27" s="1071"/>
      <c r="M27" s="1071"/>
    </row>
    <row r="28" spans="1:13" ht="70.5" customHeight="1">
      <c r="A28" s="908" t="s">
        <v>617</v>
      </c>
      <c r="B28" s="908" t="s">
        <v>438</v>
      </c>
      <c r="C28" s="8" t="s">
        <v>41</v>
      </c>
      <c r="D28" s="13" t="s">
        <v>7</v>
      </c>
      <c r="E28" s="31">
        <f>'MEMORIA PASCOAL CARRAZONI'!L697</f>
        <v>29.827499999999997</v>
      </c>
      <c r="F28" s="32">
        <v>8.44</v>
      </c>
      <c r="G28" s="905">
        <f t="shared" si="1"/>
        <v>10.568188517272212</v>
      </c>
      <c r="H28" s="32">
        <f t="shared" si="2"/>
        <v>315.22264299893686</v>
      </c>
      <c r="I28" s="339"/>
      <c r="J28" s="340"/>
      <c r="K28" s="340"/>
      <c r="L28" s="340"/>
      <c r="M28" s="340"/>
    </row>
    <row r="29" spans="1:13" ht="27.75" customHeight="1">
      <c r="A29" s="908" t="str">
        <f>COMPOSIÇÕES!B74</f>
        <v>COMPOSIÇÃO 07</v>
      </c>
      <c r="B29" s="908" t="s">
        <v>588</v>
      </c>
      <c r="C29" s="912" t="str">
        <f>COMPOSIÇÕES!C74</f>
        <v>PREPARO DE SUPERFICIE COM LIXAMENO DE PAREDES E TETOS</v>
      </c>
      <c r="D29" s="13" t="s">
        <v>7</v>
      </c>
      <c r="E29" s="31">
        <f>'MEMORIA PASCOAL CARRAZONI'!L703</f>
        <v>1888.6150000000005</v>
      </c>
      <c r="F29" s="32">
        <f>COMPOSIÇÕES!G80</f>
        <v>3.2896000000000005</v>
      </c>
      <c r="G29" s="905">
        <f t="shared" si="1"/>
        <v>4.119089211660981</v>
      </c>
      <c r="H29" s="32">
        <f t="shared" si="2"/>
        <v>7779.3736714811057</v>
      </c>
      <c r="I29" s="1070" t="s">
        <v>534</v>
      </c>
      <c r="J29" s="1070"/>
      <c r="K29" s="1070"/>
      <c r="L29" s="1070"/>
      <c r="M29" s="1070"/>
    </row>
    <row r="30" spans="1:13" ht="57.75" customHeight="1">
      <c r="A30" s="270" t="s">
        <v>618</v>
      </c>
      <c r="B30" s="908" t="s">
        <v>696</v>
      </c>
      <c r="C30" s="942" t="s">
        <v>619</v>
      </c>
      <c r="D30" s="271" t="s">
        <v>7</v>
      </c>
      <c r="E30" s="34">
        <v>84</v>
      </c>
      <c r="F30" s="346">
        <v>12.4</v>
      </c>
      <c r="G30" s="273">
        <f t="shared" si="1"/>
        <v>15.526722466134533</v>
      </c>
      <c r="H30" s="32">
        <f t="shared" si="2"/>
        <v>1304.2446871553009</v>
      </c>
      <c r="I30" s="340"/>
      <c r="J30" s="340"/>
      <c r="K30" s="340"/>
      <c r="L30" s="361"/>
      <c r="M30" s="361"/>
    </row>
    <row r="31" spans="1:13">
      <c r="A31" s="954"/>
      <c r="B31" s="955"/>
      <c r="C31" s="955"/>
      <c r="D31" s="955"/>
      <c r="E31" s="955"/>
      <c r="F31" s="955"/>
      <c r="G31" s="955"/>
      <c r="H31" s="956"/>
      <c r="I31" s="340"/>
      <c r="J31" s="340"/>
      <c r="K31" s="340"/>
      <c r="L31" s="361"/>
      <c r="M31" s="361"/>
    </row>
    <row r="32" spans="1:13">
      <c r="A32" s="4"/>
      <c r="B32" s="4" t="s">
        <v>33</v>
      </c>
      <c r="C32" s="5" t="s">
        <v>43</v>
      </c>
      <c r="D32" s="4"/>
      <c r="E32" s="306"/>
      <c r="F32" s="291"/>
      <c r="G32" s="291"/>
      <c r="H32" s="291">
        <f>SUM(H33:H36)</f>
        <v>12258.202137028851</v>
      </c>
      <c r="I32" s="340"/>
      <c r="J32" s="340"/>
      <c r="K32" s="340"/>
      <c r="L32" s="361"/>
      <c r="M32" s="361"/>
    </row>
    <row r="33" spans="1:13" s="11" customFormat="1" ht="68.25" customHeight="1">
      <c r="A33" s="908" t="s">
        <v>1339</v>
      </c>
      <c r="B33" s="908" t="s">
        <v>14</v>
      </c>
      <c r="C33" s="941" t="s">
        <v>915</v>
      </c>
      <c r="D33" s="13" t="s">
        <v>7</v>
      </c>
      <c r="E33" s="31">
        <v>67.8</v>
      </c>
      <c r="F33" s="32">
        <v>3.85</v>
      </c>
      <c r="G33" s="905">
        <f t="shared" si="1"/>
        <v>4.8207968947272537</v>
      </c>
      <c r="H33" s="32">
        <f>E33*G33</f>
        <v>326.85002946250779</v>
      </c>
      <c r="I33" s="1091" t="s">
        <v>533</v>
      </c>
      <c r="J33" s="1091"/>
      <c r="K33" s="1091"/>
      <c r="L33" s="1091"/>
      <c r="M33" s="340"/>
    </row>
    <row r="34" spans="1:13" s="11" customFormat="1" ht="96.75" customHeight="1">
      <c r="A34" s="908" t="s">
        <v>47</v>
      </c>
      <c r="B34" s="908" t="s">
        <v>35</v>
      </c>
      <c r="C34" s="8" t="s">
        <v>48</v>
      </c>
      <c r="D34" s="13" t="s">
        <v>7</v>
      </c>
      <c r="E34" s="31">
        <v>67.8</v>
      </c>
      <c r="F34" s="32">
        <v>32.93</v>
      </c>
      <c r="G34" s="905">
        <f t="shared" si="1"/>
        <v>41.233465387887911</v>
      </c>
      <c r="H34" s="32">
        <f>E34*G34</f>
        <v>2795.6289532988003</v>
      </c>
      <c r="I34" s="1091" t="s">
        <v>533</v>
      </c>
      <c r="J34" s="1091"/>
      <c r="K34" s="1091"/>
      <c r="L34" s="1091"/>
      <c r="M34" s="340"/>
    </row>
    <row r="35" spans="1:13" s="11" customFormat="1" ht="82.5" customHeight="1">
      <c r="A35" s="908" t="s">
        <v>49</v>
      </c>
      <c r="B35" s="908" t="s">
        <v>37</v>
      </c>
      <c r="C35" s="8" t="s">
        <v>51</v>
      </c>
      <c r="D35" s="13" t="s">
        <v>30</v>
      </c>
      <c r="E35" s="31">
        <v>50</v>
      </c>
      <c r="F35" s="32">
        <v>76.88</v>
      </c>
      <c r="G35" s="905">
        <f t="shared" si="1"/>
        <v>96.265679290034086</v>
      </c>
      <c r="H35" s="32">
        <f>E35*G35</f>
        <v>4813.2839645017048</v>
      </c>
      <c r="I35" s="1091" t="s">
        <v>531</v>
      </c>
      <c r="J35" s="1091"/>
      <c r="K35" s="1091"/>
      <c r="L35" s="1091"/>
      <c r="M35" s="340"/>
    </row>
    <row r="36" spans="1:13" s="11" customFormat="1" ht="68.25" customHeight="1">
      <c r="A36" s="908" t="s">
        <v>81</v>
      </c>
      <c r="B36" s="908" t="s">
        <v>39</v>
      </c>
      <c r="C36" s="36" t="s">
        <v>82</v>
      </c>
      <c r="D36" s="13" t="s">
        <v>7</v>
      </c>
      <c r="E36" s="31">
        <v>80</v>
      </c>
      <c r="F36" s="314">
        <v>43.15</v>
      </c>
      <c r="G36" s="905">
        <f t="shared" si="1"/>
        <v>54.030489872072984</v>
      </c>
      <c r="H36" s="32">
        <f>E36*G36</f>
        <v>4322.4391897658388</v>
      </c>
      <c r="I36" s="1070" t="s">
        <v>535</v>
      </c>
      <c r="J36" s="1071"/>
      <c r="K36" s="1071"/>
      <c r="L36" s="1071"/>
      <c r="M36" s="340"/>
    </row>
    <row r="37" spans="1:13">
      <c r="A37" s="1090"/>
      <c r="B37" s="1090"/>
      <c r="C37" s="1090"/>
      <c r="D37" s="1090"/>
      <c r="E37" s="1090"/>
      <c r="F37" s="1090"/>
      <c r="G37" s="1090"/>
      <c r="H37" s="1090"/>
      <c r="I37" s="340"/>
      <c r="J37" s="340"/>
      <c r="K37" s="340"/>
      <c r="L37" s="361"/>
      <c r="M37" s="361"/>
    </row>
    <row r="38" spans="1:13">
      <c r="A38" s="4"/>
      <c r="B38" s="4" t="s">
        <v>197</v>
      </c>
      <c r="C38" s="5" t="s">
        <v>53</v>
      </c>
      <c r="D38" s="4"/>
      <c r="E38" s="306"/>
      <c r="F38" s="291"/>
      <c r="G38" s="291"/>
      <c r="H38" s="291">
        <f>SUM(H39:H44)</f>
        <v>11457.290958506108</v>
      </c>
      <c r="I38" s="340"/>
      <c r="J38" s="340"/>
      <c r="K38" s="340"/>
      <c r="L38" s="361"/>
      <c r="M38" s="361"/>
    </row>
    <row r="39" spans="1:13" ht="60">
      <c r="A39" s="908" t="str">
        <f>COMPOSIÇÕES!B24</f>
        <v>COMPOSIÇÃO 03</v>
      </c>
      <c r="B39" s="908" t="s">
        <v>45</v>
      </c>
      <c r="C39" s="8" t="str">
        <f>COMPOSIÇÕES!C24</f>
        <v>FORNECIMENTO E ASSENTAMENTO DE FERROLHO / FECHO CHATO, DE SOBREPOR, EM FERRO ZINCADO, REFORCADO, 6", COM PORTA CADEADO, PARA PORTAO, PORTA E JANELA</v>
      </c>
      <c r="D39" s="13" t="s">
        <v>21</v>
      </c>
      <c r="E39" s="31">
        <f>'MEMORIA PASCOAL CARRAZONI'!L740</f>
        <v>10</v>
      </c>
      <c r="F39" s="844">
        <f>COMPOSIÇÕES!G30</f>
        <v>18.646000000000001</v>
      </c>
      <c r="G39" s="905">
        <f>F39+F39*$H$11</f>
        <v>23.347682830931006</v>
      </c>
      <c r="H39" s="32">
        <f t="shared" ref="H39:H44" si="3">E39*G39</f>
        <v>233.47682830931006</v>
      </c>
      <c r="I39" s="1070" t="s">
        <v>535</v>
      </c>
      <c r="J39" s="1071"/>
      <c r="K39" s="1071"/>
      <c r="L39" s="1071"/>
      <c r="M39" s="361"/>
    </row>
    <row r="40" spans="1:13" s="11" customFormat="1" ht="66" customHeight="1">
      <c r="A40" s="908" t="s">
        <v>87</v>
      </c>
      <c r="B40" s="908" t="s">
        <v>198</v>
      </c>
      <c r="C40" s="36" t="s">
        <v>88</v>
      </c>
      <c r="D40" s="13" t="s">
        <v>21</v>
      </c>
      <c r="E40" s="31">
        <f>'MEMORIA PASCOAL CARRAZONI'!L745</f>
        <v>5</v>
      </c>
      <c r="F40" s="216">
        <v>267.08</v>
      </c>
      <c r="G40" s="905">
        <f t="shared" si="1"/>
        <v>334.42556743993634</v>
      </c>
      <c r="H40" s="32">
        <f t="shared" si="3"/>
        <v>1672.1278371996818</v>
      </c>
      <c r="I40" s="1091" t="s">
        <v>537</v>
      </c>
      <c r="J40" s="1092"/>
      <c r="K40" s="1092"/>
      <c r="L40" s="1092"/>
      <c r="M40" s="340"/>
    </row>
    <row r="41" spans="1:13" s="11" customFormat="1" ht="47.25" customHeight="1">
      <c r="A41" s="908" t="str">
        <f>COMPOSIÇÕES!B102</f>
        <v>COMPOSIÇÃO 09</v>
      </c>
      <c r="B41" s="908" t="s">
        <v>50</v>
      </c>
      <c r="C41" s="943" t="str">
        <f>COMPOSIÇÕES!C102</f>
        <v>BASCLANTE EM ALUMINIO, COR N/P/B, MOLDURA-VIDRO, TIPO COVENCIONAL OU PIVOTANTE, EXCLUSIVE VIDRO</v>
      </c>
      <c r="D41" s="908" t="s">
        <v>7</v>
      </c>
      <c r="E41" s="2">
        <f>'MEMORIA PASCOAL CARRAZONI'!L750</f>
        <v>8.8000000000000007</v>
      </c>
      <c r="F41" s="32">
        <f>COMPOSIÇÕES!G110</f>
        <v>607.38675999999998</v>
      </c>
      <c r="G41" s="905">
        <f t="shared" si="1"/>
        <v>760.54239130037604</v>
      </c>
      <c r="H41" s="32">
        <f t="shared" si="3"/>
        <v>6692.7730434433097</v>
      </c>
      <c r="I41" s="1091" t="s">
        <v>567</v>
      </c>
      <c r="J41" s="1092"/>
      <c r="K41" s="1092"/>
      <c r="L41" s="1092"/>
      <c r="M41" s="340"/>
    </row>
    <row r="42" spans="1:13" s="11" customFormat="1">
      <c r="A42" s="908" t="str">
        <f>COMPOSIÇÕES!B46</f>
        <v>COMPOSIÇÃO 05</v>
      </c>
      <c r="B42" s="908" t="s">
        <v>439</v>
      </c>
      <c r="C42" s="943" t="str">
        <f>COMPOSIÇÕES!C46</f>
        <v>REVISÃO DE ESQUADRIA DE FERRO</v>
      </c>
      <c r="D42" s="908" t="s">
        <v>30</v>
      </c>
      <c r="E42" s="2">
        <v>8</v>
      </c>
      <c r="F42" s="32">
        <f>COMPOSIÇÕES!G55</f>
        <v>137.42116300000001</v>
      </c>
      <c r="G42" s="905">
        <f t="shared" si="1"/>
        <v>172.07260152213189</v>
      </c>
      <c r="H42" s="32">
        <f t="shared" si="3"/>
        <v>1376.5808121770551</v>
      </c>
      <c r="I42" s="1091" t="s">
        <v>97</v>
      </c>
      <c r="J42" s="1092"/>
      <c r="K42" s="1092"/>
      <c r="L42" s="1092"/>
      <c r="M42" s="340"/>
    </row>
    <row r="43" spans="1:13" s="14" customFormat="1">
      <c r="A43" s="204" t="str">
        <f>COMPOSIÇÕES!B59</f>
        <v>COMPOSIÇÃO 06</v>
      </c>
      <c r="B43" s="908" t="s">
        <v>440</v>
      </c>
      <c r="C43" s="143" t="str">
        <f>COMPOSIÇÕES!C59</f>
        <v>REVISÃO DE ESQUADRIA DE MADEIRA</v>
      </c>
      <c r="D43" s="908" t="s">
        <v>30</v>
      </c>
      <c r="E43" s="34">
        <f>'MEMORIA PASCOAL CARRAZONI'!L762</f>
        <v>10.5</v>
      </c>
      <c r="F43" s="32">
        <f>COMPOSIÇÕES!G70</f>
        <v>52.650000000000006</v>
      </c>
      <c r="G43" s="905">
        <f t="shared" si="1"/>
        <v>65.925962729192193</v>
      </c>
      <c r="H43" s="32">
        <f t="shared" si="3"/>
        <v>692.22260865651799</v>
      </c>
      <c r="I43" s="1091" t="s">
        <v>568</v>
      </c>
      <c r="J43" s="1092"/>
      <c r="K43" s="1092"/>
      <c r="L43" s="1092"/>
      <c r="M43" s="361"/>
    </row>
    <row r="44" spans="1:13" s="14" customFormat="1" ht="69" customHeight="1">
      <c r="A44" s="216" t="s">
        <v>433</v>
      </c>
      <c r="B44" s="908" t="s">
        <v>578</v>
      </c>
      <c r="C44" s="939" t="s">
        <v>434</v>
      </c>
      <c r="D44" s="908" t="s">
        <v>21</v>
      </c>
      <c r="E44" s="34">
        <f>'MEMORIA PASCOAL CARRAZONI'!L770</f>
        <v>5</v>
      </c>
      <c r="F44" s="32">
        <v>126.2</v>
      </c>
      <c r="G44" s="905">
        <f t="shared" si="1"/>
        <v>158.02196574404661</v>
      </c>
      <c r="H44" s="32">
        <f t="shared" si="3"/>
        <v>790.10982872023305</v>
      </c>
      <c r="I44" s="1070" t="s">
        <v>535</v>
      </c>
      <c r="J44" s="1071"/>
      <c r="K44" s="1071"/>
      <c r="L44" s="1071"/>
      <c r="M44" s="361"/>
    </row>
    <row r="45" spans="1:13">
      <c r="A45" s="286"/>
      <c r="B45" s="286"/>
      <c r="C45" s="287"/>
      <c r="D45" s="288"/>
      <c r="E45" s="930"/>
      <c r="F45" s="931"/>
      <c r="G45" s="931"/>
      <c r="H45" s="931"/>
      <c r="I45" s="340"/>
      <c r="J45" s="340"/>
      <c r="K45" s="340"/>
      <c r="L45" s="361"/>
      <c r="M45" s="361"/>
    </row>
    <row r="46" spans="1:13">
      <c r="A46" s="4"/>
      <c r="B46" s="4" t="s">
        <v>199</v>
      </c>
      <c r="C46" s="5" t="s">
        <v>57</v>
      </c>
      <c r="D46" s="4"/>
      <c r="E46" s="306"/>
      <c r="F46" s="291"/>
      <c r="G46" s="291"/>
      <c r="H46" s="291">
        <f>SUM(H47:H48)</f>
        <v>4503.2503771940501</v>
      </c>
      <c r="I46" s="340"/>
      <c r="J46" s="340"/>
      <c r="K46" s="340"/>
      <c r="L46" s="361"/>
      <c r="M46" s="361"/>
    </row>
    <row r="47" spans="1:13" ht="31.5" customHeight="1">
      <c r="A47" s="908" t="s">
        <v>520</v>
      </c>
      <c r="B47" s="908" t="s">
        <v>54</v>
      </c>
      <c r="C47" s="939" t="s">
        <v>521</v>
      </c>
      <c r="D47" s="13" t="s">
        <v>7</v>
      </c>
      <c r="E47" s="31">
        <f>'MEMORIA PASCOAL CARRAZONI'!L777</f>
        <v>30</v>
      </c>
      <c r="F47" s="32">
        <v>35.130000000000003</v>
      </c>
      <c r="G47" s="905">
        <f t="shared" si="1"/>
        <v>43.988206470589205</v>
      </c>
      <c r="H47" s="32">
        <f>E47*G47</f>
        <v>1319.6461941176763</v>
      </c>
      <c r="I47" s="1070" t="s">
        <v>496</v>
      </c>
      <c r="J47" s="1071"/>
      <c r="K47" s="1071"/>
      <c r="L47" s="1071"/>
      <c r="M47" s="1071"/>
    </row>
    <row r="48" spans="1:13" s="11" customFormat="1" ht="47.25" customHeight="1">
      <c r="A48" s="908" t="s">
        <v>58</v>
      </c>
      <c r="B48" s="908" t="s">
        <v>55</v>
      </c>
      <c r="C48" s="8" t="s">
        <v>60</v>
      </c>
      <c r="D48" s="13" t="s">
        <v>7</v>
      </c>
      <c r="E48" s="31">
        <f>'MEMORIA PASCOAL CARRAZONI'!L782</f>
        <v>150</v>
      </c>
      <c r="F48" s="32">
        <v>16.95</v>
      </c>
      <c r="G48" s="905">
        <f t="shared" si="1"/>
        <v>21.224027887175829</v>
      </c>
      <c r="H48" s="32">
        <f>E48*G48</f>
        <v>3183.6041830763743</v>
      </c>
      <c r="I48" s="1070" t="s">
        <v>566</v>
      </c>
      <c r="J48" s="1071"/>
      <c r="K48" s="1071"/>
      <c r="L48" s="1071"/>
      <c r="M48" s="1071"/>
    </row>
    <row r="49" spans="1:13">
      <c r="A49" s="1090"/>
      <c r="B49" s="1090"/>
      <c r="C49" s="1090"/>
      <c r="D49" s="1090"/>
      <c r="E49" s="1090"/>
      <c r="F49" s="1090"/>
      <c r="G49" s="1090"/>
      <c r="H49" s="1090"/>
      <c r="I49" s="340"/>
      <c r="J49" s="340"/>
      <c r="K49" s="340"/>
      <c r="L49" s="361"/>
      <c r="M49" s="361"/>
    </row>
    <row r="50" spans="1:13" ht="23.25" customHeight="1">
      <c r="A50" s="4"/>
      <c r="B50" s="4" t="s">
        <v>158</v>
      </c>
      <c r="C50" s="5" t="s">
        <v>63</v>
      </c>
      <c r="D50" s="4"/>
      <c r="E50" s="306"/>
      <c r="F50" s="291"/>
      <c r="G50" s="291"/>
      <c r="H50" s="291">
        <f>SUM(H51:H56)</f>
        <v>3660.6584735212305</v>
      </c>
      <c r="I50" s="340"/>
      <c r="J50" s="340"/>
      <c r="K50" s="340"/>
      <c r="L50" s="361"/>
      <c r="M50" s="361"/>
    </row>
    <row r="51" spans="1:13" ht="23.25" customHeight="1">
      <c r="A51" s="908" t="s">
        <v>468</v>
      </c>
      <c r="B51" s="15" t="s">
        <v>59</v>
      </c>
      <c r="C51" s="8" t="s">
        <v>470</v>
      </c>
      <c r="D51" s="16" t="s">
        <v>21</v>
      </c>
      <c r="E51" s="308">
        <v>10</v>
      </c>
      <c r="F51" s="32">
        <v>12.25</v>
      </c>
      <c r="G51" s="905">
        <f t="shared" si="1"/>
        <v>15.338899210495807</v>
      </c>
      <c r="H51" s="32">
        <f t="shared" ref="H51:H56" si="4">E51*G51</f>
        <v>153.38899210495808</v>
      </c>
      <c r="I51" s="1070" t="s">
        <v>237</v>
      </c>
      <c r="J51" s="1071"/>
      <c r="K51" s="1071"/>
      <c r="L51" s="1071"/>
      <c r="M51" s="361"/>
    </row>
    <row r="52" spans="1:13" s="11" customFormat="1">
      <c r="A52" s="38" t="str">
        <f>COMPOSIÇÕES!B32</f>
        <v>COMPOSIÇÃO 04</v>
      </c>
      <c r="B52" s="15" t="s">
        <v>61</v>
      </c>
      <c r="C52" s="944" t="str">
        <f>COMPOSIÇÕES!C32</f>
        <v>REVISÃO DE PONTO DE ESGOTO</v>
      </c>
      <c r="D52" s="16" t="s">
        <v>21</v>
      </c>
      <c r="E52" s="308">
        <v>10</v>
      </c>
      <c r="F52" s="32">
        <f>COMPOSIÇÕES!G41</f>
        <v>35.792659999999998</v>
      </c>
      <c r="G52" s="905">
        <f t="shared" si="1"/>
        <v>44.81795952779958</v>
      </c>
      <c r="H52" s="32">
        <f t="shared" si="4"/>
        <v>448.17959527799582</v>
      </c>
      <c r="I52" s="1070" t="s">
        <v>237</v>
      </c>
      <c r="J52" s="1071"/>
      <c r="K52" s="1071"/>
      <c r="L52" s="1071"/>
      <c r="M52" s="340"/>
    </row>
    <row r="53" spans="1:13" s="11" customFormat="1" ht="54" customHeight="1">
      <c r="A53" s="908" t="s">
        <v>430</v>
      </c>
      <c r="B53" s="15" t="s">
        <v>469</v>
      </c>
      <c r="C53" s="939" t="s">
        <v>431</v>
      </c>
      <c r="D53" s="16" t="s">
        <v>21</v>
      </c>
      <c r="E53" s="308">
        <v>5</v>
      </c>
      <c r="F53" s="32">
        <v>62.52</v>
      </c>
      <c r="G53" s="905">
        <f t="shared" si="1"/>
        <v>78.284732950220246</v>
      </c>
      <c r="H53" s="32">
        <f t="shared" si="4"/>
        <v>391.42366475110123</v>
      </c>
      <c r="I53" s="1070" t="s">
        <v>237</v>
      </c>
      <c r="J53" s="1071"/>
      <c r="K53" s="1071"/>
      <c r="L53" s="1071"/>
      <c r="M53" s="340"/>
    </row>
    <row r="54" spans="1:13" s="11" customFormat="1" ht="58.5" customHeight="1">
      <c r="A54" s="216" t="s">
        <v>543</v>
      </c>
      <c r="B54" s="15" t="s">
        <v>485</v>
      </c>
      <c r="C54" s="36" t="s">
        <v>544</v>
      </c>
      <c r="D54" s="16" t="s">
        <v>21</v>
      </c>
      <c r="E54" s="308">
        <v>5</v>
      </c>
      <c r="F54" s="216">
        <v>118.46</v>
      </c>
      <c r="G54" s="905">
        <f t="shared" si="1"/>
        <v>148.33028575308842</v>
      </c>
      <c r="H54" s="32">
        <f t="shared" si="4"/>
        <v>741.65142876544212</v>
      </c>
      <c r="I54" s="1070" t="s">
        <v>97</v>
      </c>
      <c r="J54" s="1071"/>
      <c r="K54" s="1071"/>
      <c r="L54" s="1071"/>
      <c r="M54" s="340"/>
    </row>
    <row r="55" spans="1:13" s="11" customFormat="1" ht="58.5" customHeight="1">
      <c r="A55" s="216" t="s">
        <v>541</v>
      </c>
      <c r="B55" s="15" t="s">
        <v>584</v>
      </c>
      <c r="C55" s="939" t="s">
        <v>542</v>
      </c>
      <c r="D55" s="16" t="s">
        <v>21</v>
      </c>
      <c r="E55" s="308">
        <v>3</v>
      </c>
      <c r="F55" s="216">
        <v>215.56</v>
      </c>
      <c r="G55" s="905">
        <f>F55+F55*$H$11</f>
        <v>269.91453990322253</v>
      </c>
      <c r="H55" s="32">
        <f t="shared" si="4"/>
        <v>809.74361970966766</v>
      </c>
      <c r="I55" s="1070" t="s">
        <v>237</v>
      </c>
      <c r="J55" s="1071"/>
      <c r="K55" s="1071"/>
      <c r="L55" s="1071"/>
      <c r="M55" s="340"/>
    </row>
    <row r="56" spans="1:13" s="11" customFormat="1" ht="55.5" customHeight="1">
      <c r="A56" s="216" t="s">
        <v>661</v>
      </c>
      <c r="B56" s="15" t="s">
        <v>585</v>
      </c>
      <c r="C56" s="941" t="s">
        <v>662</v>
      </c>
      <c r="D56" s="16" t="s">
        <v>21</v>
      </c>
      <c r="E56" s="308">
        <v>3</v>
      </c>
      <c r="F56" s="216">
        <v>297.16000000000003</v>
      </c>
      <c r="G56" s="905">
        <f>F56+F56*$H$11</f>
        <v>372.09039097068853</v>
      </c>
      <c r="H56" s="32">
        <f t="shared" si="4"/>
        <v>1116.2711729120656</v>
      </c>
      <c r="I56" s="1070" t="s">
        <v>237</v>
      </c>
      <c r="J56" s="1071"/>
      <c r="K56" s="1071"/>
      <c r="L56" s="1071"/>
      <c r="M56" s="340"/>
    </row>
    <row r="57" spans="1:13" s="11" customFormat="1">
      <c r="A57" s="286"/>
      <c r="B57" s="286"/>
      <c r="C57" s="287"/>
      <c r="D57" s="288"/>
      <c r="E57" s="930"/>
      <c r="F57" s="931"/>
      <c r="G57" s="905"/>
      <c r="H57" s="931"/>
      <c r="I57" s="340"/>
      <c r="J57" s="340"/>
      <c r="K57" s="340"/>
      <c r="L57" s="340"/>
      <c r="M57" s="340"/>
    </row>
    <row r="58" spans="1:13" s="11" customFormat="1" ht="35.25" customHeight="1">
      <c r="A58" s="4"/>
      <c r="B58" s="4" t="s">
        <v>201</v>
      </c>
      <c r="C58" s="5" t="s">
        <v>66</v>
      </c>
      <c r="D58" s="4"/>
      <c r="E58" s="306"/>
      <c r="F58" s="291"/>
      <c r="G58" s="194"/>
      <c r="H58" s="291">
        <f>SUM(H59:H63)</f>
        <v>2628.3360316564263</v>
      </c>
      <c r="I58" s="340"/>
      <c r="J58" s="340"/>
      <c r="K58" s="340"/>
      <c r="L58" s="340"/>
      <c r="M58" s="340"/>
    </row>
    <row r="59" spans="1:13" s="11" customFormat="1" ht="55.5" customHeight="1">
      <c r="A59" s="216" t="s">
        <v>552</v>
      </c>
      <c r="B59" s="15" t="s">
        <v>64</v>
      </c>
      <c r="C59" s="939" t="s">
        <v>553</v>
      </c>
      <c r="D59" s="16" t="s">
        <v>21</v>
      </c>
      <c r="E59" s="308">
        <v>5</v>
      </c>
      <c r="F59" s="32">
        <v>26.27</v>
      </c>
      <c r="G59" s="905">
        <f>F59+F59*$H$11</f>
        <v>32.89411283752856</v>
      </c>
      <c r="H59" s="32">
        <f>E59*G59</f>
        <v>164.47056418764279</v>
      </c>
      <c r="I59" s="1097" t="s">
        <v>501</v>
      </c>
      <c r="J59" s="1071"/>
      <c r="K59" s="1071"/>
      <c r="L59" s="1071"/>
      <c r="M59" s="340"/>
    </row>
    <row r="60" spans="1:13" ht="55.5" customHeight="1">
      <c r="A60" s="216" t="s">
        <v>551</v>
      </c>
      <c r="B60" s="15" t="s">
        <v>101</v>
      </c>
      <c r="C60" s="939" t="s">
        <v>550</v>
      </c>
      <c r="D60" s="16" t="s">
        <v>21</v>
      </c>
      <c r="E60" s="308">
        <v>5</v>
      </c>
      <c r="F60" s="32">
        <v>29.08</v>
      </c>
      <c r="G60" s="905">
        <f t="shared" si="1"/>
        <v>36.412668493160659</v>
      </c>
      <c r="H60" s="32">
        <f>E60*G60</f>
        <v>182.06334246580329</v>
      </c>
      <c r="I60" s="1070" t="s">
        <v>563</v>
      </c>
      <c r="J60" s="1071"/>
      <c r="K60" s="1071"/>
      <c r="L60" s="1071"/>
      <c r="M60" s="361"/>
    </row>
    <row r="61" spans="1:13" ht="55.5" customHeight="1">
      <c r="A61" s="216" t="s">
        <v>67</v>
      </c>
      <c r="B61" s="15" t="s">
        <v>429</v>
      </c>
      <c r="C61" s="36" t="s">
        <v>69</v>
      </c>
      <c r="D61" s="16" t="s">
        <v>21</v>
      </c>
      <c r="E61" s="308">
        <v>5</v>
      </c>
      <c r="F61" s="32">
        <v>162.54</v>
      </c>
      <c r="G61" s="905">
        <f t="shared" si="1"/>
        <v>203.5252798101215</v>
      </c>
      <c r="H61" s="32">
        <f>E61*G61</f>
        <v>1017.6263990506075</v>
      </c>
      <c r="I61" s="1097" t="s">
        <v>554</v>
      </c>
      <c r="J61" s="1070"/>
      <c r="K61" s="1070"/>
      <c r="L61" s="1070"/>
      <c r="M61" s="361"/>
    </row>
    <row r="62" spans="1:13" ht="44.25" customHeight="1">
      <c r="A62" s="908" t="s">
        <v>423</v>
      </c>
      <c r="B62" s="15" t="s">
        <v>546</v>
      </c>
      <c r="C62" s="939" t="s">
        <v>424</v>
      </c>
      <c r="D62" s="13" t="s">
        <v>21</v>
      </c>
      <c r="E62" s="309">
        <v>18</v>
      </c>
      <c r="F62" s="32">
        <v>33.799999999999997</v>
      </c>
      <c r="G62" s="905">
        <f t="shared" si="1"/>
        <v>42.322840270592508</v>
      </c>
      <c r="H62" s="32">
        <f>E62*G62</f>
        <v>761.81112487066514</v>
      </c>
      <c r="I62" s="1091" t="s">
        <v>558</v>
      </c>
      <c r="J62" s="1092"/>
      <c r="K62" s="1092"/>
      <c r="L62" s="1092"/>
      <c r="M62" s="361"/>
    </row>
    <row r="63" spans="1:13" ht="52.5" customHeight="1">
      <c r="A63" s="908" t="s">
        <v>559</v>
      </c>
      <c r="B63" s="15" t="s">
        <v>547</v>
      </c>
      <c r="C63" s="939" t="s">
        <v>560</v>
      </c>
      <c r="D63" s="13" t="s">
        <v>21</v>
      </c>
      <c r="E63" s="309">
        <v>10</v>
      </c>
      <c r="F63" s="32">
        <v>40.119999999999997</v>
      </c>
      <c r="G63" s="905">
        <f t="shared" si="1"/>
        <v>50.236460108170753</v>
      </c>
      <c r="H63" s="32">
        <f>E63*G63</f>
        <v>502.36460108170752</v>
      </c>
      <c r="I63" s="1070" t="s">
        <v>237</v>
      </c>
      <c r="J63" s="1070"/>
      <c r="K63" s="1070"/>
      <c r="L63" s="1070"/>
      <c r="M63" s="361"/>
    </row>
    <row r="64" spans="1:13" ht="16.5" customHeight="1">
      <c r="A64" s="1127"/>
      <c r="B64" s="1127"/>
      <c r="C64" s="1127"/>
      <c r="D64" s="1127"/>
      <c r="E64" s="1127"/>
      <c r="F64" s="1127"/>
      <c r="G64" s="1127"/>
      <c r="H64" s="1127"/>
      <c r="I64" s="339"/>
      <c r="J64" s="339"/>
      <c r="K64" s="339"/>
      <c r="L64" s="339"/>
      <c r="M64" s="361"/>
    </row>
    <row r="65" spans="1:13" ht="20.25" customHeight="1">
      <c r="A65" s="4"/>
      <c r="B65" s="4" t="s">
        <v>630</v>
      </c>
      <c r="C65" s="5" t="s">
        <v>73</v>
      </c>
      <c r="D65" s="4"/>
      <c r="E65" s="306"/>
      <c r="F65" s="291"/>
      <c r="G65" s="194"/>
      <c r="H65" s="291">
        <f>SUM(H66:H67)</f>
        <v>4563.0720841149841</v>
      </c>
      <c r="I65" s="339"/>
      <c r="J65" s="339"/>
      <c r="K65" s="339"/>
      <c r="L65" s="339"/>
      <c r="M65" s="361"/>
    </row>
    <row r="66" spans="1:13" ht="29.25" customHeight="1">
      <c r="A66" s="216" t="str">
        <f>COMPOSIÇÕES!B121</f>
        <v>COMPOSIÇÃO 11</v>
      </c>
      <c r="B66" s="15" t="s">
        <v>68</v>
      </c>
      <c r="C66" s="939" t="str">
        <f>COMPOSIÇÕES!C121</f>
        <v>REFORMA DE TOLDO  EM LONA ÁGUA E CHUVA</v>
      </c>
      <c r="D66" s="16" t="s">
        <v>7</v>
      </c>
      <c r="E66" s="308">
        <v>25</v>
      </c>
      <c r="F66" s="32">
        <f>COMPOSIÇÕES!G131</f>
        <v>124.247</v>
      </c>
      <c r="G66" s="905">
        <f>F66+F66*$H$11</f>
        <v>155.57650695563041</v>
      </c>
      <c r="H66" s="32">
        <f>E66*G66</f>
        <v>3889.4126738907603</v>
      </c>
      <c r="I66" s="1070" t="s">
        <v>458</v>
      </c>
      <c r="J66" s="1070"/>
      <c r="K66" s="1070"/>
      <c r="L66" s="1070"/>
      <c r="M66" s="361"/>
    </row>
    <row r="67" spans="1:13">
      <c r="A67" s="908" t="str">
        <f>COMPOSIÇÕES!B144</f>
        <v>COMPOSIÇÃO 13</v>
      </c>
      <c r="B67" s="908" t="s">
        <v>202</v>
      </c>
      <c r="C67" s="36" t="str">
        <f>COMPOSIÇÕES!C144</f>
        <v>LIMPEZA GERAL</v>
      </c>
      <c r="D67" s="19" t="s">
        <v>7</v>
      </c>
      <c r="E67" s="309">
        <v>200</v>
      </c>
      <c r="F67" s="32">
        <f>COMPOSIÇÕES!G151</f>
        <v>2.6900000000000004</v>
      </c>
      <c r="G67" s="905">
        <f>F67+F67*$H$11</f>
        <v>3.3682970511211208</v>
      </c>
      <c r="H67" s="32">
        <f>E67*G67</f>
        <v>673.65941022422419</v>
      </c>
      <c r="I67" s="1097" t="s">
        <v>650</v>
      </c>
      <c r="J67" s="1070"/>
      <c r="K67" s="1070"/>
      <c r="L67" s="1070"/>
      <c r="M67" s="361"/>
    </row>
    <row r="68" spans="1:13">
      <c r="A68" s="1127"/>
      <c r="B68" s="1127"/>
      <c r="C68" s="1127"/>
      <c r="D68" s="1127"/>
      <c r="E68" s="1127"/>
      <c r="F68" s="1127"/>
      <c r="G68" s="1127"/>
      <c r="H68" s="1127"/>
      <c r="I68" s="218"/>
      <c r="J68" s="218"/>
      <c r="K68" s="218"/>
      <c r="L68" s="219"/>
      <c r="M68" s="219"/>
    </row>
    <row r="69" spans="1:13" ht="20.25" customHeight="1">
      <c r="A69" s="1087" t="s">
        <v>78</v>
      </c>
      <c r="B69" s="1088"/>
      <c r="C69" s="1088"/>
      <c r="D69" s="1088"/>
      <c r="E69" s="1088"/>
      <c r="F69" s="1088"/>
      <c r="G69" s="1089"/>
      <c r="H69" s="291">
        <f>SUM(H65,H58,H50,H46,H38,H32,H23,H15)</f>
        <v>84507.20522152356</v>
      </c>
      <c r="I69" s="218"/>
      <c r="J69" s="218"/>
      <c r="K69" s="219"/>
      <c r="L69" s="219"/>
      <c r="M69" s="219"/>
    </row>
    <row r="70" spans="1:13">
      <c r="A70" s="932"/>
      <c r="B70" s="932"/>
      <c r="C70" s="928"/>
      <c r="D70" s="932"/>
      <c r="E70" s="932"/>
      <c r="F70" s="932"/>
      <c r="G70" s="932"/>
      <c r="H70" s="932"/>
      <c r="I70" s="12"/>
      <c r="J70" s="12"/>
    </row>
    <row r="71" spans="1:13">
      <c r="A71" s="20"/>
      <c r="B71" s="20"/>
      <c r="C71" s="929"/>
      <c r="D71" s="20"/>
      <c r="E71" s="20"/>
      <c r="F71" s="21"/>
      <c r="G71" s="21"/>
      <c r="H71" s="21"/>
    </row>
    <row r="72" spans="1:13">
      <c r="A72" s="22"/>
      <c r="B72" s="22"/>
      <c r="C72" s="23"/>
      <c r="D72" s="22"/>
      <c r="E72" s="933"/>
      <c r="F72" s="934"/>
      <c r="G72" s="934"/>
      <c r="H72" s="934"/>
    </row>
  </sheetData>
  <mergeCells count="57">
    <mergeCell ref="I18:M18"/>
    <mergeCell ref="I55:L55"/>
    <mergeCell ref="I56:L56"/>
    <mergeCell ref="I47:M47"/>
    <mergeCell ref="I42:L42"/>
    <mergeCell ref="I36:L36"/>
    <mergeCell ref="I33:L33"/>
    <mergeCell ref="I34:L34"/>
    <mergeCell ref="I24:M24"/>
    <mergeCell ref="I25:M25"/>
    <mergeCell ref="I27:M27"/>
    <mergeCell ref="I54:L54"/>
    <mergeCell ref="I29:M29"/>
    <mergeCell ref="A13:A14"/>
    <mergeCell ref="B13:B14"/>
    <mergeCell ref="C13:C14"/>
    <mergeCell ref="D13:H13"/>
    <mergeCell ref="I66:L66"/>
    <mergeCell ref="I60:L60"/>
    <mergeCell ref="A37:H37"/>
    <mergeCell ref="I39:L39"/>
    <mergeCell ref="I40:L40"/>
    <mergeCell ref="I41:L41"/>
    <mergeCell ref="I43:L43"/>
    <mergeCell ref="I44:L44"/>
    <mergeCell ref="I48:M48"/>
    <mergeCell ref="I51:L51"/>
    <mergeCell ref="I52:L52"/>
    <mergeCell ref="I53:L53"/>
    <mergeCell ref="A1:B5"/>
    <mergeCell ref="C1:H5"/>
    <mergeCell ref="A6:B7"/>
    <mergeCell ref="C6:H7"/>
    <mergeCell ref="A8:B9"/>
    <mergeCell ref="C8:H9"/>
    <mergeCell ref="A10:B10"/>
    <mergeCell ref="A11:F11"/>
    <mergeCell ref="G11:G12"/>
    <mergeCell ref="H11:H12"/>
    <mergeCell ref="A12:F12"/>
    <mergeCell ref="D10:H10"/>
    <mergeCell ref="I16:M16"/>
    <mergeCell ref="I19:M19"/>
    <mergeCell ref="I20:M20"/>
    <mergeCell ref="A68:H68"/>
    <mergeCell ref="A69:G69"/>
    <mergeCell ref="A49:H49"/>
    <mergeCell ref="A64:H64"/>
    <mergeCell ref="A22:H22"/>
    <mergeCell ref="A31:H31"/>
    <mergeCell ref="I62:L62"/>
    <mergeCell ref="I63:L63"/>
    <mergeCell ref="I67:L67"/>
    <mergeCell ref="I59:L59"/>
    <mergeCell ref="I61:L61"/>
    <mergeCell ref="I35:L35"/>
    <mergeCell ref="I17:M17"/>
  </mergeCells>
  <pageMargins left="0.78740157480314965" right="0.78740157480314965" top="0.78740157480314965" bottom="0.78740157480314965" header="0.31496062992125984" footer="0.31496062992125984"/>
  <pageSetup paperSize="9" scale="54" orientation="portrait" r:id="rId1"/>
  <headerFooter>
    <oddFooter>Página &amp;P de &amp;N</oddFooter>
  </headerFooter>
  <rowBreaks count="1" manualBreakCount="1">
    <brk id="37" max="7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L860"/>
  <sheetViews>
    <sheetView showGridLines="0" view="pageBreakPreview" topLeftCell="A844" zoomScale="85" zoomScaleNormal="100" zoomScaleSheetLayoutView="85" workbookViewId="0">
      <selection activeCell="D864" sqref="D864"/>
    </sheetView>
  </sheetViews>
  <sheetFormatPr defaultRowHeight="15"/>
  <cols>
    <col min="2" max="8" width="10.7109375" customWidth="1"/>
    <col min="9" max="9" width="12" customWidth="1"/>
    <col min="10" max="10" width="12.85546875" customWidth="1"/>
    <col min="11" max="12" width="10.7109375" customWidth="1"/>
  </cols>
  <sheetData>
    <row r="1" spans="2:12" ht="15.75" thickBot="1"/>
    <row r="2" spans="2:12">
      <c r="B2" s="1033" t="s">
        <v>103</v>
      </c>
      <c r="C2" s="1034"/>
      <c r="D2" s="1039" t="str">
        <f>'[6]PLANILHA ORÇAMENTÁRIA'!E2</f>
        <v>PREFEITURA MUNICIPAL DE ITAMBÉ</v>
      </c>
      <c r="E2" s="1040"/>
      <c r="F2" s="1040"/>
      <c r="G2" s="1040"/>
      <c r="H2" s="1040"/>
      <c r="I2" s="1041"/>
      <c r="J2" s="1042"/>
      <c r="K2" s="1043"/>
      <c r="L2" s="1044"/>
    </row>
    <row r="3" spans="2:12">
      <c r="B3" s="1035"/>
      <c r="C3" s="1036"/>
      <c r="D3" s="1051" t="s">
        <v>1041</v>
      </c>
      <c r="E3" s="1052"/>
      <c r="F3" s="1052"/>
      <c r="G3" s="1052"/>
      <c r="H3" s="1052"/>
      <c r="I3" s="1053"/>
      <c r="J3" s="1045"/>
      <c r="K3" s="1046"/>
      <c r="L3" s="1047"/>
    </row>
    <row r="4" spans="2:12" ht="66.75" customHeight="1">
      <c r="B4" s="1035"/>
      <c r="C4" s="1036"/>
      <c r="D4" s="1054" t="s">
        <v>1046</v>
      </c>
      <c r="E4" s="1055"/>
      <c r="F4" s="1055"/>
      <c r="G4" s="1055"/>
      <c r="H4" s="1055"/>
      <c r="I4" s="1056"/>
      <c r="J4" s="1045"/>
      <c r="K4" s="1046"/>
      <c r="L4" s="1047"/>
    </row>
    <row r="5" spans="2:12" ht="9.75" customHeight="1" thickBot="1">
      <c r="B5" s="1037"/>
      <c r="C5" s="1038"/>
      <c r="D5" s="1057"/>
      <c r="E5" s="1058"/>
      <c r="F5" s="1058"/>
      <c r="G5" s="1058"/>
      <c r="H5" s="1058"/>
      <c r="I5" s="1059"/>
      <c r="J5" s="1048"/>
      <c r="K5" s="1049"/>
      <c r="L5" s="1050"/>
    </row>
    <row r="6" spans="2:12" hidden="1">
      <c r="B6" s="40"/>
      <c r="C6" s="40"/>
      <c r="D6" s="40"/>
      <c r="E6" s="40"/>
      <c r="F6" s="40"/>
      <c r="G6" s="40"/>
      <c r="H6" s="40"/>
      <c r="I6" s="40"/>
      <c r="J6" s="41"/>
      <c r="K6" s="40"/>
      <c r="L6" s="40"/>
    </row>
    <row r="7" spans="2:12" hidden="1">
      <c r="B7" s="1060" t="s">
        <v>104</v>
      </c>
      <c r="C7" s="1060"/>
      <c r="D7" s="42" t="e">
        <f>'[6]PLANILHA ORÇAMENTÁRIA'!J6</f>
        <v>#REF!</v>
      </c>
      <c r="E7" s="43"/>
      <c r="F7" s="224" t="s">
        <v>105</v>
      </c>
      <c r="G7" s="42" t="e">
        <f>'[6]PLANILHA ORÇAMENTÁRIA'!J7</f>
        <v>#REF!</v>
      </c>
      <c r="H7" s="45" t="s">
        <v>1</v>
      </c>
      <c r="I7" s="46"/>
      <c r="J7" s="46" t="str">
        <f>'[6]PLANILHA ORÇAMENTÁRIA'!B8</f>
        <v>SINAPI - FEV/2019 DESONERADO</v>
      </c>
      <c r="K7" s="43"/>
      <c r="L7" s="43"/>
    </row>
    <row r="8" spans="2:12" hidden="1">
      <c r="B8" s="224" t="s">
        <v>106</v>
      </c>
      <c r="C8" s="1061" t="e">
        <f>'[6]PLANILHA ORÇAMENTÁRIA'!J8</f>
        <v>#REF!</v>
      </c>
      <c r="D8" s="1061"/>
      <c r="E8" s="43"/>
      <c r="F8" s="224" t="s">
        <v>0</v>
      </c>
      <c r="G8" s="47">
        <f>'[6]PLANILHA ORÇAMENTÁRIA'!J5</f>
        <v>43641</v>
      </c>
      <c r="H8" s="46"/>
      <c r="I8" s="48"/>
      <c r="J8" s="46"/>
      <c r="K8" s="43"/>
      <c r="L8" s="43"/>
    </row>
    <row r="9" spans="2:12" hidden="1">
      <c r="B9" s="49"/>
      <c r="C9" s="50"/>
      <c r="D9" s="46"/>
      <c r="E9" s="46"/>
      <c r="F9" s="46"/>
      <c r="G9" s="46"/>
      <c r="H9" s="46"/>
      <c r="I9" s="46"/>
      <c r="J9" s="46"/>
      <c r="K9" s="43"/>
      <c r="L9" s="51"/>
    </row>
    <row r="10" spans="2:12" hidden="1">
      <c r="B10" s="52" t="s">
        <v>107</v>
      </c>
      <c r="C10" s="53" t="s">
        <v>108</v>
      </c>
      <c r="D10" s="54"/>
      <c r="E10" s="55"/>
      <c r="F10" s="56"/>
      <c r="G10" s="54"/>
      <c r="H10" s="57" t="s">
        <v>109</v>
      </c>
      <c r="I10" s="53" t="s">
        <v>110</v>
      </c>
      <c r="J10" s="46"/>
      <c r="K10" s="43"/>
      <c r="L10" s="51"/>
    </row>
    <row r="11" spans="2:12" hidden="1">
      <c r="B11" s="49"/>
      <c r="C11" s="50"/>
      <c r="D11" s="46"/>
      <c r="E11" s="46"/>
      <c r="F11" s="46"/>
      <c r="G11" s="46"/>
      <c r="H11" s="46"/>
      <c r="I11" s="46"/>
      <c r="J11" s="46"/>
      <c r="K11" s="43"/>
      <c r="L11" s="51"/>
    </row>
    <row r="12" spans="2:12" hidden="1">
      <c r="B12" s="58" t="str">
        <f>'[6]PLANILHA ORÇAMENTÁRIA'!D11</f>
        <v>1.0</v>
      </c>
      <c r="C12" s="1000" t="str">
        <f>'[6]PLANILHA ORÇAMENTÁRIA'!E11</f>
        <v>SERVIÇOS PRELIMINARES</v>
      </c>
      <c r="D12" s="1000"/>
      <c r="E12" s="1000"/>
      <c r="F12" s="1000"/>
      <c r="G12" s="1000"/>
      <c r="H12" s="1000"/>
      <c r="I12" s="1000"/>
      <c r="J12" s="1000"/>
      <c r="K12" s="59"/>
      <c r="L12" s="59"/>
    </row>
    <row r="13" spans="2:12" hidden="1">
      <c r="B13" s="60" t="str">
        <f>'[6]PLANILHA ORÇAMENTÁRIA'!D12</f>
        <v>1.1</v>
      </c>
      <c r="C13" s="1003" t="str">
        <f>'[6]PLANILHA ORÇAMENTÁRIA'!E12</f>
        <v>PLACA DE OBRA EM CHAPA DE ACO GALVANIZADO</v>
      </c>
      <c r="D13" s="1003"/>
      <c r="E13" s="1003"/>
      <c r="F13" s="1003"/>
      <c r="G13" s="1003"/>
      <c r="H13" s="1003"/>
      <c r="I13" s="1003"/>
      <c r="J13" s="1003"/>
      <c r="K13" s="61" t="str">
        <f>'[6]PLANILHA ORÇAMENTÁRIA'!F12</f>
        <v>M2</v>
      </c>
      <c r="L13" s="62">
        <f>K16</f>
        <v>6</v>
      </c>
    </row>
    <row r="14" spans="2:12" hidden="1">
      <c r="B14" s="63"/>
      <c r="C14" s="1004" t="s">
        <v>20</v>
      </c>
      <c r="D14" s="1004"/>
      <c r="E14" s="1004"/>
      <c r="F14" s="64" t="s">
        <v>3</v>
      </c>
      <c r="G14" s="225" t="s">
        <v>111</v>
      </c>
      <c r="H14" s="64" t="s">
        <v>112</v>
      </c>
      <c r="I14" s="225" t="s">
        <v>113</v>
      </c>
      <c r="J14" s="225" t="s">
        <v>114</v>
      </c>
      <c r="K14" s="66" t="s">
        <v>25</v>
      </c>
      <c r="L14" s="67"/>
    </row>
    <row r="15" spans="2:12" hidden="1">
      <c r="B15" s="63"/>
      <c r="C15" s="1001" t="s">
        <v>115</v>
      </c>
      <c r="D15" s="1001"/>
      <c r="E15" s="1001"/>
      <c r="F15" s="68"/>
      <c r="G15" s="68">
        <v>2</v>
      </c>
      <c r="H15" s="68"/>
      <c r="I15" s="68">
        <v>3</v>
      </c>
      <c r="J15" s="68"/>
      <c r="K15" s="69">
        <f>TRUNC(G15*I15,2)</f>
        <v>6</v>
      </c>
      <c r="L15" s="67"/>
    </row>
    <row r="16" spans="2:12" hidden="1">
      <c r="B16" s="63"/>
      <c r="C16" s="1002" t="s">
        <v>116</v>
      </c>
      <c r="D16" s="1002"/>
      <c r="E16" s="1002"/>
      <c r="F16" s="1002"/>
      <c r="G16" s="1002"/>
      <c r="H16" s="1002"/>
      <c r="I16" s="1002"/>
      <c r="J16" s="1002"/>
      <c r="K16" s="70">
        <f>SUM(K15:K15)</f>
        <v>6</v>
      </c>
      <c r="L16" s="67"/>
    </row>
    <row r="17" spans="2:12" hidden="1"/>
    <row r="18" spans="2:12" ht="25.5" hidden="1" customHeight="1">
      <c r="B18" s="60" t="str">
        <f>'[6]PLANILHA ORÇAMENTÁRIA'!D13</f>
        <v>1.2</v>
      </c>
      <c r="C18" s="1003" t="str">
        <f>'[6]PLANILHA ORÇAMENTÁRIA'!E13</f>
        <v>LIMPEZA MECANIZADA DE TERRENO COM REMOCAO DE CAMADA VEGETAL, UTILIZANDO MOTONIVELADORA</v>
      </c>
      <c r="D18" s="1003"/>
      <c r="E18" s="1003"/>
      <c r="F18" s="1003"/>
      <c r="G18" s="1003"/>
      <c r="H18" s="1003"/>
      <c r="I18" s="1003"/>
      <c r="J18" s="1003"/>
      <c r="K18" s="61" t="str">
        <f>'[6]PLANILHA ORÇAMENTÁRIA'!F13</f>
        <v>M2</v>
      </c>
      <c r="L18" s="62">
        <f>K21</f>
        <v>780.75</v>
      </c>
    </row>
    <row r="19" spans="2:12" hidden="1">
      <c r="B19" s="63"/>
      <c r="C19" s="1004" t="s">
        <v>20</v>
      </c>
      <c r="D19" s="1004"/>
      <c r="E19" s="1004"/>
      <c r="F19" s="64" t="s">
        <v>117</v>
      </c>
      <c r="G19" s="225" t="s">
        <v>111</v>
      </c>
      <c r="H19" s="64" t="s">
        <v>112</v>
      </c>
      <c r="I19" s="225" t="s">
        <v>113</v>
      </c>
      <c r="J19" s="225" t="s">
        <v>114</v>
      </c>
      <c r="K19" s="66" t="s">
        <v>25</v>
      </c>
      <c r="L19" s="67"/>
    </row>
    <row r="20" spans="2:12" ht="27.75" hidden="1" customHeight="1">
      <c r="B20" s="63"/>
      <c r="C20" s="1001" t="s">
        <v>118</v>
      </c>
      <c r="D20" s="1001"/>
      <c r="E20" s="1001"/>
      <c r="F20" s="68">
        <v>780.75</v>
      </c>
      <c r="G20" s="68"/>
      <c r="H20" s="68"/>
      <c r="I20" s="68"/>
      <c r="J20" s="68"/>
      <c r="K20" s="69">
        <f>F20</f>
        <v>780.75</v>
      </c>
      <c r="L20" s="67"/>
    </row>
    <row r="21" spans="2:12" hidden="1">
      <c r="B21" s="63"/>
      <c r="C21" s="1002" t="s">
        <v>116</v>
      </c>
      <c r="D21" s="1002"/>
      <c r="E21" s="1002"/>
      <c r="F21" s="1002"/>
      <c r="G21" s="1002"/>
      <c r="H21" s="1002"/>
      <c r="I21" s="1002"/>
      <c r="J21" s="1002"/>
      <c r="K21" s="70">
        <f>SUM(K20:K20)</f>
        <v>780.75</v>
      </c>
      <c r="L21" s="67"/>
    </row>
    <row r="22" spans="2:12" hidden="1">
      <c r="B22" s="63"/>
      <c r="C22" s="71"/>
      <c r="D22" s="71"/>
      <c r="E22" s="71"/>
      <c r="F22" s="71"/>
      <c r="G22" s="71"/>
      <c r="H22" s="71"/>
      <c r="I22" s="71"/>
      <c r="J22" s="71"/>
      <c r="K22" s="72"/>
      <c r="L22" s="67"/>
    </row>
    <row r="23" spans="2:12" ht="15" hidden="1" customHeight="1">
      <c r="B23" s="60" t="str">
        <f>'[6]PLANILHA ORÇAMENTÁRIA'!D14</f>
        <v>1.3</v>
      </c>
      <c r="C23" s="1003" t="str">
        <f>'[6]PLANILHA ORÇAMENTÁRIA'!E14</f>
        <v>LOCAÇÃO DA OBRA - EXECUÇÃO DE GABARITO</v>
      </c>
      <c r="D23" s="1003"/>
      <c r="E23" s="1003"/>
      <c r="F23" s="1003"/>
      <c r="G23" s="1003"/>
      <c r="H23" s="1003"/>
      <c r="I23" s="1003"/>
      <c r="J23" s="1003"/>
      <c r="K23" s="61" t="str">
        <f>'[6]PLANILHA ORÇAMENTÁRIA'!F14</f>
        <v>M2</v>
      </c>
      <c r="L23" s="62">
        <f>K27</f>
        <v>157.78</v>
      </c>
    </row>
    <row r="24" spans="2:12" hidden="1">
      <c r="B24" s="63"/>
      <c r="C24" s="1004" t="s">
        <v>20</v>
      </c>
      <c r="D24" s="1004"/>
      <c r="E24" s="1004"/>
      <c r="F24" s="64" t="s">
        <v>22</v>
      </c>
      <c r="G24" s="225" t="s">
        <v>111</v>
      </c>
      <c r="H24" s="64" t="s">
        <v>112</v>
      </c>
      <c r="I24" s="225" t="s">
        <v>113</v>
      </c>
      <c r="J24" s="225" t="s">
        <v>114</v>
      </c>
      <c r="K24" s="66" t="s">
        <v>25</v>
      </c>
      <c r="L24" s="67"/>
    </row>
    <row r="25" spans="2:12" hidden="1">
      <c r="B25" s="63"/>
      <c r="C25" s="1001" t="s">
        <v>119</v>
      </c>
      <c r="D25" s="1001"/>
      <c r="E25" s="1001"/>
      <c r="F25" s="68">
        <v>1</v>
      </c>
      <c r="G25" s="68"/>
      <c r="H25" s="68">
        <v>6.7</v>
      </c>
      <c r="I25" s="68">
        <v>12</v>
      </c>
      <c r="J25" s="68"/>
      <c r="K25" s="69">
        <f>PRODUCT(F25:I25)</f>
        <v>80.400000000000006</v>
      </c>
      <c r="L25" s="67"/>
    </row>
    <row r="26" spans="2:12" hidden="1">
      <c r="B26" s="63"/>
      <c r="C26" s="1001" t="s">
        <v>120</v>
      </c>
      <c r="D26" s="1001"/>
      <c r="E26" s="1001"/>
      <c r="F26" s="68">
        <v>4</v>
      </c>
      <c r="G26" s="68"/>
      <c r="H26" s="68">
        <v>3.65</v>
      </c>
      <c r="I26" s="68">
        <v>5.3</v>
      </c>
      <c r="J26" s="68"/>
      <c r="K26" s="69">
        <f>PRODUCT(F26:I26)</f>
        <v>77.38</v>
      </c>
      <c r="L26" s="67"/>
    </row>
    <row r="27" spans="2:12" hidden="1">
      <c r="B27" s="63"/>
      <c r="C27" s="1002" t="s">
        <v>116</v>
      </c>
      <c r="D27" s="1002"/>
      <c r="E27" s="1002"/>
      <c r="F27" s="1002"/>
      <c r="G27" s="1002"/>
      <c r="H27" s="1002"/>
      <c r="I27" s="1002"/>
      <c r="J27" s="1002"/>
      <c r="K27" s="70">
        <f>SUM(K25:K26)</f>
        <v>157.78</v>
      </c>
      <c r="L27" s="67"/>
    </row>
    <row r="28" spans="2:12" hidden="1">
      <c r="B28" s="63"/>
      <c r="C28" s="71"/>
      <c r="D28" s="71"/>
      <c r="E28" s="71"/>
      <c r="F28" s="71"/>
      <c r="G28" s="71"/>
      <c r="H28" s="71"/>
      <c r="I28" s="71"/>
      <c r="J28" s="71"/>
      <c r="K28" s="72"/>
      <c r="L28" s="67"/>
    </row>
    <row r="29" spans="2:12" hidden="1">
      <c r="B29" s="58" t="str">
        <f>'[6]PLANILHA ORÇAMENTÁRIA'!D15</f>
        <v>2.0</v>
      </c>
      <c r="C29" s="1000" t="str">
        <f>'[6]PLANILHA ORÇAMENTÁRIA'!E15</f>
        <v>DEMOLIÇÕES</v>
      </c>
      <c r="D29" s="1000"/>
      <c r="E29" s="1000"/>
      <c r="F29" s="1000"/>
      <c r="G29" s="1000"/>
      <c r="H29" s="1000"/>
      <c r="I29" s="1000"/>
      <c r="J29" s="1000"/>
      <c r="K29" s="59"/>
      <c r="L29" s="59"/>
    </row>
    <row r="30" spans="2:12" ht="23.25" hidden="1" customHeight="1">
      <c r="B30" s="60" t="str">
        <f>'[6]PLANILHA ORÇAMENTÁRIA'!D16</f>
        <v>2.1</v>
      </c>
      <c r="C30" s="1003" t="str">
        <f>'[6]PLANILHA ORÇAMENTÁRIA'!E16</f>
        <v>DEMOLIÇÃO DE ALVENARIA DE BLOCO FURADO, SEM REAPROVEITAMENTO, INCLUSIVE REVESTIMENTO.</v>
      </c>
      <c r="D30" s="1003"/>
      <c r="E30" s="1003"/>
      <c r="F30" s="1003"/>
      <c r="G30" s="1003"/>
      <c r="H30" s="1003"/>
      <c r="I30" s="1003"/>
      <c r="J30" s="1003"/>
      <c r="K30" s="61" t="str">
        <f>'[6]PLANILHA ORÇAMENTÁRIA'!F16</f>
        <v>M3</v>
      </c>
      <c r="L30" s="62">
        <f>K33</f>
        <v>17.39</v>
      </c>
    </row>
    <row r="31" spans="2:12" hidden="1">
      <c r="B31" s="63"/>
      <c r="C31" s="1004" t="s">
        <v>20</v>
      </c>
      <c r="D31" s="1004"/>
      <c r="E31" s="1004"/>
      <c r="F31" s="64" t="s">
        <v>117</v>
      </c>
      <c r="G31" s="225" t="s">
        <v>111</v>
      </c>
      <c r="H31" s="64" t="s">
        <v>112</v>
      </c>
      <c r="I31" s="225" t="s">
        <v>113</v>
      </c>
      <c r="J31" s="225" t="s">
        <v>114</v>
      </c>
      <c r="K31" s="66" t="s">
        <v>25</v>
      </c>
      <c r="L31" s="67"/>
    </row>
    <row r="32" spans="2:12" hidden="1">
      <c r="B32" s="63"/>
      <c r="C32" s="1001" t="s">
        <v>121</v>
      </c>
      <c r="D32" s="1001"/>
      <c r="E32" s="1001"/>
      <c r="F32" s="68"/>
      <c r="G32" s="68">
        <v>2.2000000000000002</v>
      </c>
      <c r="H32" s="68">
        <v>0.15</v>
      </c>
      <c r="I32" s="68">
        <v>52.71</v>
      </c>
      <c r="J32" s="68"/>
      <c r="K32" s="69">
        <f>TRUNC(I32*G32*H32,2)</f>
        <v>17.39</v>
      </c>
      <c r="L32" s="67"/>
    </row>
    <row r="33" spans="2:12" hidden="1">
      <c r="B33" s="63"/>
      <c r="C33" s="1002" t="s">
        <v>116</v>
      </c>
      <c r="D33" s="1002"/>
      <c r="E33" s="1002"/>
      <c r="F33" s="1002"/>
      <c r="G33" s="1002"/>
      <c r="H33" s="1002"/>
      <c r="I33" s="1002"/>
      <c r="J33" s="1002"/>
      <c r="K33" s="70">
        <f>SUM(K32:K32)</f>
        <v>17.39</v>
      </c>
      <c r="L33" s="67"/>
    </row>
    <row r="34" spans="2:12" hidden="1">
      <c r="B34" s="63"/>
      <c r="C34" s="71"/>
      <c r="D34" s="71"/>
      <c r="E34" s="71"/>
      <c r="F34" s="71"/>
      <c r="G34" s="71"/>
      <c r="H34" s="71"/>
      <c r="I34" s="71"/>
      <c r="J34" s="71"/>
      <c r="K34" s="72"/>
      <c r="L34" s="67"/>
    </row>
    <row r="35" spans="2:12" hidden="1">
      <c r="B35" s="58" t="str">
        <f>'[6]PLANILHA ORÇAMENTÁRIA'!D17</f>
        <v>3.0</v>
      </c>
      <c r="C35" s="1000" t="str">
        <f>'[6]PLANILHA ORÇAMENTÁRIA'!E17</f>
        <v>TRABALHOS EM TERRA</v>
      </c>
      <c r="D35" s="1000"/>
      <c r="E35" s="1000"/>
      <c r="F35" s="1000"/>
      <c r="G35" s="1000"/>
      <c r="H35" s="1000"/>
      <c r="I35" s="1000"/>
      <c r="J35" s="1000"/>
      <c r="K35" s="59"/>
      <c r="L35" s="59"/>
    </row>
    <row r="36" spans="2:12" ht="15" hidden="1" customHeight="1">
      <c r="B36" s="60" t="str">
        <f>'[6]PLANILHA ORÇAMENTÁRIA'!D18</f>
        <v>3.1</v>
      </c>
      <c r="C36" s="1003" t="str">
        <f>'[6]PLANILHA ORÇAMENTÁRIA'!E18</f>
        <v>CORTE E ATERRO COMPENSADO</v>
      </c>
      <c r="D36" s="1003"/>
      <c r="E36" s="1003"/>
      <c r="F36" s="1003"/>
      <c r="G36" s="1003"/>
      <c r="H36" s="1003"/>
      <c r="I36" s="1003"/>
      <c r="J36" s="1003"/>
      <c r="K36" s="61" t="str">
        <f>'[6]PLANILHA ORÇAMENTÁRIA'!F18</f>
        <v>M3</v>
      </c>
      <c r="L36" s="62">
        <f>K39</f>
        <v>156.15</v>
      </c>
    </row>
    <row r="37" spans="2:12" hidden="1">
      <c r="B37" s="63"/>
      <c r="C37" s="1004" t="s">
        <v>20</v>
      </c>
      <c r="D37" s="1004"/>
      <c r="E37" s="1004"/>
      <c r="F37" s="64" t="s">
        <v>117</v>
      </c>
      <c r="G37" s="225" t="s">
        <v>111</v>
      </c>
      <c r="H37" s="64" t="s">
        <v>112</v>
      </c>
      <c r="I37" s="225" t="s">
        <v>113</v>
      </c>
      <c r="J37" s="225" t="s">
        <v>114</v>
      </c>
      <c r="K37" s="66" t="s">
        <v>25</v>
      </c>
      <c r="L37" s="67"/>
    </row>
    <row r="38" spans="2:12" hidden="1">
      <c r="B38" s="63"/>
      <c r="C38" s="1001" t="s">
        <v>122</v>
      </c>
      <c r="D38" s="1001"/>
      <c r="E38" s="1001"/>
      <c r="F38" s="68">
        <f>F20</f>
        <v>780.75</v>
      </c>
      <c r="G38" s="68">
        <v>0.2</v>
      </c>
      <c r="H38" s="68"/>
      <c r="I38" s="68"/>
      <c r="J38" s="68"/>
      <c r="K38" s="69">
        <f>TRUNC(F38*G38,2)</f>
        <v>156.15</v>
      </c>
      <c r="L38" s="67"/>
    </row>
    <row r="39" spans="2:12" hidden="1">
      <c r="B39" s="63"/>
      <c r="C39" s="1002" t="s">
        <v>116</v>
      </c>
      <c r="D39" s="1002"/>
      <c r="E39" s="1002"/>
      <c r="F39" s="1002"/>
      <c r="G39" s="1002"/>
      <c r="H39" s="1002"/>
      <c r="I39" s="1002"/>
      <c r="J39" s="1002"/>
      <c r="K39" s="70">
        <f>SUM(K38:K38)</f>
        <v>156.15</v>
      </c>
      <c r="L39" s="67"/>
    </row>
    <row r="40" spans="2:12" hidden="1"/>
    <row r="41" spans="2:12" ht="15" hidden="1" customHeight="1">
      <c r="B41" s="60" t="str">
        <f>'[6]PLANILHA ORÇAMENTÁRIA'!D19</f>
        <v>3.2</v>
      </c>
      <c r="C41" s="1003" t="str">
        <f>'[6]PLANILHA ORÇAMENTÁRIA'!E19</f>
        <v>ESCAVAÇÃO MANUAL DE VALA COM PROFUNDIDADE MENOR OU IGUAL A 1,30 M. AF_ 03/2016</v>
      </c>
      <c r="D41" s="1003"/>
      <c r="E41" s="1003"/>
      <c r="F41" s="1003"/>
      <c r="G41" s="1003"/>
      <c r="H41" s="1003"/>
      <c r="I41" s="1003"/>
      <c r="J41" s="1003"/>
      <c r="K41" s="61" t="str">
        <f>'[6]PLANILHA ORÇAMENTÁRIA'!F19</f>
        <v>M3</v>
      </c>
      <c r="L41" s="62">
        <f>K49</f>
        <v>12.827999999999999</v>
      </c>
    </row>
    <row r="42" spans="2:12" hidden="1">
      <c r="B42" s="63"/>
      <c r="C42" s="1004" t="s">
        <v>20</v>
      </c>
      <c r="D42" s="1004"/>
      <c r="E42" s="1004"/>
      <c r="F42" s="64" t="s">
        <v>22</v>
      </c>
      <c r="G42" s="225" t="s">
        <v>111</v>
      </c>
      <c r="H42" s="64" t="s">
        <v>112</v>
      </c>
      <c r="I42" s="225" t="s">
        <v>113</v>
      </c>
      <c r="J42" s="225" t="s">
        <v>114</v>
      </c>
      <c r="K42" s="66" t="s">
        <v>25</v>
      </c>
      <c r="L42" s="67"/>
    </row>
    <row r="43" spans="2:12" hidden="1">
      <c r="B43" s="63"/>
      <c r="C43" s="1001" t="s">
        <v>123</v>
      </c>
      <c r="D43" s="1001"/>
      <c r="E43" s="1001"/>
      <c r="F43" s="68">
        <v>2</v>
      </c>
      <c r="G43" s="68">
        <v>0.6</v>
      </c>
      <c r="H43" s="68">
        <v>0.4</v>
      </c>
      <c r="I43" s="68">
        <v>5.4</v>
      </c>
      <c r="J43" s="68"/>
      <c r="K43" s="69">
        <f t="shared" ref="K43:K48" si="0">PRODUCT(F43:I43)</f>
        <v>2.5920000000000001</v>
      </c>
      <c r="L43" s="67"/>
    </row>
    <row r="44" spans="2:12" hidden="1">
      <c r="B44" s="63"/>
      <c r="C44" s="1001" t="s">
        <v>124</v>
      </c>
      <c r="D44" s="1001"/>
      <c r="E44" s="1001"/>
      <c r="F44" s="68">
        <v>2</v>
      </c>
      <c r="G44" s="68">
        <v>0.6</v>
      </c>
      <c r="H44" s="68">
        <v>0.4</v>
      </c>
      <c r="I44" s="68">
        <v>3.6</v>
      </c>
      <c r="J44" s="68"/>
      <c r="K44" s="69">
        <f t="shared" si="0"/>
        <v>1.728</v>
      </c>
      <c r="L44" s="67"/>
    </row>
    <row r="45" spans="2:12" hidden="1">
      <c r="B45" s="63"/>
      <c r="C45" s="1001" t="s">
        <v>125</v>
      </c>
      <c r="D45" s="1001"/>
      <c r="E45" s="1001"/>
      <c r="F45" s="68">
        <v>1</v>
      </c>
      <c r="G45" s="68">
        <v>0.6</v>
      </c>
      <c r="H45" s="68">
        <v>0.4</v>
      </c>
      <c r="I45" s="68">
        <v>4.2</v>
      </c>
      <c r="J45" s="68"/>
      <c r="K45" s="69">
        <f t="shared" si="0"/>
        <v>1.008</v>
      </c>
      <c r="L45" s="67"/>
    </row>
    <row r="46" spans="2:12" hidden="1">
      <c r="B46" s="63"/>
      <c r="C46" s="1001" t="s">
        <v>126</v>
      </c>
      <c r="D46" s="1001"/>
      <c r="E46" s="1001"/>
      <c r="F46" s="68">
        <v>1</v>
      </c>
      <c r="G46" s="68">
        <v>0.6</v>
      </c>
      <c r="H46" s="68">
        <v>0.4</v>
      </c>
      <c r="I46" s="68">
        <v>3.15</v>
      </c>
      <c r="J46" s="68"/>
      <c r="K46" s="69">
        <f t="shared" si="0"/>
        <v>0.75600000000000001</v>
      </c>
      <c r="L46" s="67"/>
    </row>
    <row r="47" spans="2:12" hidden="1">
      <c r="B47" s="63"/>
      <c r="C47" s="1001" t="s">
        <v>127</v>
      </c>
      <c r="D47" s="1001"/>
      <c r="E47" s="1001"/>
      <c r="F47" s="68">
        <v>1</v>
      </c>
      <c r="G47" s="68">
        <v>0.6</v>
      </c>
      <c r="H47" s="68">
        <v>0.4</v>
      </c>
      <c r="I47" s="68">
        <f>5.7+5.7+4.7</f>
        <v>16.100000000000001</v>
      </c>
      <c r="J47" s="68"/>
      <c r="K47" s="69">
        <f t="shared" si="0"/>
        <v>3.8640000000000003</v>
      </c>
      <c r="L47" s="67"/>
    </row>
    <row r="48" spans="2:12" hidden="1">
      <c r="B48" s="63"/>
      <c r="C48" s="1001" t="s">
        <v>128</v>
      </c>
      <c r="D48" s="1001"/>
      <c r="E48" s="1001"/>
      <c r="F48" s="68">
        <v>8</v>
      </c>
      <c r="G48" s="68">
        <v>1</v>
      </c>
      <c r="H48" s="68">
        <v>0.6</v>
      </c>
      <c r="I48" s="68">
        <v>0.6</v>
      </c>
      <c r="J48" s="68"/>
      <c r="K48" s="69">
        <f t="shared" si="0"/>
        <v>2.88</v>
      </c>
      <c r="L48" s="67"/>
    </row>
    <row r="49" spans="2:12" hidden="1">
      <c r="B49" s="63"/>
      <c r="C49" s="1002" t="s">
        <v>116</v>
      </c>
      <c r="D49" s="1002"/>
      <c r="E49" s="1002"/>
      <c r="F49" s="1002"/>
      <c r="G49" s="1002"/>
      <c r="H49" s="1002"/>
      <c r="I49" s="1002"/>
      <c r="J49" s="1002"/>
      <c r="K49" s="70">
        <f>SUM(K43:K48)</f>
        <v>12.827999999999999</v>
      </c>
      <c r="L49" s="67"/>
    </row>
    <row r="50" spans="2:12" hidden="1"/>
    <row r="51" spans="2:12" ht="15" hidden="1" customHeight="1">
      <c r="B51" s="60" t="str">
        <f>'[6]PLANILHA ORÇAMENTÁRIA'!D20</f>
        <v>3.3</v>
      </c>
      <c r="C51" s="1003" t="str">
        <f>'[6]PLANILHA ORÇAMENTÁRIA'!E20</f>
        <v>REATERRO MANUAL APILOADO COM SOQUETE</v>
      </c>
      <c r="D51" s="1003"/>
      <c r="E51" s="1003"/>
      <c r="F51" s="1003"/>
      <c r="G51" s="1003"/>
      <c r="H51" s="1003"/>
      <c r="I51" s="1003"/>
      <c r="J51" s="1003"/>
      <c r="K51" s="61" t="str">
        <f>'[6]PLANILHA ORÇAMENTÁRIA'!F20</f>
        <v>M3</v>
      </c>
      <c r="L51" s="62">
        <f>K54</f>
        <v>4.0992499999999996</v>
      </c>
    </row>
    <row r="52" spans="2:12" hidden="1">
      <c r="B52" s="63"/>
      <c r="C52" s="1004" t="s">
        <v>20</v>
      </c>
      <c r="D52" s="1004"/>
      <c r="E52" s="1004"/>
      <c r="F52" s="64" t="s">
        <v>129</v>
      </c>
      <c r="G52" s="225" t="s">
        <v>130</v>
      </c>
      <c r="H52" s="64" t="s">
        <v>131</v>
      </c>
      <c r="I52" s="225" t="s">
        <v>132</v>
      </c>
      <c r="J52" s="225"/>
      <c r="K52" s="66" t="s">
        <v>25</v>
      </c>
      <c r="L52" s="67"/>
    </row>
    <row r="53" spans="2:12" hidden="1">
      <c r="B53" s="63"/>
      <c r="C53" s="1001"/>
      <c r="D53" s="1001"/>
      <c r="E53" s="1001"/>
      <c r="F53" s="68">
        <f>L41</f>
        <v>12.827999999999999</v>
      </c>
      <c r="G53" s="68">
        <f>L67</f>
        <v>3.4812500000000002</v>
      </c>
      <c r="H53" s="68">
        <f>L76</f>
        <v>4.1775000000000002</v>
      </c>
      <c r="I53" s="68">
        <v>1.07</v>
      </c>
      <c r="J53" s="68"/>
      <c r="K53" s="69">
        <f>F53-G53-H53-I53</f>
        <v>4.0992499999999996</v>
      </c>
      <c r="L53" s="67"/>
    </row>
    <row r="54" spans="2:12" hidden="1">
      <c r="B54" s="63"/>
      <c r="C54" s="1002" t="s">
        <v>116</v>
      </c>
      <c r="D54" s="1002"/>
      <c r="E54" s="1002"/>
      <c r="F54" s="1002"/>
      <c r="G54" s="1002"/>
      <c r="H54" s="1002"/>
      <c r="I54" s="1002"/>
      <c r="J54" s="1002"/>
      <c r="K54" s="70">
        <f>SUM(K53:K53)</f>
        <v>4.0992499999999996</v>
      </c>
      <c r="L54" s="67"/>
    </row>
    <row r="55" spans="2:12" hidden="1"/>
    <row r="56" spans="2:12" hidden="1">
      <c r="B56" s="58" t="str">
        <f>'[6]PLANILHA ORÇAMENTÁRIA'!D21</f>
        <v>4.0</v>
      </c>
      <c r="C56" s="1000" t="str">
        <f>'[6]PLANILHA ORÇAMENTÁRIA'!E21</f>
        <v>FUNDAÇÃO</v>
      </c>
      <c r="D56" s="1000"/>
      <c r="E56" s="1000"/>
      <c r="F56" s="1000"/>
      <c r="G56" s="1000"/>
      <c r="H56" s="1000"/>
      <c r="I56" s="1000"/>
      <c r="J56" s="1000"/>
      <c r="K56" s="59"/>
      <c r="L56" s="59"/>
    </row>
    <row r="57" spans="2:12" ht="24.75" hidden="1" customHeight="1">
      <c r="B57" s="60" t="str">
        <f>'[6]PLANILHA ORÇAMENTÁRIA'!D22</f>
        <v>4.1</v>
      </c>
      <c r="C57" s="1003" t="str">
        <f>'[6]PLANILHA ORÇAMENTÁRIA'!E22</f>
        <v>LASTRO DE CONCRETO MAGRO, APLICADO EM BLOCOS DE COROAMENTO OU SAPATAS, ESPESSURA DE 5 CM. AF_08/2017</v>
      </c>
      <c r="D57" s="1003"/>
      <c r="E57" s="1003"/>
      <c r="F57" s="1003"/>
      <c r="G57" s="1003"/>
      <c r="H57" s="1003"/>
      <c r="I57" s="1003"/>
      <c r="J57" s="1003"/>
      <c r="K57" s="61" t="str">
        <f>'[6]PLANILHA ORÇAMENTÁRIA'!F22</f>
        <v>M2</v>
      </c>
      <c r="L57" s="62">
        <f>K65</f>
        <v>21.532500000000002</v>
      </c>
    </row>
    <row r="58" spans="2:12" hidden="1">
      <c r="B58" s="63"/>
      <c r="C58" s="1004" t="s">
        <v>20</v>
      </c>
      <c r="D58" s="1004"/>
      <c r="E58" s="1004"/>
      <c r="F58" s="64" t="s">
        <v>22</v>
      </c>
      <c r="G58" s="225" t="s">
        <v>111</v>
      </c>
      <c r="H58" s="64" t="s">
        <v>112</v>
      </c>
      <c r="I58" s="225" t="s">
        <v>113</v>
      </c>
      <c r="J58" s="225" t="s">
        <v>114</v>
      </c>
      <c r="K58" s="66" t="s">
        <v>25</v>
      </c>
      <c r="L58" s="67"/>
    </row>
    <row r="59" spans="2:12" hidden="1">
      <c r="B59" s="63"/>
      <c r="C59" s="1001" t="s">
        <v>123</v>
      </c>
      <c r="D59" s="1001"/>
      <c r="E59" s="1001"/>
      <c r="F59" s="68">
        <v>2</v>
      </c>
      <c r="G59" s="68"/>
      <c r="H59" s="68">
        <v>0.45</v>
      </c>
      <c r="I59" s="68">
        <v>5.4</v>
      </c>
      <c r="J59" s="68"/>
      <c r="K59" s="69">
        <f t="shared" ref="K59:K64" si="1">PRODUCT(F59:I59)</f>
        <v>4.8600000000000003</v>
      </c>
      <c r="L59" s="67"/>
    </row>
    <row r="60" spans="2:12" hidden="1">
      <c r="B60" s="63"/>
      <c r="C60" s="1001" t="s">
        <v>124</v>
      </c>
      <c r="D60" s="1001"/>
      <c r="E60" s="1001"/>
      <c r="F60" s="68">
        <v>2</v>
      </c>
      <c r="G60" s="68"/>
      <c r="H60" s="68">
        <v>0.45</v>
      </c>
      <c r="I60" s="68">
        <v>3.6</v>
      </c>
      <c r="J60" s="68"/>
      <c r="K60" s="69">
        <f t="shared" si="1"/>
        <v>3.24</v>
      </c>
      <c r="L60" s="67"/>
    </row>
    <row r="61" spans="2:12" hidden="1">
      <c r="B61" s="63"/>
      <c r="C61" s="1001" t="s">
        <v>125</v>
      </c>
      <c r="D61" s="1001"/>
      <c r="E61" s="1001"/>
      <c r="F61" s="68">
        <v>1</v>
      </c>
      <c r="G61" s="68"/>
      <c r="H61" s="68">
        <v>0.45</v>
      </c>
      <c r="I61" s="68">
        <v>4.2</v>
      </c>
      <c r="J61" s="68"/>
      <c r="K61" s="69">
        <f t="shared" si="1"/>
        <v>1.8900000000000001</v>
      </c>
      <c r="L61" s="67"/>
    </row>
    <row r="62" spans="2:12" hidden="1">
      <c r="B62" s="63"/>
      <c r="C62" s="1001" t="s">
        <v>126</v>
      </c>
      <c r="D62" s="1001"/>
      <c r="E62" s="1001"/>
      <c r="F62" s="68">
        <v>1</v>
      </c>
      <c r="G62" s="68"/>
      <c r="H62" s="68">
        <v>0.45</v>
      </c>
      <c r="I62" s="68">
        <v>3.15</v>
      </c>
      <c r="J62" s="68"/>
      <c r="K62" s="69">
        <f t="shared" si="1"/>
        <v>1.4175</v>
      </c>
      <c r="L62" s="67"/>
    </row>
    <row r="63" spans="2:12" hidden="1">
      <c r="B63" s="63"/>
      <c r="C63" s="1001" t="s">
        <v>127</v>
      </c>
      <c r="D63" s="1001"/>
      <c r="E63" s="1001"/>
      <c r="F63" s="68">
        <v>1</v>
      </c>
      <c r="G63" s="68"/>
      <c r="H63" s="68">
        <v>0.45</v>
      </c>
      <c r="I63" s="68">
        <f>5.7+5.7+4.7</f>
        <v>16.100000000000001</v>
      </c>
      <c r="J63" s="68"/>
      <c r="K63" s="69">
        <f t="shared" si="1"/>
        <v>7.245000000000001</v>
      </c>
      <c r="L63" s="67"/>
    </row>
    <row r="64" spans="2:12" hidden="1">
      <c r="B64" s="63"/>
      <c r="C64" s="1001" t="s">
        <v>128</v>
      </c>
      <c r="D64" s="1001"/>
      <c r="E64" s="1001"/>
      <c r="F64" s="68">
        <v>8</v>
      </c>
      <c r="G64" s="68"/>
      <c r="H64" s="68">
        <v>0.6</v>
      </c>
      <c r="I64" s="68">
        <v>0.6</v>
      </c>
      <c r="J64" s="68"/>
      <c r="K64" s="69">
        <f t="shared" si="1"/>
        <v>2.88</v>
      </c>
      <c r="L64" s="67"/>
    </row>
    <row r="65" spans="2:12" hidden="1">
      <c r="B65" s="63"/>
      <c r="C65" s="1002" t="s">
        <v>116</v>
      </c>
      <c r="D65" s="1002"/>
      <c r="E65" s="1002"/>
      <c r="F65" s="1002"/>
      <c r="G65" s="1002"/>
      <c r="H65" s="1002"/>
      <c r="I65" s="1002"/>
      <c r="J65" s="1002"/>
      <c r="K65" s="70">
        <f>SUM(K59:K64)</f>
        <v>21.532500000000002</v>
      </c>
      <c r="L65" s="67"/>
    </row>
    <row r="66" spans="2:12" hidden="1">
      <c r="B66" s="63"/>
      <c r="C66" s="71"/>
      <c r="D66" s="71"/>
      <c r="E66" s="71"/>
      <c r="F66" s="71"/>
      <c r="G66" s="71"/>
      <c r="H66" s="71"/>
      <c r="I66" s="71"/>
      <c r="J66" s="71"/>
      <c r="K66" s="72"/>
      <c r="L66" s="67"/>
    </row>
    <row r="67" spans="2:12" ht="15" hidden="1" customHeight="1">
      <c r="B67" s="60" t="str">
        <f>'[6]PLANILHA ORÇAMENTÁRIA'!D23</f>
        <v>4.2</v>
      </c>
      <c r="C67" s="1003" t="str">
        <f>'[6]PLANILHA ORÇAMENTÁRIA'!E23</f>
        <v>EMBASAMENTO C/PEDRA ARGAMASSADA UTILIZANDO ARG.CIM/AREIA 1:4</v>
      </c>
      <c r="D67" s="1003"/>
      <c r="E67" s="1003"/>
      <c r="F67" s="1003"/>
      <c r="G67" s="1003"/>
      <c r="H67" s="1003"/>
      <c r="I67" s="1003"/>
      <c r="J67" s="1003"/>
      <c r="K67" s="61" t="str">
        <f>'[6]PLANILHA ORÇAMENTÁRIA'!F23</f>
        <v>M3</v>
      </c>
      <c r="L67" s="62">
        <f>K74</f>
        <v>3.4812500000000002</v>
      </c>
    </row>
    <row r="68" spans="2:12" hidden="1">
      <c r="B68" s="63"/>
      <c r="C68" s="1004" t="s">
        <v>20</v>
      </c>
      <c r="D68" s="1004"/>
      <c r="E68" s="1004"/>
      <c r="F68" s="64" t="s">
        <v>22</v>
      </c>
      <c r="G68" s="225" t="s">
        <v>111</v>
      </c>
      <c r="H68" s="64" t="s">
        <v>112</v>
      </c>
      <c r="I68" s="225" t="s">
        <v>113</v>
      </c>
      <c r="J68" s="225" t="s">
        <v>114</v>
      </c>
      <c r="K68" s="66" t="s">
        <v>25</v>
      </c>
      <c r="L68" s="67"/>
    </row>
    <row r="69" spans="2:12" hidden="1">
      <c r="B69" s="63"/>
      <c r="C69" s="1001" t="s">
        <v>123</v>
      </c>
      <c r="D69" s="1001"/>
      <c r="E69" s="1001"/>
      <c r="F69" s="68">
        <v>2</v>
      </c>
      <c r="G69" s="68">
        <v>0.25</v>
      </c>
      <c r="H69" s="68">
        <v>0.4</v>
      </c>
      <c r="I69" s="68">
        <v>5.4</v>
      </c>
      <c r="J69" s="68"/>
      <c r="K69" s="69">
        <f>PRODUCT(F69:J69)</f>
        <v>1.08</v>
      </c>
      <c r="L69" s="67"/>
    </row>
    <row r="70" spans="2:12" hidden="1">
      <c r="B70" s="63"/>
      <c r="C70" s="1001" t="s">
        <v>124</v>
      </c>
      <c r="D70" s="1001"/>
      <c r="E70" s="1001"/>
      <c r="F70" s="68">
        <v>2</v>
      </c>
      <c r="G70" s="68">
        <v>0.25</v>
      </c>
      <c r="H70" s="68">
        <v>0.4</v>
      </c>
      <c r="I70" s="68">
        <v>3.6</v>
      </c>
      <c r="J70" s="68"/>
      <c r="K70" s="69">
        <f>PRODUCT(F70:J70)</f>
        <v>0.72000000000000008</v>
      </c>
      <c r="L70" s="67"/>
    </row>
    <row r="71" spans="2:12" hidden="1">
      <c r="B71" s="63"/>
      <c r="C71" s="1001" t="s">
        <v>125</v>
      </c>
      <c r="D71" s="1001"/>
      <c r="E71" s="1001"/>
      <c r="F71" s="68">
        <v>1</v>
      </c>
      <c r="G71" s="68">
        <v>0.25</v>
      </c>
      <c r="H71" s="68">
        <v>0.4</v>
      </c>
      <c r="I71" s="68">
        <v>3.6</v>
      </c>
      <c r="J71" s="68"/>
      <c r="K71" s="69">
        <f>PRODUCT(F71:J71)</f>
        <v>0.36000000000000004</v>
      </c>
      <c r="L71" s="67"/>
    </row>
    <row r="72" spans="2:12" hidden="1">
      <c r="B72" s="63"/>
      <c r="C72" s="1001" t="s">
        <v>127</v>
      </c>
      <c r="D72" s="1001"/>
      <c r="E72" s="1001"/>
      <c r="F72" s="68">
        <v>1</v>
      </c>
      <c r="G72" s="68">
        <v>0.25</v>
      </c>
      <c r="H72" s="68">
        <v>0.25</v>
      </c>
      <c r="I72" s="68">
        <f>5.7+5.7+4.7</f>
        <v>16.100000000000001</v>
      </c>
      <c r="J72" s="68"/>
      <c r="K72" s="69">
        <f>PRODUCT(F72:I72)</f>
        <v>1.0062500000000001</v>
      </c>
      <c r="L72" s="67"/>
    </row>
    <row r="73" spans="2:12" hidden="1">
      <c r="B73" s="63"/>
      <c r="C73" s="1001" t="s">
        <v>126</v>
      </c>
      <c r="D73" s="1001"/>
      <c r="E73" s="1001"/>
      <c r="F73" s="68">
        <v>1</v>
      </c>
      <c r="G73" s="68">
        <v>0.25</v>
      </c>
      <c r="H73" s="68">
        <v>0.4</v>
      </c>
      <c r="I73" s="68">
        <v>3.15</v>
      </c>
      <c r="J73" s="68"/>
      <c r="K73" s="69">
        <f>PRODUCT(F73:J73)</f>
        <v>0.315</v>
      </c>
      <c r="L73" s="67"/>
    </row>
    <row r="74" spans="2:12" hidden="1">
      <c r="B74" s="63"/>
      <c r="C74" s="1002" t="s">
        <v>116</v>
      </c>
      <c r="D74" s="1002"/>
      <c r="E74" s="1002"/>
      <c r="F74" s="1002"/>
      <c r="G74" s="1002"/>
      <c r="H74" s="1002"/>
      <c r="I74" s="1002"/>
      <c r="J74" s="1002"/>
      <c r="K74" s="70">
        <f>SUM(K69:K73)</f>
        <v>3.4812500000000002</v>
      </c>
      <c r="L74" s="67"/>
    </row>
    <row r="75" spans="2:12" hidden="1">
      <c r="B75" s="63"/>
      <c r="C75" s="71"/>
      <c r="D75" s="71"/>
      <c r="E75" s="71"/>
      <c r="F75" s="71"/>
      <c r="G75" s="71"/>
      <c r="H75" s="71"/>
      <c r="I75" s="71"/>
      <c r="J75" s="71"/>
      <c r="K75" s="72"/>
      <c r="L75" s="67"/>
    </row>
    <row r="76" spans="2:12" ht="27" hidden="1" customHeight="1">
      <c r="B76" s="60" t="str">
        <f>'[6]PLANILHA ORÇAMENTÁRIA'!D24</f>
        <v>4.3</v>
      </c>
      <c r="C76" s="1003" t="str">
        <f>'[6]PLANILHA ORÇAMENTÁRIA'!E24</f>
        <v>ALVENARIA DE EMBASAMENTO EM BLOCO CERAMICO, 8 FUROS, DE 9 X 19 X 19 CM, ASSENTADO COM ARGAMASSA TRACO 1:2:8 (CIMENTO, CAL E AREIA)</v>
      </c>
      <c r="D76" s="1003"/>
      <c r="E76" s="1003"/>
      <c r="F76" s="1003"/>
      <c r="G76" s="1003"/>
      <c r="H76" s="1003"/>
      <c r="I76" s="1003"/>
      <c r="J76" s="1003"/>
      <c r="K76" s="61" t="str">
        <f>'[6]PLANILHA ORÇAMENTÁRIA'!F24</f>
        <v>M3</v>
      </c>
      <c r="L76" s="62">
        <f>K83</f>
        <v>4.1775000000000002</v>
      </c>
    </row>
    <row r="77" spans="2:12" hidden="1">
      <c r="B77" s="63"/>
      <c r="C77" s="1004" t="s">
        <v>20</v>
      </c>
      <c r="D77" s="1004"/>
      <c r="E77" s="1004"/>
      <c r="F77" s="64" t="s">
        <v>22</v>
      </c>
      <c r="G77" s="225" t="s">
        <v>111</v>
      </c>
      <c r="H77" s="64" t="s">
        <v>112</v>
      </c>
      <c r="I77" s="225" t="s">
        <v>113</v>
      </c>
      <c r="J77" s="225" t="s">
        <v>114</v>
      </c>
      <c r="K77" s="66" t="s">
        <v>25</v>
      </c>
      <c r="L77" s="67"/>
    </row>
    <row r="78" spans="2:12" hidden="1">
      <c r="B78" s="63"/>
      <c r="C78" s="1001" t="s">
        <v>123</v>
      </c>
      <c r="D78" s="1001"/>
      <c r="E78" s="1001"/>
      <c r="F78" s="68">
        <v>2</v>
      </c>
      <c r="G78" s="68">
        <v>0.3</v>
      </c>
      <c r="H78" s="68">
        <v>0.4</v>
      </c>
      <c r="I78" s="68">
        <v>5.4</v>
      </c>
      <c r="J78" s="68"/>
      <c r="K78" s="69">
        <f>PRODUCT(F78:J78)</f>
        <v>1.296</v>
      </c>
      <c r="L78" s="67"/>
    </row>
    <row r="79" spans="2:12" hidden="1">
      <c r="B79" s="63"/>
      <c r="C79" s="1001" t="s">
        <v>124</v>
      </c>
      <c r="D79" s="1001"/>
      <c r="E79" s="1001"/>
      <c r="F79" s="68">
        <v>2</v>
      </c>
      <c r="G79" s="68">
        <v>0.3</v>
      </c>
      <c r="H79" s="68">
        <v>0.4</v>
      </c>
      <c r="I79" s="68">
        <v>3.6</v>
      </c>
      <c r="J79" s="68"/>
      <c r="K79" s="69">
        <f>PRODUCT(F79:J79)</f>
        <v>0.86399999999999999</v>
      </c>
      <c r="L79" s="67"/>
    </row>
    <row r="80" spans="2:12" hidden="1">
      <c r="B80" s="63"/>
      <c r="C80" s="1001" t="s">
        <v>125</v>
      </c>
      <c r="D80" s="1001"/>
      <c r="E80" s="1001"/>
      <c r="F80" s="68">
        <v>1</v>
      </c>
      <c r="G80" s="68">
        <v>0.3</v>
      </c>
      <c r="H80" s="68">
        <v>0.4</v>
      </c>
      <c r="I80" s="68">
        <v>3.6</v>
      </c>
      <c r="J80" s="68"/>
      <c r="K80" s="69">
        <f>PRODUCT(F80:J80)</f>
        <v>0.432</v>
      </c>
      <c r="L80" s="67"/>
    </row>
    <row r="81" spans="2:12" hidden="1">
      <c r="B81" s="63"/>
      <c r="C81" s="1001" t="s">
        <v>127</v>
      </c>
      <c r="D81" s="1001"/>
      <c r="E81" s="1001"/>
      <c r="F81" s="68">
        <v>1</v>
      </c>
      <c r="G81" s="68">
        <v>0.3</v>
      </c>
      <c r="H81" s="68">
        <v>0.25</v>
      </c>
      <c r="I81" s="68">
        <f>5.7+5.7+4.7</f>
        <v>16.100000000000001</v>
      </c>
      <c r="J81" s="68"/>
      <c r="K81" s="69">
        <f>PRODUCT(F81:I81)</f>
        <v>1.2075</v>
      </c>
      <c r="L81" s="67"/>
    </row>
    <row r="82" spans="2:12" hidden="1">
      <c r="B82" s="63"/>
      <c r="C82" s="1001" t="s">
        <v>126</v>
      </c>
      <c r="D82" s="1001"/>
      <c r="E82" s="1001"/>
      <c r="F82" s="68">
        <v>1</v>
      </c>
      <c r="G82" s="68">
        <v>0.3</v>
      </c>
      <c r="H82" s="68">
        <v>0.4</v>
      </c>
      <c r="I82" s="68">
        <v>3.15</v>
      </c>
      <c r="J82" s="68"/>
      <c r="K82" s="69">
        <f>PRODUCT(F82:J82)</f>
        <v>0.378</v>
      </c>
      <c r="L82" s="67"/>
    </row>
    <row r="83" spans="2:12" hidden="1">
      <c r="B83" s="63"/>
      <c r="C83" s="1002" t="s">
        <v>116</v>
      </c>
      <c r="D83" s="1002"/>
      <c r="E83" s="1002"/>
      <c r="F83" s="1002"/>
      <c r="G83" s="1002"/>
      <c r="H83" s="1002"/>
      <c r="I83" s="1002"/>
      <c r="J83" s="1002"/>
      <c r="K83" s="70">
        <f>SUM(K78:K82)</f>
        <v>4.1775000000000002</v>
      </c>
      <c r="L83" s="67"/>
    </row>
    <row r="84" spans="2:12" hidden="1">
      <c r="B84" s="63"/>
      <c r="C84" s="71"/>
      <c r="D84" s="71"/>
      <c r="E84" s="71"/>
      <c r="F84" s="71"/>
      <c r="G84" s="71"/>
      <c r="H84" s="71"/>
      <c r="I84" s="71"/>
      <c r="J84" s="71"/>
      <c r="K84" s="72"/>
      <c r="L84" s="67"/>
    </row>
    <row r="85" spans="2:12" ht="29.25" hidden="1" customHeight="1">
      <c r="B85" s="60" t="str">
        <f>'[6]PLANILHA ORÇAMENTÁRIA'!D25</f>
        <v>4.4</v>
      </c>
      <c r="C85" s="1003" t="str">
        <f>'[6]PLANILHA ORÇAMENTÁRIA'!E25</f>
        <v>ARMAÇÃO DE BLOCO, VIGA BALDRAME OU SAPATA UTILIZANDO AÇO CA-50 DE 10 MM - MONTAGEM. AF_06/2017</v>
      </c>
      <c r="D85" s="1003"/>
      <c r="E85" s="1003"/>
      <c r="F85" s="1003"/>
      <c r="G85" s="1003"/>
      <c r="H85" s="1003"/>
      <c r="I85" s="1003"/>
      <c r="J85" s="1003"/>
      <c r="K85" s="61" t="str">
        <f>'[6]PLANILHA ORÇAMENTÁRIA'!F25</f>
        <v>KG</v>
      </c>
      <c r="L85" s="62">
        <f>K88</f>
        <v>41.32</v>
      </c>
    </row>
    <row r="86" spans="2:12" hidden="1">
      <c r="B86" s="63"/>
      <c r="C86" s="1004" t="s">
        <v>20</v>
      </c>
      <c r="D86" s="1004"/>
      <c r="E86" s="1004"/>
      <c r="F86" s="64" t="s">
        <v>22</v>
      </c>
      <c r="G86" s="225" t="s">
        <v>113</v>
      </c>
      <c r="H86" s="64" t="s">
        <v>133</v>
      </c>
      <c r="I86" s="225" t="s">
        <v>112</v>
      </c>
      <c r="J86" s="225" t="s">
        <v>114</v>
      </c>
      <c r="K86" s="66" t="s">
        <v>25</v>
      </c>
      <c r="L86" s="67"/>
    </row>
    <row r="87" spans="2:12" ht="22.5" hidden="1" customHeight="1">
      <c r="B87" s="63"/>
      <c r="C87" s="1001" t="s">
        <v>134</v>
      </c>
      <c r="D87" s="1001"/>
      <c r="E87" s="1001"/>
      <c r="F87" s="68">
        <v>8</v>
      </c>
      <c r="G87" s="68">
        <v>8.1999999999999993</v>
      </c>
      <c r="H87" s="68">
        <v>0.63</v>
      </c>
      <c r="I87" s="68"/>
      <c r="J87" s="68"/>
      <c r="K87" s="226">
        <f>TRUNC((G87*H87)*F87,2)</f>
        <v>41.32</v>
      </c>
      <c r="L87" s="67"/>
    </row>
    <row r="88" spans="2:12" hidden="1">
      <c r="B88" s="63"/>
      <c r="C88" s="1002" t="s">
        <v>116</v>
      </c>
      <c r="D88" s="1002"/>
      <c r="E88" s="1002"/>
      <c r="F88" s="1002"/>
      <c r="G88" s="1002"/>
      <c r="H88" s="1002"/>
      <c r="I88" s="1002"/>
      <c r="J88" s="1002"/>
      <c r="K88" s="66">
        <f>SUM(K87:K87)</f>
        <v>41.32</v>
      </c>
      <c r="L88" s="67"/>
    </row>
    <row r="89" spans="2:12" hidden="1"/>
    <row r="90" spans="2:12" ht="27.75" hidden="1" customHeight="1">
      <c r="B90" s="60" t="str">
        <f>'[6]PLANILHA ORÇAMENTÁRIA'!D26</f>
        <v>4.5</v>
      </c>
      <c r="C90" s="1003" t="str">
        <f>'[6]PLANILHA ORÇAMENTÁRIA'!E26</f>
        <v>CONCRETAGEM DE BLOCOS DE COROAMENTO E VIGAS BALDRAMES, FCK 30 MPA, COM USO DE BOMBA LANÇAMENTO, ADENSAMENTO E ACABAMENTO. AF_06/2017</v>
      </c>
      <c r="D90" s="1003"/>
      <c r="E90" s="1003"/>
      <c r="F90" s="1003"/>
      <c r="G90" s="1003"/>
      <c r="H90" s="1003"/>
      <c r="I90" s="1003"/>
      <c r="J90" s="1003"/>
      <c r="K90" s="61" t="str">
        <f>'[6]PLANILHA ORÇAMENTÁRIA'!F26</f>
        <v>M3</v>
      </c>
      <c r="L90" s="62">
        <f>K93</f>
        <v>1.72</v>
      </c>
    </row>
    <row r="91" spans="2:12" hidden="1">
      <c r="B91" s="63"/>
      <c r="C91" s="1004" t="s">
        <v>20</v>
      </c>
      <c r="D91" s="1004"/>
      <c r="E91" s="1004"/>
      <c r="F91" s="64" t="s">
        <v>22</v>
      </c>
      <c r="G91" s="225" t="s">
        <v>111</v>
      </c>
      <c r="H91" s="64" t="s">
        <v>112</v>
      </c>
      <c r="I91" s="225" t="s">
        <v>113</v>
      </c>
      <c r="J91" s="225" t="s">
        <v>114</v>
      </c>
      <c r="K91" s="66" t="s">
        <v>25</v>
      </c>
      <c r="L91" s="67"/>
    </row>
    <row r="92" spans="2:12" hidden="1">
      <c r="B92" s="63"/>
      <c r="C92" s="1001" t="s">
        <v>135</v>
      </c>
      <c r="D92" s="1001"/>
      <c r="E92" s="1001"/>
      <c r="F92" s="68">
        <v>8</v>
      </c>
      <c r="G92" s="68">
        <v>0.6</v>
      </c>
      <c r="H92" s="68">
        <v>0.6</v>
      </c>
      <c r="I92" s="68">
        <v>0.6</v>
      </c>
      <c r="J92" s="68"/>
      <c r="K92" s="226">
        <f>TRUNC(G92*H92*F92*I92,2)</f>
        <v>1.72</v>
      </c>
      <c r="L92" s="67"/>
    </row>
    <row r="93" spans="2:12" hidden="1">
      <c r="B93" s="63"/>
      <c r="C93" s="1002" t="s">
        <v>116</v>
      </c>
      <c r="D93" s="1002"/>
      <c r="E93" s="1002"/>
      <c r="F93" s="1002"/>
      <c r="G93" s="1002"/>
      <c r="H93" s="1002"/>
      <c r="I93" s="1002"/>
      <c r="J93" s="1002"/>
      <c r="K93" s="66">
        <f>SUM(K92:K92)</f>
        <v>1.72</v>
      </c>
      <c r="L93" s="67"/>
    </row>
    <row r="94" spans="2:12" hidden="1"/>
    <row r="95" spans="2:12" ht="15" hidden="1" customHeight="1">
      <c r="B95" s="60" t="str">
        <f>'[6]PLANILHA ORÇAMENTÁRIA'!D27</f>
        <v>4.6</v>
      </c>
      <c r="C95" s="1003" t="str">
        <f>'[6]PLANILHA ORÇAMENTÁRIA'!E27</f>
        <v>IMPERMEABILIZAÇÃO DE ESTRUTURAS ENTERRADAS, COM TINTA ASFALTICA, DUAS DEMAOS.</v>
      </c>
      <c r="D95" s="1003"/>
      <c r="E95" s="1003"/>
      <c r="F95" s="1003"/>
      <c r="G95" s="1003"/>
      <c r="H95" s="1003"/>
      <c r="I95" s="1003"/>
      <c r="J95" s="1003"/>
      <c r="K95" s="61" t="str">
        <f>'[6]PLANILHA ORÇAMENTÁRIA'!F27</f>
        <v>M2</v>
      </c>
      <c r="L95" s="62">
        <f>K98</f>
        <v>23.88</v>
      </c>
    </row>
    <row r="96" spans="2:12" hidden="1">
      <c r="B96" s="63"/>
      <c r="C96" s="1004" t="s">
        <v>20</v>
      </c>
      <c r="D96" s="1004"/>
      <c r="E96" s="1004"/>
      <c r="F96" s="64" t="s">
        <v>22</v>
      </c>
      <c r="G96" s="225" t="s">
        <v>111</v>
      </c>
      <c r="H96" s="64" t="s">
        <v>112</v>
      </c>
      <c r="I96" s="225" t="s">
        <v>113</v>
      </c>
      <c r="J96" s="225" t="s">
        <v>136</v>
      </c>
      <c r="K96" s="66" t="s">
        <v>25</v>
      </c>
      <c r="L96" s="67"/>
    </row>
    <row r="97" spans="2:12" hidden="1">
      <c r="B97" s="63"/>
      <c r="C97" s="1001"/>
      <c r="D97" s="1001"/>
      <c r="E97" s="1001"/>
      <c r="F97" s="68"/>
      <c r="G97" s="68">
        <v>0.3</v>
      </c>
      <c r="H97" s="68">
        <v>0.15</v>
      </c>
      <c r="I97" s="68">
        <v>31.85</v>
      </c>
      <c r="J97" s="68">
        <v>2</v>
      </c>
      <c r="K97" s="226">
        <f>TRUNC((G97*I97*J97)+(H97*I97),2)</f>
        <v>23.88</v>
      </c>
      <c r="L97" s="67"/>
    </row>
    <row r="98" spans="2:12" hidden="1">
      <c r="B98" s="63"/>
      <c r="C98" s="1002" t="s">
        <v>116</v>
      </c>
      <c r="D98" s="1002"/>
      <c r="E98" s="1002"/>
      <c r="F98" s="1002"/>
      <c r="G98" s="1002"/>
      <c r="H98" s="1002"/>
      <c r="I98" s="1002"/>
      <c r="J98" s="1002"/>
      <c r="K98" s="66">
        <f>SUM(K97:K97)</f>
        <v>23.88</v>
      </c>
      <c r="L98" s="67"/>
    </row>
    <row r="99" spans="2:12" hidden="1"/>
    <row r="100" spans="2:12" hidden="1">
      <c r="B100" s="58" t="str">
        <f>'[6]PLANILHA ORÇAMENTÁRIA'!D28</f>
        <v>5.0</v>
      </c>
      <c r="C100" s="1000" t="str">
        <f>'[6]PLANILHA ORÇAMENTÁRIA'!E28</f>
        <v>ESTRUTURA EM CONCRETO ARMADO</v>
      </c>
      <c r="D100" s="1000"/>
      <c r="E100" s="1000"/>
      <c r="F100" s="1000"/>
      <c r="G100" s="1000"/>
      <c r="H100" s="1000"/>
      <c r="I100" s="1000"/>
      <c r="J100" s="1000"/>
      <c r="K100" s="59"/>
      <c r="L100" s="59"/>
    </row>
    <row r="101" spans="2:12" ht="15" hidden="1" customHeight="1">
      <c r="B101" s="60" t="e">
        <f>'[6]PLANILHA ORÇAMENTÁRIA'!#REF!</f>
        <v>#REF!</v>
      </c>
      <c r="C101" s="1003" t="e">
        <f>'[6]PLANILHA ORÇAMENTÁRIA'!#REF!</f>
        <v>#REF!</v>
      </c>
      <c r="D101" s="1003"/>
      <c r="E101" s="1003"/>
      <c r="F101" s="1003"/>
      <c r="G101" s="1003"/>
      <c r="H101" s="1003"/>
      <c r="I101" s="1003"/>
      <c r="J101" s="1003"/>
      <c r="K101" s="61" t="e">
        <f>'[6]PLANILHA ORÇAMENTÁRIA'!#REF!</f>
        <v>#REF!</v>
      </c>
      <c r="L101" s="62">
        <f>K104</f>
        <v>31.85</v>
      </c>
    </row>
    <row r="102" spans="2:12" hidden="1">
      <c r="B102" s="63"/>
      <c r="C102" s="1004" t="s">
        <v>20</v>
      </c>
      <c r="D102" s="1004"/>
      <c r="E102" s="1004"/>
      <c r="F102" s="64" t="s">
        <v>22</v>
      </c>
      <c r="G102" s="225" t="s">
        <v>111</v>
      </c>
      <c r="H102" s="64" t="s">
        <v>112</v>
      </c>
      <c r="I102" s="225" t="s">
        <v>113</v>
      </c>
      <c r="J102" s="225" t="s">
        <v>114</v>
      </c>
      <c r="K102" s="66" t="s">
        <v>25</v>
      </c>
      <c r="L102" s="67"/>
    </row>
    <row r="103" spans="2:12" hidden="1">
      <c r="B103" s="63"/>
      <c r="C103" s="1001" t="s">
        <v>137</v>
      </c>
      <c r="D103" s="1001"/>
      <c r="E103" s="1001"/>
      <c r="F103" s="68">
        <v>1</v>
      </c>
      <c r="G103" s="68"/>
      <c r="H103" s="68"/>
      <c r="I103" s="68">
        <v>31.85</v>
      </c>
      <c r="J103" s="68"/>
      <c r="K103" s="226">
        <f>I103*F103</f>
        <v>31.85</v>
      </c>
      <c r="L103" s="67"/>
    </row>
    <row r="104" spans="2:12" hidden="1">
      <c r="B104" s="63"/>
      <c r="C104" s="1002" t="s">
        <v>116</v>
      </c>
      <c r="D104" s="1002"/>
      <c r="E104" s="1002"/>
      <c r="F104" s="1002"/>
      <c r="G104" s="1002"/>
      <c r="H104" s="1002"/>
      <c r="I104" s="1002"/>
      <c r="J104" s="1002"/>
      <c r="K104" s="66">
        <f>SUM(K103:K103)</f>
        <v>31.85</v>
      </c>
      <c r="L104" s="67"/>
    </row>
    <row r="105" spans="2:12" hidden="1"/>
    <row r="106" spans="2:12" ht="15" hidden="1" customHeight="1">
      <c r="B106" s="60" t="str">
        <f>'[6]PLANILHA ORÇAMENTÁRIA'!D29</f>
        <v>5.1</v>
      </c>
      <c r="C106" s="1003" t="str">
        <f>'[6]PLANILHA ORÇAMENTÁRIA'!E29</f>
        <v>FORMA PLANA PARA PILARES, EM COMPENSADO RESINADO DE 14MM, 12 USOS, INCLUSIVE ESCORAMENTO</v>
      </c>
      <c r="D106" s="1003"/>
      <c r="E106" s="1003"/>
      <c r="F106" s="1003"/>
      <c r="G106" s="1003"/>
      <c r="H106" s="1003"/>
      <c r="I106" s="1003"/>
      <c r="J106" s="1003"/>
      <c r="K106" s="61" t="str">
        <f>'[6]PLANILHA ORÇAMENTÁRIA'!F29</f>
        <v>M2</v>
      </c>
      <c r="L106" s="62">
        <f>K111</f>
        <v>26.689999999999998</v>
      </c>
    </row>
    <row r="107" spans="2:12" hidden="1">
      <c r="B107" s="63"/>
      <c r="C107" s="1004" t="s">
        <v>20</v>
      </c>
      <c r="D107" s="1004"/>
      <c r="E107" s="1004"/>
      <c r="F107" s="64" t="s">
        <v>22</v>
      </c>
      <c r="G107" s="225" t="s">
        <v>111</v>
      </c>
      <c r="H107" s="64" t="s">
        <v>112</v>
      </c>
      <c r="I107" s="225" t="s">
        <v>113</v>
      </c>
      <c r="J107" s="225" t="s">
        <v>136</v>
      </c>
      <c r="K107" s="66" t="s">
        <v>25</v>
      </c>
      <c r="L107" s="67"/>
    </row>
    <row r="108" spans="2:12" hidden="1">
      <c r="B108" s="63"/>
      <c r="C108" s="1001" t="s">
        <v>138</v>
      </c>
      <c r="D108" s="1001"/>
      <c r="E108" s="1001"/>
      <c r="F108" s="68">
        <v>4</v>
      </c>
      <c r="G108" s="68">
        <v>5.05</v>
      </c>
      <c r="H108" s="68">
        <v>0.19</v>
      </c>
      <c r="I108" s="68">
        <v>0.19</v>
      </c>
      <c r="J108" s="68">
        <v>2</v>
      </c>
      <c r="K108" s="226">
        <f>TRUNC((H108*G108*J108*F108)+(I108*G108*J108*F108),2)</f>
        <v>15.35</v>
      </c>
      <c r="L108" s="67"/>
    </row>
    <row r="109" spans="2:12" hidden="1">
      <c r="B109" s="63"/>
      <c r="C109" s="1001" t="s">
        <v>138</v>
      </c>
      <c r="D109" s="1001"/>
      <c r="E109" s="1001"/>
      <c r="F109" s="68">
        <v>2</v>
      </c>
      <c r="G109" s="68">
        <v>3.7</v>
      </c>
      <c r="H109" s="68">
        <v>0.19</v>
      </c>
      <c r="I109" s="68">
        <v>0.19</v>
      </c>
      <c r="J109" s="68">
        <v>2</v>
      </c>
      <c r="K109" s="226">
        <f>TRUNC((H109*G109*J109*F109)+(I109*G109*J109*F109),2)</f>
        <v>5.62</v>
      </c>
      <c r="L109" s="67"/>
    </row>
    <row r="110" spans="2:12" hidden="1">
      <c r="B110" s="63"/>
      <c r="C110" s="1001" t="s">
        <v>139</v>
      </c>
      <c r="D110" s="1001"/>
      <c r="E110" s="1001"/>
      <c r="F110" s="68">
        <v>2</v>
      </c>
      <c r="G110" s="68">
        <v>2.6</v>
      </c>
      <c r="H110" s="68">
        <v>0.15</v>
      </c>
      <c r="I110" s="68">
        <v>0.4</v>
      </c>
      <c r="J110" s="68">
        <v>2</v>
      </c>
      <c r="K110" s="226">
        <f>TRUNC((H110*G110*J110*F110)+(I110*G110*J110*F110),2)</f>
        <v>5.72</v>
      </c>
      <c r="L110" s="67"/>
    </row>
    <row r="111" spans="2:12" hidden="1">
      <c r="B111" s="63"/>
      <c r="C111" s="1002" t="s">
        <v>116</v>
      </c>
      <c r="D111" s="1002"/>
      <c r="E111" s="1002"/>
      <c r="F111" s="1002"/>
      <c r="G111" s="1002"/>
      <c r="H111" s="1002"/>
      <c r="I111" s="1002"/>
      <c r="J111" s="1002"/>
      <c r="K111" s="66">
        <f>SUM(K108:K110)</f>
        <v>26.689999999999998</v>
      </c>
      <c r="L111" s="67"/>
    </row>
    <row r="112" spans="2:12" hidden="1"/>
    <row r="113" spans="2:12" ht="23.25" hidden="1" customHeight="1">
      <c r="B113" s="60" t="str">
        <f>'[6]PLANILHA ORÇAMENTÁRIA'!D30</f>
        <v>5.2</v>
      </c>
      <c r="C113" s="1003" t="str">
        <f>'[6]PLANILHA ORÇAMENTÁRIA'!E30</f>
        <v>ARMAÇÃO DE PILAR OU VIGA DE UMA ESTRUTURA CONVENCIONAL DE CONCRETO ARMADO EM UMA EDIFICAÇÃO TÉRREA OU SOBRADO UTILIZANDO AÇO CA-50 DE 10,0 MM - MONTAGEM. AF_12/2015</v>
      </c>
      <c r="D113" s="1003"/>
      <c r="E113" s="1003"/>
      <c r="F113" s="1003"/>
      <c r="G113" s="1003"/>
      <c r="H113" s="1003"/>
      <c r="I113" s="1003"/>
      <c r="J113" s="1003"/>
      <c r="K113" s="61" t="str">
        <f>'[6]PLANILHA ORÇAMENTÁRIA'!F30</f>
        <v>KG</v>
      </c>
      <c r="L113" s="62">
        <f>K120</f>
        <v>262.81</v>
      </c>
    </row>
    <row r="114" spans="2:12" hidden="1">
      <c r="B114" s="63"/>
      <c r="C114" s="1004" t="s">
        <v>20</v>
      </c>
      <c r="D114" s="1004"/>
      <c r="E114" s="1004"/>
      <c r="F114" s="64" t="s">
        <v>22</v>
      </c>
      <c r="G114" s="225" t="s">
        <v>113</v>
      </c>
      <c r="H114" s="64" t="s">
        <v>133</v>
      </c>
      <c r="I114" s="225" t="s">
        <v>112</v>
      </c>
      <c r="J114" s="225" t="s">
        <v>114</v>
      </c>
      <c r="K114" s="66" t="s">
        <v>25</v>
      </c>
      <c r="L114" s="67"/>
    </row>
    <row r="115" spans="2:12" hidden="1">
      <c r="B115" s="63"/>
      <c r="C115" s="1001" t="s">
        <v>140</v>
      </c>
      <c r="D115" s="1001"/>
      <c r="E115" s="1001"/>
      <c r="F115" s="68">
        <v>4</v>
      </c>
      <c r="G115" s="68">
        <f>5.05*4</f>
        <v>20.2</v>
      </c>
      <c r="H115" s="68">
        <v>0.63</v>
      </c>
      <c r="I115" s="68"/>
      <c r="J115" s="68"/>
      <c r="K115" s="226">
        <f>TRUNC((G115*F115)*H115,2)</f>
        <v>50.9</v>
      </c>
      <c r="L115" s="67"/>
    </row>
    <row r="116" spans="2:12" hidden="1">
      <c r="B116" s="63"/>
      <c r="C116" s="1001" t="s">
        <v>140</v>
      </c>
      <c r="D116" s="1001"/>
      <c r="E116" s="1001"/>
      <c r="F116" s="68">
        <v>2</v>
      </c>
      <c r="G116" s="68">
        <f>3.7*4</f>
        <v>14.8</v>
      </c>
      <c r="H116" s="68">
        <v>0.63</v>
      </c>
      <c r="I116" s="68"/>
      <c r="J116" s="68"/>
      <c r="K116" s="226">
        <f>TRUNC((G116*F116)*H116,2)</f>
        <v>18.64</v>
      </c>
      <c r="L116" s="67"/>
    </row>
    <row r="117" spans="2:12" hidden="1">
      <c r="B117" s="63"/>
      <c r="C117" s="1001" t="s">
        <v>141</v>
      </c>
      <c r="D117" s="1001"/>
      <c r="E117" s="1001"/>
      <c r="F117" s="68">
        <v>2</v>
      </c>
      <c r="G117" s="68">
        <f>2.6*6</f>
        <v>15.600000000000001</v>
      </c>
      <c r="H117" s="68">
        <v>0.63</v>
      </c>
      <c r="I117" s="68"/>
      <c r="J117" s="68"/>
      <c r="K117" s="226">
        <f>TRUNC((G117*F117)*H117,2)</f>
        <v>19.649999999999999</v>
      </c>
      <c r="L117" s="67"/>
    </row>
    <row r="118" spans="2:12" hidden="1">
      <c r="B118" s="63"/>
      <c r="C118" s="1001" t="s">
        <v>142</v>
      </c>
      <c r="D118" s="1001"/>
      <c r="E118" s="1001"/>
      <c r="F118" s="68">
        <v>2</v>
      </c>
      <c r="G118" s="68">
        <f>25.8*4</f>
        <v>103.2</v>
      </c>
      <c r="H118" s="68">
        <v>0.63</v>
      </c>
      <c r="I118" s="68"/>
      <c r="J118" s="68"/>
      <c r="K118" s="226">
        <f>TRUNC((G118*F118)*H118,2)</f>
        <v>130.03</v>
      </c>
      <c r="L118" s="67"/>
    </row>
    <row r="119" spans="2:12" hidden="1">
      <c r="B119" s="63"/>
      <c r="C119" s="1001" t="s">
        <v>142</v>
      </c>
      <c r="D119" s="1001"/>
      <c r="E119" s="1001"/>
      <c r="F119" s="68">
        <v>1</v>
      </c>
      <c r="G119" s="68">
        <f>17.3*4</f>
        <v>69.2</v>
      </c>
      <c r="H119" s="68">
        <v>0.63</v>
      </c>
      <c r="I119" s="68"/>
      <c r="J119" s="68"/>
      <c r="K119" s="226">
        <f>TRUNC((G119*F119)*H119,2)</f>
        <v>43.59</v>
      </c>
      <c r="L119" s="67"/>
    </row>
    <row r="120" spans="2:12" hidden="1">
      <c r="B120" s="63"/>
      <c r="C120" s="1002" t="s">
        <v>116</v>
      </c>
      <c r="D120" s="1002"/>
      <c r="E120" s="1002"/>
      <c r="F120" s="1002"/>
      <c r="G120" s="1002"/>
      <c r="H120" s="1002"/>
      <c r="I120" s="1002"/>
      <c r="J120" s="1002"/>
      <c r="K120" s="66">
        <f>SUM(K115:K119)</f>
        <v>262.81</v>
      </c>
      <c r="L120" s="67"/>
    </row>
    <row r="121" spans="2:12" hidden="1"/>
    <row r="122" spans="2:12" ht="27" hidden="1" customHeight="1">
      <c r="B122" s="60" t="str">
        <f>'[6]PLANILHA ORÇAMENTÁRIA'!D31</f>
        <v>5.3</v>
      </c>
      <c r="C122" s="1003" t="str">
        <f>'[6]PLANILHA ORÇAMENTÁRIA'!E31</f>
        <v>ARMAÇÃO DE PILAR OU VIGA DE UMA ESTRUTURA CONVENCIONAL DE CONCRETO ARMADO EM UMA EDIFICAÇÃO TÉRREA OU SOBRADO UTILIZANDO AÇO CA-60 DE 5,0 MM - MONTAGEM. AF_12/2015</v>
      </c>
      <c r="D122" s="1003"/>
      <c r="E122" s="1003"/>
      <c r="F122" s="1003"/>
      <c r="G122" s="1003"/>
      <c r="H122" s="1003"/>
      <c r="I122" s="1003"/>
      <c r="J122" s="1003"/>
      <c r="K122" s="61" t="str">
        <f>'[6]PLANILHA ORÇAMENTÁRIA'!F31</f>
        <v>KG</v>
      </c>
      <c r="L122" s="62">
        <f>K129</f>
        <v>67.75</v>
      </c>
    </row>
    <row r="123" spans="2:12" hidden="1">
      <c r="B123" s="63"/>
      <c r="C123" s="1004" t="s">
        <v>20</v>
      </c>
      <c r="D123" s="1004"/>
      <c r="E123" s="1004"/>
      <c r="F123" s="64" t="s">
        <v>22</v>
      </c>
      <c r="G123" s="225" t="s">
        <v>113</v>
      </c>
      <c r="H123" s="64" t="s">
        <v>143</v>
      </c>
      <c r="I123" s="64" t="s">
        <v>144</v>
      </c>
      <c r="J123" s="64" t="s">
        <v>133</v>
      </c>
      <c r="K123" s="66" t="s">
        <v>25</v>
      </c>
      <c r="L123" s="67"/>
    </row>
    <row r="124" spans="2:12" hidden="1">
      <c r="B124" s="63"/>
      <c r="C124" s="1001" t="s">
        <v>145</v>
      </c>
      <c r="D124" s="1001"/>
      <c r="E124" s="1001"/>
      <c r="F124" s="68">
        <v>4</v>
      </c>
      <c r="G124" s="68">
        <f>0.13+0.13+0.13+0.13+0.16</f>
        <v>0.68</v>
      </c>
      <c r="H124" s="68">
        <f>TRUNC(G108/0.2,2)</f>
        <v>25.25</v>
      </c>
      <c r="I124" s="68">
        <f>TRUNC(G124*H124,2)</f>
        <v>17.170000000000002</v>
      </c>
      <c r="J124" s="68">
        <v>0.16</v>
      </c>
      <c r="K124" s="226">
        <f>TRUNC((I124*G124*J124)*F124,2)</f>
        <v>7.47</v>
      </c>
      <c r="L124" s="67"/>
    </row>
    <row r="125" spans="2:12" hidden="1">
      <c r="B125" s="63"/>
      <c r="C125" s="1001" t="s">
        <v>145</v>
      </c>
      <c r="D125" s="1001"/>
      <c r="E125" s="1001"/>
      <c r="F125" s="68">
        <v>2</v>
      </c>
      <c r="G125" s="68">
        <f>0.13+0.13+0.13+0.13+0.16</f>
        <v>0.68</v>
      </c>
      <c r="H125" s="68">
        <f>TRUNC(G109/0.2,2)</f>
        <v>18.5</v>
      </c>
      <c r="I125" s="68">
        <f>TRUNC(G125*H125,2)</f>
        <v>12.58</v>
      </c>
      <c r="J125" s="68">
        <v>0.16</v>
      </c>
      <c r="K125" s="226">
        <f>TRUNC((I125*G125*J125)*F125,2)</f>
        <v>2.73</v>
      </c>
      <c r="L125" s="67"/>
    </row>
    <row r="126" spans="2:12" hidden="1">
      <c r="B126" s="63"/>
      <c r="C126" s="1001" t="s">
        <v>146</v>
      </c>
      <c r="D126" s="1001"/>
      <c r="E126" s="1001"/>
      <c r="F126" s="68">
        <v>2</v>
      </c>
      <c r="G126" s="68">
        <f>0.9+0.9+0.34+0.34+0.16</f>
        <v>2.64</v>
      </c>
      <c r="H126" s="68">
        <f>TRUNC(G110/0.2,2)</f>
        <v>13</v>
      </c>
      <c r="I126" s="68">
        <f>TRUNC(G126*H126,2)</f>
        <v>34.32</v>
      </c>
      <c r="J126" s="68">
        <v>0.16</v>
      </c>
      <c r="K126" s="226">
        <f>TRUNC((I126*G126*J126)*F126,2)</f>
        <v>28.99</v>
      </c>
      <c r="L126" s="67"/>
    </row>
    <row r="127" spans="2:12" hidden="1">
      <c r="B127" s="63"/>
      <c r="C127" s="1001" t="s">
        <v>147</v>
      </c>
      <c r="D127" s="1001"/>
      <c r="E127" s="1001"/>
      <c r="F127" s="68">
        <v>2</v>
      </c>
      <c r="G127" s="68">
        <f>0.09+0.09+0.19+0.19+0.16</f>
        <v>0.72000000000000008</v>
      </c>
      <c r="H127" s="68">
        <f>TRUNC(I140/0.2,2)</f>
        <v>129</v>
      </c>
      <c r="I127" s="68">
        <f>TRUNC(G127*H127,2)</f>
        <v>92.88</v>
      </c>
      <c r="J127" s="68">
        <v>0.16</v>
      </c>
      <c r="K127" s="226">
        <f>TRUNC((I127*G127*J127)*F127,2)</f>
        <v>21.39</v>
      </c>
      <c r="L127" s="67"/>
    </row>
    <row r="128" spans="2:12" hidden="1">
      <c r="B128" s="63"/>
      <c r="C128" s="1001" t="s">
        <v>147</v>
      </c>
      <c r="D128" s="1001"/>
      <c r="E128" s="1001"/>
      <c r="F128" s="68">
        <v>1</v>
      </c>
      <c r="G128" s="68">
        <f>0.09+0.09+0.19+0.19+0.16</f>
        <v>0.72000000000000008</v>
      </c>
      <c r="H128" s="68">
        <f>TRUNC(I141/0.2,2)</f>
        <v>86.5</v>
      </c>
      <c r="I128" s="68">
        <f>TRUNC(G128*H128,2)</f>
        <v>62.28</v>
      </c>
      <c r="J128" s="68">
        <v>0.16</v>
      </c>
      <c r="K128" s="226">
        <f>TRUNC((I128*G128*J128)*F128,2)</f>
        <v>7.17</v>
      </c>
      <c r="L128" s="67"/>
    </row>
    <row r="129" spans="2:12" hidden="1">
      <c r="B129" s="63"/>
      <c r="C129" s="1002" t="s">
        <v>116</v>
      </c>
      <c r="D129" s="1002"/>
      <c r="E129" s="1002"/>
      <c r="F129" s="1002"/>
      <c r="G129" s="1002"/>
      <c r="H129" s="1002"/>
      <c r="I129" s="1002"/>
      <c r="J129" s="1002"/>
      <c r="K129" s="66">
        <f>SUM(K124:K128)</f>
        <v>67.75</v>
      </c>
      <c r="L129" s="67"/>
    </row>
    <row r="130" spans="2:12" hidden="1">
      <c r="B130" s="63"/>
      <c r="C130" s="71"/>
      <c r="D130" s="71"/>
      <c r="E130" s="71"/>
      <c r="F130" s="71"/>
      <c r="G130" s="71"/>
      <c r="H130" s="71"/>
      <c r="I130" s="71"/>
      <c r="J130" s="71"/>
      <c r="K130" s="73"/>
      <c r="L130" s="67"/>
    </row>
    <row r="131" spans="2:12" ht="24.75" hidden="1" customHeight="1">
      <c r="B131" s="60" t="str">
        <f>'[6]PLANILHA ORÇAMENTÁRIA'!D32</f>
        <v>5.4</v>
      </c>
      <c r="C131" s="1003" t="str">
        <f>'[6]PLANILHA ORÇAMENTÁRIA'!E32</f>
        <v>CONCRETAGEM DE PILARES, FCK = 25 MPA, COM USO DE GRUA EM EDIFICAÇÃO COM SEÇÃO MÉDIA DE PILARES MAIOR QUE 0,25 M² - LANÇAMENTO, ADENSAMENTO E ACABAMENTO. AF_12/2015</v>
      </c>
      <c r="D131" s="1003"/>
      <c r="E131" s="1003"/>
      <c r="F131" s="1003"/>
      <c r="G131" s="1003"/>
      <c r="H131" s="1003"/>
      <c r="I131" s="1003"/>
      <c r="J131" s="1003"/>
      <c r="K131" s="61" t="str">
        <f>'[6]PLANILHA ORÇAMENTÁRIA'!F32</f>
        <v>M3</v>
      </c>
      <c r="L131" s="62">
        <f>K136</f>
        <v>1.29</v>
      </c>
    </row>
    <row r="132" spans="2:12" hidden="1">
      <c r="B132" s="63"/>
      <c r="C132" s="1004" t="s">
        <v>20</v>
      </c>
      <c r="D132" s="1004"/>
      <c r="E132" s="1004"/>
      <c r="F132" s="64" t="s">
        <v>22</v>
      </c>
      <c r="G132" s="225" t="s">
        <v>111</v>
      </c>
      <c r="H132" s="64" t="s">
        <v>112</v>
      </c>
      <c r="I132" s="225" t="s">
        <v>113</v>
      </c>
      <c r="J132" s="225" t="s">
        <v>114</v>
      </c>
      <c r="K132" s="66" t="s">
        <v>25</v>
      </c>
      <c r="L132" s="67"/>
    </row>
    <row r="133" spans="2:12" hidden="1">
      <c r="B133" s="63"/>
      <c r="C133" s="1001" t="s">
        <v>138</v>
      </c>
      <c r="D133" s="1001"/>
      <c r="E133" s="1001"/>
      <c r="F133" s="68">
        <v>4</v>
      </c>
      <c r="G133" s="68">
        <v>5.05</v>
      </c>
      <c r="H133" s="68">
        <v>0.19</v>
      </c>
      <c r="I133" s="68">
        <v>0.19</v>
      </c>
      <c r="J133" s="68"/>
      <c r="K133" s="226">
        <f>TRUNC(H133*I133*G133*F133,2)</f>
        <v>0.72</v>
      </c>
      <c r="L133" s="67"/>
    </row>
    <row r="134" spans="2:12" hidden="1">
      <c r="B134" s="63"/>
      <c r="C134" s="1001" t="s">
        <v>138</v>
      </c>
      <c r="D134" s="1001"/>
      <c r="E134" s="1001"/>
      <c r="F134" s="68">
        <v>2</v>
      </c>
      <c r="G134" s="68">
        <v>3.7</v>
      </c>
      <c r="H134" s="68">
        <v>0.19</v>
      </c>
      <c r="I134" s="68">
        <v>0.19</v>
      </c>
      <c r="J134" s="68"/>
      <c r="K134" s="226">
        <f>TRUNC(H134*I134*G134*F134,2)</f>
        <v>0.26</v>
      </c>
      <c r="L134" s="67"/>
    </row>
    <row r="135" spans="2:12" hidden="1">
      <c r="B135" s="63"/>
      <c r="C135" s="1001" t="s">
        <v>139</v>
      </c>
      <c r="D135" s="1001"/>
      <c r="E135" s="1001"/>
      <c r="F135" s="68">
        <v>2</v>
      </c>
      <c r="G135" s="68">
        <v>2.6</v>
      </c>
      <c r="H135" s="68">
        <v>0.15</v>
      </c>
      <c r="I135" s="68">
        <v>0.4</v>
      </c>
      <c r="J135" s="68"/>
      <c r="K135" s="226">
        <f>TRUNC(H135*I135*G135*F135,2)</f>
        <v>0.31</v>
      </c>
      <c r="L135" s="67"/>
    </row>
    <row r="136" spans="2:12" hidden="1">
      <c r="B136" s="63"/>
      <c r="C136" s="1002" t="s">
        <v>116</v>
      </c>
      <c r="D136" s="1002"/>
      <c r="E136" s="1002"/>
      <c r="F136" s="1002"/>
      <c r="G136" s="1002"/>
      <c r="H136" s="1002"/>
      <c r="I136" s="1002"/>
      <c r="J136" s="1002"/>
      <c r="K136" s="66">
        <f>SUM(K133:K135)</f>
        <v>1.29</v>
      </c>
      <c r="L136" s="67"/>
    </row>
    <row r="137" spans="2:12" hidden="1"/>
    <row r="138" spans="2:12" ht="15" hidden="1" customHeight="1">
      <c r="B138" s="60" t="str">
        <f>'[6]PLANILHA ORÇAMENTÁRIA'!D33</f>
        <v>5.5</v>
      </c>
      <c r="C138" s="1003" t="str">
        <f>'[6]PLANILHA ORÇAMENTÁRIA'!E33</f>
        <v>FORMA PLANA PARA VIGAS, EM COMPENSADO RESINADO DE 14MM, 12 USOS, INCLUSIVE ESCORAMENTO</v>
      </c>
      <c r="D138" s="1003"/>
      <c r="E138" s="1003"/>
      <c r="F138" s="1003"/>
      <c r="G138" s="1003"/>
      <c r="H138" s="1003"/>
      <c r="I138" s="1003"/>
      <c r="J138" s="1003"/>
      <c r="K138" s="61" t="str">
        <f>'[6]PLANILHA ORÇAMENTÁRIA'!F33</f>
        <v>M2</v>
      </c>
      <c r="L138" s="62">
        <f>K142</f>
        <v>16.77</v>
      </c>
    </row>
    <row r="139" spans="2:12" hidden="1">
      <c r="B139" s="63"/>
      <c r="C139" s="1004" t="s">
        <v>20</v>
      </c>
      <c r="D139" s="1004"/>
      <c r="E139" s="1004"/>
      <c r="F139" s="64" t="s">
        <v>22</v>
      </c>
      <c r="G139" s="225" t="s">
        <v>111</v>
      </c>
      <c r="H139" s="64" t="s">
        <v>112</v>
      </c>
      <c r="I139" s="225" t="s">
        <v>113</v>
      </c>
      <c r="J139" s="225" t="s">
        <v>148</v>
      </c>
      <c r="K139" s="66" t="s">
        <v>25</v>
      </c>
      <c r="L139" s="67"/>
    </row>
    <row r="140" spans="2:12" hidden="1">
      <c r="B140" s="63"/>
      <c r="C140" s="1001" t="s">
        <v>149</v>
      </c>
      <c r="D140" s="1001"/>
      <c r="E140" s="1001"/>
      <c r="F140" s="68">
        <v>2</v>
      </c>
      <c r="G140" s="68">
        <v>0.25</v>
      </c>
      <c r="H140" s="68">
        <v>0.15</v>
      </c>
      <c r="I140" s="68">
        <v>25.8</v>
      </c>
      <c r="J140" s="68">
        <v>2</v>
      </c>
      <c r="K140" s="226">
        <f>TRUNC((G140*I140*J140)+(H140*I140),2)</f>
        <v>16.77</v>
      </c>
      <c r="L140" s="67"/>
    </row>
    <row r="141" spans="2:12" hidden="1">
      <c r="B141" s="63"/>
      <c r="C141" s="1001" t="s">
        <v>149</v>
      </c>
      <c r="D141" s="1001"/>
      <c r="E141" s="1001"/>
      <c r="F141" s="68">
        <v>1</v>
      </c>
      <c r="G141" s="68">
        <v>0.25</v>
      </c>
      <c r="H141" s="68">
        <v>0.15</v>
      </c>
      <c r="I141" s="68">
        <v>17.3</v>
      </c>
      <c r="J141" s="68">
        <v>2</v>
      </c>
      <c r="K141" s="226">
        <f>TRUNC((G141*I141*J141)+(H141*I141),2)</f>
        <v>11.24</v>
      </c>
      <c r="L141" s="67"/>
    </row>
    <row r="142" spans="2:12" hidden="1">
      <c r="B142" s="63"/>
      <c r="C142" s="1002" t="s">
        <v>116</v>
      </c>
      <c r="D142" s="1002"/>
      <c r="E142" s="1002"/>
      <c r="F142" s="1002"/>
      <c r="G142" s="1002"/>
      <c r="H142" s="1002"/>
      <c r="I142" s="1002"/>
      <c r="J142" s="1002"/>
      <c r="K142" s="66">
        <f>SUM(K140:K140)</f>
        <v>16.77</v>
      </c>
      <c r="L142" s="67"/>
    </row>
    <row r="143" spans="2:12" hidden="1"/>
    <row r="144" spans="2:12" ht="25.5" hidden="1" customHeight="1">
      <c r="B144" s="60" t="str">
        <f>'[6]PLANILHA ORÇAMENTÁRIA'!D34</f>
        <v>5.6</v>
      </c>
      <c r="C144" s="1003" t="str">
        <f>'[6]PLANILHA ORÇAMENTÁRIA'!E34</f>
        <v>CONCRETAGEM DE VIGAS E LAJES, FCK=20 MPA, PARA LAJES MACIÇAS OU NERVURADAS COM GRUA DE CAÇAMBA DE 500 L EM EDIFICAÇÃO DE MULTIPAVIMENTOS ATÉ 16 ANDARES, COM ÁREA MÉDIA DE LAJES MAIOR QUE 20 M² - LANÇAMENTO, ADENSAMENTO E ACABAMENTO. AF_12/2015</v>
      </c>
      <c r="D144" s="1003"/>
      <c r="E144" s="1003"/>
      <c r="F144" s="1003"/>
      <c r="G144" s="1003"/>
      <c r="H144" s="1003"/>
      <c r="I144" s="1003"/>
      <c r="J144" s="1003"/>
      <c r="K144" s="61" t="str">
        <f>'[6]PLANILHA ORÇAMENTÁRIA'!F34</f>
        <v>M3</v>
      </c>
      <c r="L144" s="62">
        <f>K148</f>
        <v>2.57</v>
      </c>
    </row>
    <row r="145" spans="2:12" hidden="1">
      <c r="B145" s="63"/>
      <c r="C145" s="1004" t="s">
        <v>20</v>
      </c>
      <c r="D145" s="1004"/>
      <c r="E145" s="1004"/>
      <c r="F145" s="64" t="s">
        <v>22</v>
      </c>
      <c r="G145" s="225" t="s">
        <v>111</v>
      </c>
      <c r="H145" s="64" t="s">
        <v>112</v>
      </c>
      <c r="I145" s="225" t="s">
        <v>113</v>
      </c>
      <c r="J145" s="225" t="s">
        <v>114</v>
      </c>
      <c r="K145" s="66" t="s">
        <v>25</v>
      </c>
      <c r="L145" s="67"/>
    </row>
    <row r="146" spans="2:12" hidden="1">
      <c r="B146" s="63"/>
      <c r="C146" s="1001" t="s">
        <v>149</v>
      </c>
      <c r="D146" s="1001"/>
      <c r="E146" s="1001"/>
      <c r="F146" s="68">
        <v>2</v>
      </c>
      <c r="G146" s="68">
        <v>0.25</v>
      </c>
      <c r="H146" s="68">
        <v>0.15</v>
      </c>
      <c r="I146" s="68">
        <v>25.8</v>
      </c>
      <c r="J146" s="68"/>
      <c r="K146" s="226">
        <f>TRUNC(G146*H146*I146*F146,2)</f>
        <v>1.93</v>
      </c>
      <c r="L146" s="67"/>
    </row>
    <row r="147" spans="2:12" hidden="1">
      <c r="B147" s="63"/>
      <c r="C147" s="1001" t="s">
        <v>149</v>
      </c>
      <c r="D147" s="1001"/>
      <c r="E147" s="1001"/>
      <c r="F147" s="68">
        <v>1</v>
      </c>
      <c r="G147" s="68">
        <v>0.25</v>
      </c>
      <c r="H147" s="68">
        <v>0.15</v>
      </c>
      <c r="I147" s="68">
        <v>17.3</v>
      </c>
      <c r="J147" s="68"/>
      <c r="K147" s="226">
        <f>TRUNC(G147*H147*I147*F147,2)</f>
        <v>0.64</v>
      </c>
      <c r="L147" s="67"/>
    </row>
    <row r="148" spans="2:12" hidden="1">
      <c r="B148" s="63"/>
      <c r="C148" s="1002" t="s">
        <v>116</v>
      </c>
      <c r="D148" s="1002"/>
      <c r="E148" s="1002"/>
      <c r="F148" s="1002"/>
      <c r="G148" s="1002"/>
      <c r="H148" s="1002"/>
      <c r="I148" s="1002"/>
      <c r="J148" s="1002"/>
      <c r="K148" s="66">
        <f>SUM(K146:K147)</f>
        <v>2.57</v>
      </c>
      <c r="L148" s="67"/>
    </row>
    <row r="149" spans="2:12" hidden="1"/>
    <row r="150" spans="2:12" ht="29.25" hidden="1" customHeight="1">
      <c r="B150" s="60" t="str">
        <f>'[6]PLANILHA ORÇAMENTÁRIA'!D35</f>
        <v>5.7</v>
      </c>
      <c r="C150" s="1003" t="str">
        <f>'[6]PLANILHA ORÇAMENTÁRIA'!E35</f>
        <v>LAJE PRE-MOLDADA P/FORRO, SOBRECARGA 100KG/M2, VAOS ATE 3,50M/E=8CM, C/LAJOTAS E CAP.C/CONC FCK=20MPA, 3CM, INTER-EIXO 38CM, C/ESCORAMENTO (REAPR.3X) E FERRAGEM NEGATIVA</v>
      </c>
      <c r="D150" s="1003"/>
      <c r="E150" s="1003"/>
      <c r="F150" s="1003"/>
      <c r="G150" s="1003"/>
      <c r="H150" s="1003"/>
      <c r="I150" s="1003"/>
      <c r="J150" s="1003"/>
      <c r="K150" s="61" t="str">
        <f>'[6]PLANILHA ORÇAMENTÁRIA'!F35</f>
        <v>M2</v>
      </c>
      <c r="L150" s="62">
        <f>K154</f>
        <v>74.02</v>
      </c>
    </row>
    <row r="151" spans="2:12" hidden="1">
      <c r="B151" s="63"/>
      <c r="C151" s="1004" t="s">
        <v>20</v>
      </c>
      <c r="D151" s="1004"/>
      <c r="E151" s="1004"/>
      <c r="F151" s="64" t="s">
        <v>22</v>
      </c>
      <c r="G151" s="225" t="s">
        <v>111</v>
      </c>
      <c r="H151" s="64" t="s">
        <v>112</v>
      </c>
      <c r="I151" s="225" t="s">
        <v>113</v>
      </c>
      <c r="J151" s="225" t="s">
        <v>114</v>
      </c>
      <c r="K151" s="66" t="s">
        <v>25</v>
      </c>
      <c r="L151" s="67"/>
    </row>
    <row r="152" spans="2:12" hidden="1">
      <c r="B152" s="63"/>
      <c r="C152" s="1001" t="s">
        <v>150</v>
      </c>
      <c r="D152" s="1001"/>
      <c r="E152" s="1001"/>
      <c r="F152" s="68">
        <v>2</v>
      </c>
      <c r="G152" s="68"/>
      <c r="H152" s="68">
        <v>4.5</v>
      </c>
      <c r="I152" s="68">
        <v>6</v>
      </c>
      <c r="J152" s="68"/>
      <c r="K152" s="226">
        <f>TRUNC(H152*I152*F152,2)</f>
        <v>54</v>
      </c>
      <c r="L152" s="67"/>
    </row>
    <row r="153" spans="2:12" hidden="1">
      <c r="B153" s="63"/>
      <c r="C153" s="1001" t="s">
        <v>151</v>
      </c>
      <c r="D153" s="1001"/>
      <c r="E153" s="1001"/>
      <c r="F153" s="68">
        <v>1</v>
      </c>
      <c r="G153" s="68"/>
      <c r="H153" s="68">
        <v>4.45</v>
      </c>
      <c r="I153" s="68">
        <v>4.5</v>
      </c>
      <c r="J153" s="68"/>
      <c r="K153" s="226">
        <f>TRUNC(H153*I153*F153,2)</f>
        <v>20.02</v>
      </c>
      <c r="L153" s="67"/>
    </row>
    <row r="154" spans="2:12" hidden="1">
      <c r="B154" s="63"/>
      <c r="C154" s="1002" t="s">
        <v>116</v>
      </c>
      <c r="D154" s="1002"/>
      <c r="E154" s="1002"/>
      <c r="F154" s="1002"/>
      <c r="G154" s="1002"/>
      <c r="H154" s="1002"/>
      <c r="I154" s="1002"/>
      <c r="J154" s="1002"/>
      <c r="K154" s="66">
        <f>SUM(K152:K153)</f>
        <v>74.02</v>
      </c>
      <c r="L154" s="67"/>
    </row>
    <row r="155" spans="2:12" hidden="1"/>
    <row r="156" spans="2:12" ht="22.5" hidden="1" customHeight="1">
      <c r="B156" s="60" t="str">
        <f>'[6]PLANILHA ORÇAMENTÁRIA'!D36</f>
        <v>5.8</v>
      </c>
      <c r="C156" s="1003" t="str">
        <f>'[6]PLANILHA ORÇAMENTÁRIA'!E36</f>
        <v>IMPERMEABILIZAÇÃO DE PISO COM ARGAMASSA DE CIMENTO E AREIA, COM ADITIVO IMPERMEABILIZANTE, E = 2CM. AF_06/2018</v>
      </c>
      <c r="D156" s="1003"/>
      <c r="E156" s="1003"/>
      <c r="F156" s="1003"/>
      <c r="G156" s="1003"/>
      <c r="H156" s="1003"/>
      <c r="I156" s="1003"/>
      <c r="J156" s="1003"/>
      <c r="K156" s="61" t="str">
        <f>'[6]PLANILHA ORÇAMENTÁRIA'!F36</f>
        <v>M2</v>
      </c>
      <c r="L156" s="62">
        <f>K159</f>
        <v>27</v>
      </c>
    </row>
    <row r="157" spans="2:12" hidden="1">
      <c r="B157" s="63"/>
      <c r="C157" s="1004" t="s">
        <v>20</v>
      </c>
      <c r="D157" s="1004"/>
      <c r="E157" s="1004"/>
      <c r="F157" s="64" t="s">
        <v>22</v>
      </c>
      <c r="G157" s="225" t="s">
        <v>111</v>
      </c>
      <c r="H157" s="64" t="s">
        <v>112</v>
      </c>
      <c r="I157" s="225" t="s">
        <v>113</v>
      </c>
      <c r="J157" s="225" t="s">
        <v>114</v>
      </c>
      <c r="K157" s="66" t="s">
        <v>25</v>
      </c>
      <c r="L157" s="67"/>
    </row>
    <row r="158" spans="2:12" hidden="1">
      <c r="B158" s="63"/>
      <c r="C158" s="1001" t="s">
        <v>152</v>
      </c>
      <c r="D158" s="1001"/>
      <c r="E158" s="1001"/>
      <c r="F158" s="68">
        <v>1</v>
      </c>
      <c r="G158" s="68"/>
      <c r="H158" s="68">
        <v>4.5</v>
      </c>
      <c r="I158" s="68">
        <v>6</v>
      </c>
      <c r="J158" s="68"/>
      <c r="K158" s="226">
        <f>TRUNC(H158*I158*F158,2)</f>
        <v>27</v>
      </c>
      <c r="L158" s="67"/>
    </row>
    <row r="159" spans="2:12" hidden="1">
      <c r="B159" s="63"/>
      <c r="C159" s="1002" t="s">
        <v>116</v>
      </c>
      <c r="D159" s="1002"/>
      <c r="E159" s="1002"/>
      <c r="F159" s="1002"/>
      <c r="G159" s="1002"/>
      <c r="H159" s="1002"/>
      <c r="I159" s="1002"/>
      <c r="J159" s="1002"/>
      <c r="K159" s="66">
        <f>SUM(K158:K158)</f>
        <v>27</v>
      </c>
      <c r="L159" s="67"/>
    </row>
    <row r="160" spans="2:12" hidden="1"/>
    <row r="161" spans="2:12" ht="20.25" hidden="1" customHeight="1">
      <c r="B161" s="60" t="str">
        <f>'[6]PLANILHA ORÇAMENTÁRIA'!D37</f>
        <v>5.9</v>
      </c>
      <c r="C161" s="1003" t="str">
        <f>'[6]PLANILHA ORÇAMENTÁRIA'!E37</f>
        <v>TAMPA DE CONCRETO ARMADO 60X60X5CM PARA CAIXA</v>
      </c>
      <c r="D161" s="1003"/>
      <c r="E161" s="1003"/>
      <c r="F161" s="1003"/>
      <c r="G161" s="1003"/>
      <c r="H161" s="1003"/>
      <c r="I161" s="1003"/>
      <c r="J161" s="1003"/>
      <c r="K161" s="61" t="str">
        <f>'[6]PLANILHA ORÇAMENTÁRIA'!F37</f>
        <v>UND</v>
      </c>
      <c r="L161" s="62">
        <f>K164</f>
        <v>1</v>
      </c>
    </row>
    <row r="162" spans="2:12" hidden="1">
      <c r="B162" s="63"/>
      <c r="C162" s="1004" t="s">
        <v>20</v>
      </c>
      <c r="D162" s="1004"/>
      <c r="E162" s="1004"/>
      <c r="F162" s="64" t="s">
        <v>22</v>
      </c>
      <c r="G162" s="225" t="s">
        <v>111</v>
      </c>
      <c r="H162" s="64" t="s">
        <v>112</v>
      </c>
      <c r="I162" s="225" t="s">
        <v>113</v>
      </c>
      <c r="J162" s="225" t="s">
        <v>114</v>
      </c>
      <c r="K162" s="66" t="s">
        <v>25</v>
      </c>
      <c r="L162" s="67"/>
    </row>
    <row r="163" spans="2:12" hidden="1">
      <c r="B163" s="63"/>
      <c r="C163" s="1001" t="s">
        <v>153</v>
      </c>
      <c r="D163" s="1001"/>
      <c r="E163" s="1001"/>
      <c r="F163" s="68">
        <v>1</v>
      </c>
      <c r="G163" s="68"/>
      <c r="H163" s="68"/>
      <c r="I163" s="68"/>
      <c r="J163" s="68"/>
      <c r="K163" s="226">
        <f>F163</f>
        <v>1</v>
      </c>
      <c r="L163" s="67"/>
    </row>
    <row r="164" spans="2:12" hidden="1">
      <c r="B164" s="63"/>
      <c r="C164" s="1002" t="s">
        <v>116</v>
      </c>
      <c r="D164" s="1002"/>
      <c r="E164" s="1002"/>
      <c r="F164" s="1002"/>
      <c r="G164" s="1002"/>
      <c r="H164" s="1002"/>
      <c r="I164" s="1002"/>
      <c r="J164" s="1002"/>
      <c r="K164" s="66">
        <f>SUM(K163:K163)</f>
        <v>1</v>
      </c>
      <c r="L164" s="67"/>
    </row>
    <row r="165" spans="2:12" hidden="1">
      <c r="B165" s="63"/>
      <c r="C165" s="71"/>
      <c r="D165" s="71"/>
      <c r="E165" s="71"/>
      <c r="F165" s="71"/>
      <c r="G165" s="71"/>
      <c r="H165" s="71"/>
      <c r="I165" s="71"/>
      <c r="J165" s="71"/>
      <c r="K165" s="73"/>
      <c r="L165" s="67"/>
    </row>
    <row r="166" spans="2:12" hidden="1">
      <c r="B166" s="60" t="str">
        <f>'[6]PLANILHA ORÇAMENTÁRIA'!D38</f>
        <v>5.10</v>
      </c>
      <c r="C166" s="1003" t="str">
        <f>'[6]PLANILHA ORÇAMENTÁRIA'!E38</f>
        <v>VERGA PRÉ-MOLDADA PARA JANELAS COM ATÉ 1,5 M DE VÃO. AF_03/2016</v>
      </c>
      <c r="D166" s="1003"/>
      <c r="E166" s="1003"/>
      <c r="F166" s="1003"/>
      <c r="G166" s="1003"/>
      <c r="H166" s="1003"/>
      <c r="I166" s="1003"/>
      <c r="J166" s="1003"/>
      <c r="K166" s="61" t="str">
        <f>'[6]PLANILHA ORÇAMENTÁRIA'!F38</f>
        <v>M</v>
      </c>
      <c r="L166" s="62">
        <f>K169</f>
        <v>3.3000000000000003</v>
      </c>
    </row>
    <row r="167" spans="2:12" hidden="1">
      <c r="B167" s="63"/>
      <c r="C167" s="1004" t="s">
        <v>20</v>
      </c>
      <c r="D167" s="1004"/>
      <c r="E167" s="1004"/>
      <c r="F167" s="64" t="s">
        <v>22</v>
      </c>
      <c r="G167" s="225" t="s">
        <v>111</v>
      </c>
      <c r="H167" s="64" t="s">
        <v>112</v>
      </c>
      <c r="I167" s="225" t="s">
        <v>113</v>
      </c>
      <c r="J167" s="225" t="s">
        <v>114</v>
      </c>
      <c r="K167" s="66" t="s">
        <v>25</v>
      </c>
      <c r="L167" s="67"/>
    </row>
    <row r="168" spans="2:12" hidden="1">
      <c r="B168" s="63"/>
      <c r="C168" s="1001"/>
      <c r="D168" s="1001"/>
      <c r="E168" s="1001"/>
      <c r="F168" s="68">
        <v>3</v>
      </c>
      <c r="G168" s="68"/>
      <c r="H168" s="68"/>
      <c r="I168" s="68">
        <v>1.1000000000000001</v>
      </c>
      <c r="J168" s="68"/>
      <c r="K168" s="226">
        <f>F168*I168</f>
        <v>3.3000000000000003</v>
      </c>
      <c r="L168" s="67"/>
    </row>
    <row r="169" spans="2:12" hidden="1">
      <c r="B169" s="63"/>
      <c r="C169" s="1002" t="s">
        <v>116</v>
      </c>
      <c r="D169" s="1002"/>
      <c r="E169" s="1002"/>
      <c r="F169" s="1002"/>
      <c r="G169" s="1002"/>
      <c r="H169" s="1002"/>
      <c r="I169" s="1002"/>
      <c r="J169" s="1002"/>
      <c r="K169" s="66">
        <f>SUM(K168:K168)</f>
        <v>3.3000000000000003</v>
      </c>
      <c r="L169" s="67"/>
    </row>
    <row r="170" spans="2:12" hidden="1">
      <c r="B170" s="63"/>
      <c r="C170" s="71"/>
      <c r="D170" s="71"/>
      <c r="E170" s="71"/>
      <c r="F170" s="71"/>
      <c r="G170" s="71"/>
      <c r="H170" s="71"/>
      <c r="I170" s="71"/>
      <c r="J170" s="71"/>
      <c r="K170" s="73"/>
      <c r="L170" s="67"/>
    </row>
    <row r="171" spans="2:12" hidden="1">
      <c r="B171" s="60" t="str">
        <f>'[6]PLANILHA ORÇAMENTÁRIA'!D39</f>
        <v>5.11</v>
      </c>
      <c r="C171" s="1003" t="str">
        <f>'[6]PLANILHA ORÇAMENTÁRIA'!E39</f>
        <v>VERGA PRÉ-MOLDADA PARA PORTAS COM ATÉ 1,5 M DE VÃO. AF_03/2016</v>
      </c>
      <c r="D171" s="1003"/>
      <c r="E171" s="1003"/>
      <c r="F171" s="1003"/>
      <c r="G171" s="1003"/>
      <c r="H171" s="1003"/>
      <c r="I171" s="1003"/>
      <c r="J171" s="1003"/>
      <c r="K171" s="61" t="str">
        <f>'[6]PLANILHA ORÇAMENTÁRIA'!F39</f>
        <v>M</v>
      </c>
      <c r="L171" s="62">
        <f>K174</f>
        <v>3.3000000000000003</v>
      </c>
    </row>
    <row r="172" spans="2:12" hidden="1">
      <c r="B172" s="63"/>
      <c r="C172" s="1004" t="s">
        <v>20</v>
      </c>
      <c r="D172" s="1004"/>
      <c r="E172" s="1004"/>
      <c r="F172" s="64" t="s">
        <v>22</v>
      </c>
      <c r="G172" s="225" t="s">
        <v>111</v>
      </c>
      <c r="H172" s="64" t="s">
        <v>112</v>
      </c>
      <c r="I172" s="225" t="s">
        <v>113</v>
      </c>
      <c r="J172" s="225" t="s">
        <v>114</v>
      </c>
      <c r="K172" s="66" t="s">
        <v>25</v>
      </c>
      <c r="L172" s="67"/>
    </row>
    <row r="173" spans="2:12" ht="15" hidden="1" customHeight="1">
      <c r="B173" s="63"/>
      <c r="C173" s="1001"/>
      <c r="D173" s="1001"/>
      <c r="E173" s="1001"/>
      <c r="F173" s="68">
        <v>3</v>
      </c>
      <c r="G173" s="68"/>
      <c r="H173" s="68"/>
      <c r="I173" s="68">
        <v>1.1000000000000001</v>
      </c>
      <c r="J173" s="68"/>
      <c r="K173" s="226">
        <f>F173*I173</f>
        <v>3.3000000000000003</v>
      </c>
      <c r="L173" s="67"/>
    </row>
    <row r="174" spans="2:12" hidden="1">
      <c r="B174" s="63"/>
      <c r="C174" s="1002" t="s">
        <v>116</v>
      </c>
      <c r="D174" s="1002"/>
      <c r="E174" s="1002"/>
      <c r="F174" s="1002"/>
      <c r="G174" s="1002"/>
      <c r="H174" s="1002"/>
      <c r="I174" s="1002"/>
      <c r="J174" s="1002"/>
      <c r="K174" s="66">
        <f>SUM(K173:K173)</f>
        <v>3.3000000000000003</v>
      </c>
      <c r="L174" s="67"/>
    </row>
    <row r="175" spans="2:12" hidden="1">
      <c r="B175" s="63"/>
      <c r="C175" s="71"/>
      <c r="D175" s="71"/>
      <c r="E175" s="71"/>
      <c r="F175" s="71"/>
      <c r="G175" s="71"/>
      <c r="H175" s="71"/>
      <c r="I175" s="71"/>
      <c r="J175" s="71"/>
      <c r="K175" s="73"/>
      <c r="L175" s="67"/>
    </row>
    <row r="176" spans="2:12" hidden="1">
      <c r="B176" s="60" t="str">
        <f>'[6]PLANILHA ORÇAMENTÁRIA'!D40</f>
        <v>5.12</v>
      </c>
      <c r="C176" s="1003" t="str">
        <f>'[6]PLANILHA ORÇAMENTÁRIA'!E40</f>
        <v>CONTRAVERGA PRÉ-MOLDADA PARA VÃOS DE ATÉ 1,5 M DE COMPRIMENTO. AF_03/2016</v>
      </c>
      <c r="D176" s="1003"/>
      <c r="E176" s="1003"/>
      <c r="F176" s="1003"/>
      <c r="G176" s="1003"/>
      <c r="H176" s="1003"/>
      <c r="I176" s="1003"/>
      <c r="J176" s="1003"/>
      <c r="K176" s="61" t="str">
        <f>'[6]PLANILHA ORÇAMENTÁRIA'!F40</f>
        <v>M</v>
      </c>
      <c r="L176" s="62">
        <f>K179</f>
        <v>3.3000000000000003</v>
      </c>
    </row>
    <row r="177" spans="2:12" hidden="1">
      <c r="B177" s="63"/>
      <c r="C177" s="1004" t="s">
        <v>20</v>
      </c>
      <c r="D177" s="1004"/>
      <c r="E177" s="1004"/>
      <c r="F177" s="64" t="s">
        <v>22</v>
      </c>
      <c r="G177" s="225" t="s">
        <v>111</v>
      </c>
      <c r="H177" s="64" t="s">
        <v>112</v>
      </c>
      <c r="I177" s="225" t="s">
        <v>113</v>
      </c>
      <c r="J177" s="225" t="s">
        <v>114</v>
      </c>
      <c r="K177" s="66" t="s">
        <v>25</v>
      </c>
      <c r="L177" s="67"/>
    </row>
    <row r="178" spans="2:12" ht="15" hidden="1" customHeight="1">
      <c r="B178" s="63"/>
      <c r="C178" s="1001"/>
      <c r="D178" s="1001"/>
      <c r="E178" s="1001"/>
      <c r="F178" s="68">
        <v>3</v>
      </c>
      <c r="G178" s="68"/>
      <c r="H178" s="68"/>
      <c r="I178" s="68">
        <v>1.1000000000000001</v>
      </c>
      <c r="J178" s="68"/>
      <c r="K178" s="226">
        <f>F178*I178</f>
        <v>3.3000000000000003</v>
      </c>
      <c r="L178" s="67"/>
    </row>
    <row r="179" spans="2:12" hidden="1">
      <c r="B179" s="63"/>
      <c r="C179" s="1002" t="s">
        <v>116</v>
      </c>
      <c r="D179" s="1002"/>
      <c r="E179" s="1002"/>
      <c r="F179" s="1002"/>
      <c r="G179" s="1002"/>
      <c r="H179" s="1002"/>
      <c r="I179" s="1002"/>
      <c r="J179" s="1002"/>
      <c r="K179" s="66">
        <f>SUM(K178:K178)</f>
        <v>3.3000000000000003</v>
      </c>
      <c r="L179" s="67"/>
    </row>
    <row r="180" spans="2:12" hidden="1">
      <c r="B180" s="63"/>
      <c r="C180" s="71"/>
      <c r="D180" s="71"/>
      <c r="E180" s="71"/>
      <c r="F180" s="71"/>
      <c r="G180" s="71"/>
      <c r="H180" s="71"/>
      <c r="I180" s="71"/>
      <c r="J180" s="71"/>
      <c r="K180" s="73"/>
      <c r="L180" s="67"/>
    </row>
    <row r="181" spans="2:12" hidden="1">
      <c r="B181" s="58" t="str">
        <f>'[6]PLANILHA ORÇAMENTÁRIA'!D41</f>
        <v>6.0</v>
      </c>
      <c r="C181" s="1000" t="str">
        <f>'[6]PLANILHA ORÇAMENTÁRIA'!E41</f>
        <v>ALVENARIA DE VEDAÇÃO</v>
      </c>
      <c r="D181" s="1000"/>
      <c r="E181" s="1000"/>
      <c r="F181" s="1000"/>
      <c r="G181" s="1000"/>
      <c r="H181" s="1000"/>
      <c r="I181" s="1000"/>
      <c r="J181" s="1000"/>
      <c r="K181" s="59"/>
      <c r="L181" s="59"/>
    </row>
    <row r="182" spans="2:12" ht="23.25" hidden="1" customHeight="1">
      <c r="B182" s="60" t="str">
        <f>'[6]PLANILHA ORÇAMENTÁRIA'!D42</f>
        <v>6.1</v>
      </c>
      <c r="C182" s="1003" t="str">
        <f>'[6]PLANILHA ORÇAMENTÁRIA'!E42</f>
        <v>ALVENARIA DE BLOCO CERÂMICO FURADO (9x19x19)cm C/ARGAMASSA MISTA DE CAL HIDRATADA, ESP=9 cm</v>
      </c>
      <c r="D182" s="1003"/>
      <c r="E182" s="1003"/>
      <c r="F182" s="1003"/>
      <c r="G182" s="1003"/>
      <c r="H182" s="1003"/>
      <c r="I182" s="1003"/>
      <c r="J182" s="1003"/>
      <c r="K182" s="61" t="str">
        <f>'[6]PLANILHA ORÇAMENTÁRIA'!F42</f>
        <v>M2</v>
      </c>
      <c r="L182" s="62">
        <f>K187</f>
        <v>133.51999999999998</v>
      </c>
    </row>
    <row r="183" spans="2:12" hidden="1">
      <c r="B183" s="63"/>
      <c r="C183" s="1004" t="s">
        <v>20</v>
      </c>
      <c r="D183" s="1004"/>
      <c r="E183" s="1004"/>
      <c r="F183" s="64" t="s">
        <v>22</v>
      </c>
      <c r="G183" s="225" t="s">
        <v>111</v>
      </c>
      <c r="H183" s="64" t="s">
        <v>112</v>
      </c>
      <c r="I183" s="225" t="s">
        <v>154</v>
      </c>
      <c r="J183" s="225" t="s">
        <v>114</v>
      </c>
      <c r="K183" s="66" t="s">
        <v>25</v>
      </c>
      <c r="L183" s="67"/>
    </row>
    <row r="184" spans="2:12" hidden="1">
      <c r="B184" s="63"/>
      <c r="C184" s="1001" t="s">
        <v>155</v>
      </c>
      <c r="D184" s="1001"/>
      <c r="E184" s="1001"/>
      <c r="F184" s="68"/>
      <c r="G184" s="68">
        <v>2.6</v>
      </c>
      <c r="H184" s="68"/>
      <c r="I184" s="68">
        <f>(6.6*2)+(4.2*3)+3.15+2.16+(1.05*2)</f>
        <v>33.21</v>
      </c>
      <c r="J184" s="68">
        <v>3.88</v>
      </c>
      <c r="K184" s="226">
        <f>TRUNC((G184*I184)-J184,2)</f>
        <v>82.46</v>
      </c>
      <c r="L184" s="67"/>
    </row>
    <row r="185" spans="2:12" hidden="1">
      <c r="B185" s="63"/>
      <c r="C185" s="1001" t="s">
        <v>156</v>
      </c>
      <c r="D185" s="1001"/>
      <c r="E185" s="1001"/>
      <c r="F185" s="68"/>
      <c r="G185" s="68">
        <v>2.15</v>
      </c>
      <c r="H185" s="68"/>
      <c r="I185" s="68">
        <f>(6.6*2)+(4.2*2)</f>
        <v>21.6</v>
      </c>
      <c r="J185" s="68"/>
      <c r="K185" s="226">
        <f>TRUNC((G185*I185),2)</f>
        <v>46.44</v>
      </c>
      <c r="L185" s="67"/>
    </row>
    <row r="186" spans="2:12" hidden="1">
      <c r="B186" s="63"/>
      <c r="C186" s="1001" t="s">
        <v>157</v>
      </c>
      <c r="D186" s="1001"/>
      <c r="E186" s="1001"/>
      <c r="F186" s="68"/>
      <c r="G186" s="68">
        <v>2.1</v>
      </c>
      <c r="H186" s="68"/>
      <c r="I186" s="68">
        <v>2.2000000000000002</v>
      </c>
      <c r="J186" s="68"/>
      <c r="K186" s="226">
        <f>TRUNC((G186*I186),2)</f>
        <v>4.62</v>
      </c>
      <c r="L186" s="67"/>
    </row>
    <row r="187" spans="2:12" hidden="1">
      <c r="B187" s="63"/>
      <c r="C187" s="1002" t="s">
        <v>116</v>
      </c>
      <c r="D187" s="1002"/>
      <c r="E187" s="1002"/>
      <c r="F187" s="1002"/>
      <c r="G187" s="1002"/>
      <c r="H187" s="1002"/>
      <c r="I187" s="1002"/>
      <c r="J187" s="1002"/>
      <c r="K187" s="66">
        <f>SUM(K184:K186)</f>
        <v>133.51999999999998</v>
      </c>
      <c r="L187" s="67"/>
    </row>
    <row r="188" spans="2:12">
      <c r="B188" s="63"/>
      <c r="C188" s="71"/>
      <c r="D188" s="71"/>
      <c r="E188" s="71"/>
      <c r="F188" s="71"/>
      <c r="G188" s="71"/>
      <c r="H188" s="71"/>
      <c r="I188" s="71"/>
      <c r="J188" s="71"/>
      <c r="K188" s="73"/>
      <c r="L188" s="67"/>
    </row>
    <row r="189" spans="2:12">
      <c r="B189" s="76" t="s">
        <v>4</v>
      </c>
      <c r="C189" s="993" t="s">
        <v>5</v>
      </c>
      <c r="D189" s="993"/>
      <c r="E189" s="993"/>
      <c r="F189" s="993"/>
      <c r="G189" s="993"/>
      <c r="H189" s="993"/>
      <c r="I189" s="993"/>
      <c r="J189" s="993"/>
      <c r="K189" s="77"/>
      <c r="L189" s="77"/>
    </row>
    <row r="191" spans="2:12" ht="19.5" customHeight="1">
      <c r="B191" s="85" t="s">
        <v>6</v>
      </c>
      <c r="C191" s="1024" t="s">
        <v>10</v>
      </c>
      <c r="D191" s="1025"/>
      <c r="E191" s="1025"/>
      <c r="F191" s="1025"/>
      <c r="G191" s="1025"/>
      <c r="H191" s="1025"/>
      <c r="I191" s="1025"/>
      <c r="J191" s="1026"/>
      <c r="K191" s="95" t="str">
        <f>'[6]PLANILHA ORÇAMENTÁRIA'!F45</f>
        <v>M2</v>
      </c>
      <c r="L191" s="96">
        <f>K195</f>
        <v>24.97</v>
      </c>
    </row>
    <row r="192" spans="2:12">
      <c r="B192" s="86"/>
      <c r="C192" s="1027" t="s">
        <v>20</v>
      </c>
      <c r="D192" s="1027"/>
      <c r="E192" s="1027"/>
      <c r="F192" s="92" t="s">
        <v>22</v>
      </c>
      <c r="G192" s="227" t="s">
        <v>111</v>
      </c>
      <c r="H192" s="92" t="s">
        <v>112</v>
      </c>
      <c r="I192" s="227" t="s">
        <v>113</v>
      </c>
      <c r="J192" s="227" t="s">
        <v>114</v>
      </c>
      <c r="K192" s="94" t="s">
        <v>25</v>
      </c>
      <c r="L192" s="90"/>
    </row>
    <row r="193" spans="2:12">
      <c r="B193" s="86"/>
      <c r="C193" s="1028" t="s">
        <v>528</v>
      </c>
      <c r="D193" s="1028"/>
      <c r="E193" s="1028"/>
      <c r="F193" s="91">
        <v>1</v>
      </c>
      <c r="G193" s="91">
        <v>1</v>
      </c>
      <c r="H193" s="91">
        <v>1.69</v>
      </c>
      <c r="I193" s="91">
        <v>14.78</v>
      </c>
      <c r="J193" s="91">
        <v>0</v>
      </c>
      <c r="K193" s="228">
        <f>TRUNC(H193*I193,2)</f>
        <v>24.97</v>
      </c>
      <c r="L193" s="90"/>
    </row>
    <row r="194" spans="2:12">
      <c r="B194" s="86"/>
      <c r="C194" s="984" t="s">
        <v>529</v>
      </c>
      <c r="D194" s="985"/>
      <c r="E194" s="986"/>
      <c r="F194" s="91">
        <v>1</v>
      </c>
      <c r="G194" s="91">
        <v>1</v>
      </c>
      <c r="H194" s="91">
        <v>1.65</v>
      </c>
      <c r="I194" s="91">
        <v>4.8499999999999996</v>
      </c>
      <c r="J194" s="91">
        <v>0</v>
      </c>
      <c r="K194" s="243">
        <f>TRUNC(H194*I194,2)</f>
        <v>8</v>
      </c>
      <c r="L194" s="90"/>
    </row>
    <row r="195" spans="2:12">
      <c r="B195" s="86"/>
      <c r="C195" s="987" t="s">
        <v>116</v>
      </c>
      <c r="D195" s="987"/>
      <c r="E195" s="987"/>
      <c r="F195" s="987"/>
      <c r="G195" s="987"/>
      <c r="H195" s="987"/>
      <c r="I195" s="987"/>
      <c r="J195" s="987"/>
      <c r="K195" s="89">
        <f>SUM(K193:K193)</f>
        <v>24.97</v>
      </c>
      <c r="L195" s="90"/>
    </row>
    <row r="196" spans="2:12">
      <c r="B196" s="63"/>
      <c r="C196" s="71"/>
      <c r="D196" s="71"/>
      <c r="E196" s="71"/>
      <c r="F196" s="71"/>
      <c r="G196" s="71"/>
      <c r="H196" s="71"/>
      <c r="I196" s="71"/>
      <c r="J196" s="71"/>
      <c r="K196" s="73"/>
      <c r="L196" s="67"/>
    </row>
    <row r="197" spans="2:12"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</row>
    <row r="198" spans="2:12" ht="15" customHeight="1">
      <c r="B198" s="86" t="s">
        <v>29</v>
      </c>
      <c r="C198" s="980" t="s">
        <v>27</v>
      </c>
      <c r="D198" s="981"/>
      <c r="E198" s="981"/>
      <c r="F198" s="981"/>
      <c r="G198" s="981"/>
      <c r="H198" s="981"/>
      <c r="I198" s="981"/>
      <c r="J198" s="982"/>
      <c r="K198" s="97" t="str">
        <f>'[6]PLANILHA ORÇAMENTÁRIA'!F51</f>
        <v>M2</v>
      </c>
      <c r="L198" s="97">
        <f>K201</f>
        <v>40</v>
      </c>
    </row>
    <row r="199" spans="2:12">
      <c r="B199" s="86"/>
      <c r="C199" s="1027" t="s">
        <v>20</v>
      </c>
      <c r="D199" s="1027"/>
      <c r="E199" s="1027"/>
      <c r="F199" s="92" t="s">
        <v>22</v>
      </c>
      <c r="G199" s="227" t="s">
        <v>111</v>
      </c>
      <c r="H199" s="92" t="s">
        <v>112</v>
      </c>
      <c r="I199" s="227" t="s">
        <v>113</v>
      </c>
      <c r="J199" s="227" t="s">
        <v>114</v>
      </c>
      <c r="K199" s="94" t="s">
        <v>25</v>
      </c>
      <c r="L199" s="90"/>
    </row>
    <row r="200" spans="2:12">
      <c r="B200" s="86"/>
      <c r="C200" s="984" t="s">
        <v>531</v>
      </c>
      <c r="D200" s="985"/>
      <c r="E200" s="986"/>
      <c r="F200" s="91">
        <v>1</v>
      </c>
      <c r="G200" s="91">
        <v>1</v>
      </c>
      <c r="H200" s="91">
        <v>8</v>
      </c>
      <c r="I200" s="91">
        <v>5</v>
      </c>
      <c r="J200" s="91">
        <v>0</v>
      </c>
      <c r="K200" s="228">
        <f>H200*I200</f>
        <v>40</v>
      </c>
      <c r="L200" s="90"/>
    </row>
    <row r="201" spans="2:12">
      <c r="B201" s="86"/>
      <c r="C201" s="987" t="s">
        <v>116</v>
      </c>
      <c r="D201" s="987"/>
      <c r="E201" s="987"/>
      <c r="F201" s="987"/>
      <c r="G201" s="987"/>
      <c r="H201" s="987"/>
      <c r="I201" s="987"/>
      <c r="J201" s="987"/>
      <c r="K201" s="89">
        <f>K200</f>
        <v>40</v>
      </c>
      <c r="L201" s="90"/>
    </row>
    <row r="202" spans="2:12">
      <c r="B202" s="63"/>
      <c r="C202" s="71"/>
      <c r="D202" s="71"/>
      <c r="E202" s="71"/>
      <c r="F202" s="71"/>
      <c r="G202" s="71"/>
      <c r="H202" s="71"/>
      <c r="I202" s="71"/>
      <c r="J202" s="71"/>
      <c r="K202" s="73"/>
      <c r="L202" s="67"/>
    </row>
    <row r="203" spans="2:12" ht="15" customHeight="1">
      <c r="B203" s="86" t="s">
        <v>31</v>
      </c>
      <c r="C203" s="1024" t="s">
        <v>8</v>
      </c>
      <c r="D203" s="1025"/>
      <c r="E203" s="1025"/>
      <c r="F203" s="1025"/>
      <c r="G203" s="1025"/>
      <c r="H203" s="1025"/>
      <c r="I203" s="1025"/>
      <c r="J203" s="1026"/>
      <c r="K203" s="97" t="s">
        <v>7</v>
      </c>
      <c r="L203" s="97">
        <f>K206</f>
        <v>40</v>
      </c>
    </row>
    <row r="204" spans="2:12">
      <c r="B204" s="86"/>
      <c r="C204" s="983" t="s">
        <v>20</v>
      </c>
      <c r="D204" s="983"/>
      <c r="E204" s="983"/>
      <c r="F204" s="87" t="s">
        <v>22</v>
      </c>
      <c r="G204" s="223" t="s">
        <v>111</v>
      </c>
      <c r="H204" s="87" t="s">
        <v>112</v>
      </c>
      <c r="I204" s="223" t="s">
        <v>113</v>
      </c>
      <c r="J204" s="223" t="s">
        <v>114</v>
      </c>
      <c r="K204" s="89" t="s">
        <v>25</v>
      </c>
      <c r="L204" s="90"/>
    </row>
    <row r="205" spans="2:12">
      <c r="B205" s="86"/>
      <c r="C205" s="984" t="s">
        <v>531</v>
      </c>
      <c r="D205" s="985"/>
      <c r="E205" s="986"/>
      <c r="F205" s="91">
        <v>1</v>
      </c>
      <c r="G205" s="91">
        <v>1</v>
      </c>
      <c r="H205" s="91">
        <v>8</v>
      </c>
      <c r="I205" s="91">
        <v>5</v>
      </c>
      <c r="J205" s="91">
        <v>0</v>
      </c>
      <c r="K205" s="89">
        <f>(F205*G205*H205*I205)-J205</f>
        <v>40</v>
      </c>
      <c r="L205" s="90"/>
    </row>
    <row r="206" spans="2:12">
      <c r="B206" s="86"/>
      <c r="C206" s="987" t="s">
        <v>116</v>
      </c>
      <c r="D206" s="987"/>
      <c r="E206" s="987"/>
      <c r="F206" s="987"/>
      <c r="G206" s="987"/>
      <c r="H206" s="987"/>
      <c r="I206" s="987"/>
      <c r="J206" s="987"/>
      <c r="K206" s="89">
        <f>K205</f>
        <v>40</v>
      </c>
      <c r="L206" s="90"/>
    </row>
    <row r="207" spans="2:12">
      <c r="B207" s="63"/>
      <c r="C207" s="71"/>
      <c r="D207" s="71"/>
      <c r="E207" s="71"/>
      <c r="F207" s="71"/>
      <c r="G207" s="71"/>
      <c r="H207" s="71"/>
      <c r="I207" s="71"/>
      <c r="J207" s="71"/>
      <c r="K207" s="73"/>
      <c r="L207" s="67"/>
    </row>
    <row r="208" spans="2:12">
      <c r="B208" s="86" t="s">
        <v>79</v>
      </c>
      <c r="C208" s="997" t="s">
        <v>645</v>
      </c>
      <c r="D208" s="998"/>
      <c r="E208" s="998"/>
      <c r="F208" s="998"/>
      <c r="G208" s="998"/>
      <c r="H208" s="998"/>
      <c r="I208" s="998"/>
      <c r="J208" s="999"/>
      <c r="K208" s="97" t="s">
        <v>7</v>
      </c>
      <c r="L208" s="97">
        <f>K211</f>
        <v>40</v>
      </c>
    </row>
    <row r="209" spans="2:12">
      <c r="B209" s="86"/>
      <c r="C209" s="983" t="s">
        <v>20</v>
      </c>
      <c r="D209" s="983"/>
      <c r="E209" s="983"/>
      <c r="F209" s="87" t="s">
        <v>22</v>
      </c>
      <c r="G209" s="223" t="s">
        <v>111</v>
      </c>
      <c r="H209" s="87" t="s">
        <v>112</v>
      </c>
      <c r="I209" s="223" t="s">
        <v>113</v>
      </c>
      <c r="J209" s="223" t="s">
        <v>114</v>
      </c>
      <c r="K209" s="89" t="s">
        <v>25</v>
      </c>
      <c r="L209" s="90"/>
    </row>
    <row r="210" spans="2:12" ht="15" customHeight="1">
      <c r="B210" s="86"/>
      <c r="C210" s="984" t="s">
        <v>531</v>
      </c>
      <c r="D210" s="985"/>
      <c r="E210" s="986"/>
      <c r="F210" s="91">
        <v>1</v>
      </c>
      <c r="G210" s="91">
        <v>1</v>
      </c>
      <c r="H210" s="91">
        <v>8</v>
      </c>
      <c r="I210" s="91">
        <v>5</v>
      </c>
      <c r="J210" s="91">
        <v>0</v>
      </c>
      <c r="K210" s="228">
        <f>H210*I210</f>
        <v>40</v>
      </c>
      <c r="L210" s="90"/>
    </row>
    <row r="211" spans="2:12">
      <c r="B211" s="86"/>
      <c r="C211" s="987" t="s">
        <v>116</v>
      </c>
      <c r="D211" s="987"/>
      <c r="E211" s="987"/>
      <c r="F211" s="987"/>
      <c r="G211" s="987"/>
      <c r="H211" s="987"/>
      <c r="I211" s="987"/>
      <c r="J211" s="987"/>
      <c r="K211" s="89">
        <f>SUM(K210:K210)</f>
        <v>40</v>
      </c>
      <c r="L211" s="90"/>
    </row>
    <row r="212" spans="2:12" hidden="1">
      <c r="B212" s="63"/>
      <c r="C212" s="1004" t="s">
        <v>20</v>
      </c>
      <c r="D212" s="1004"/>
      <c r="E212" s="1004"/>
      <c r="F212" s="64" t="s">
        <v>22</v>
      </c>
      <c r="G212" s="225" t="s">
        <v>111</v>
      </c>
      <c r="H212" s="64" t="s">
        <v>112</v>
      </c>
      <c r="I212" s="225" t="s">
        <v>154</v>
      </c>
      <c r="J212" s="225" t="s">
        <v>114</v>
      </c>
      <c r="K212" s="66" t="s">
        <v>25</v>
      </c>
      <c r="L212" s="67"/>
    </row>
    <row r="213" spans="2:12" hidden="1">
      <c r="B213" s="63"/>
      <c r="C213" s="1001" t="s">
        <v>159</v>
      </c>
      <c r="D213" s="1001"/>
      <c r="E213" s="1001"/>
      <c r="F213" s="68">
        <v>1</v>
      </c>
      <c r="G213" s="68">
        <v>5.05</v>
      </c>
      <c r="H213" s="68"/>
      <c r="I213" s="68">
        <f>6.6*2</f>
        <v>13.2</v>
      </c>
      <c r="J213" s="68">
        <v>3.88</v>
      </c>
      <c r="K213" s="226">
        <f>TRUNC(((G213*I213)*F213)-J213,2)</f>
        <v>62.78</v>
      </c>
      <c r="L213" s="67"/>
    </row>
    <row r="214" spans="2:12" hidden="1">
      <c r="B214" s="63"/>
      <c r="C214" s="1001" t="s">
        <v>156</v>
      </c>
      <c r="D214" s="1001"/>
      <c r="E214" s="1001"/>
      <c r="F214" s="68">
        <v>1</v>
      </c>
      <c r="G214" s="68">
        <v>5.05</v>
      </c>
      <c r="H214" s="68"/>
      <c r="I214" s="68">
        <v>9</v>
      </c>
      <c r="J214" s="68"/>
      <c r="K214" s="226">
        <f>TRUNC(((G214*I214)*F214),2)</f>
        <v>45.45</v>
      </c>
      <c r="L214" s="67"/>
    </row>
    <row r="215" spans="2:12" hidden="1">
      <c r="B215" s="63"/>
      <c r="C215" s="1001" t="s">
        <v>160</v>
      </c>
      <c r="D215" s="1001"/>
      <c r="E215" s="1001"/>
      <c r="F215" s="68">
        <v>2</v>
      </c>
      <c r="G215" s="68">
        <v>2.6</v>
      </c>
      <c r="H215" s="68"/>
      <c r="I215" s="68">
        <f>4.2+3.15+2.15+(1.05*2)</f>
        <v>11.6</v>
      </c>
      <c r="J215" s="68"/>
      <c r="K215" s="226">
        <f>TRUNC(((G215*I215)*F215),2)</f>
        <v>60.32</v>
      </c>
      <c r="L215" s="67"/>
    </row>
    <row r="216" spans="2:12" hidden="1">
      <c r="B216" s="63"/>
      <c r="C216" s="1001" t="s">
        <v>161</v>
      </c>
      <c r="D216" s="1001"/>
      <c r="E216" s="1001"/>
      <c r="F216" s="68">
        <v>2</v>
      </c>
      <c r="G216" s="68">
        <v>2.1</v>
      </c>
      <c r="H216" s="68"/>
      <c r="I216" s="68">
        <v>2.2000000000000002</v>
      </c>
      <c r="J216" s="68"/>
      <c r="K216" s="226">
        <f>TRUNC(((G216*I216)*F216),2)</f>
        <v>9.24</v>
      </c>
      <c r="L216" s="67"/>
    </row>
    <row r="217" spans="2:12" hidden="1">
      <c r="B217" s="63"/>
      <c r="C217" s="1002" t="s">
        <v>116</v>
      </c>
      <c r="D217" s="1002"/>
      <c r="E217" s="1002"/>
      <c r="F217" s="1002"/>
      <c r="G217" s="1002"/>
      <c r="H217" s="1002"/>
      <c r="I217" s="1002"/>
      <c r="J217" s="1002"/>
      <c r="K217" s="66">
        <f>SUM(K213:K216)</f>
        <v>177.79000000000002</v>
      </c>
      <c r="L217" s="67"/>
    </row>
    <row r="218" spans="2:12" hidden="1"/>
    <row r="219" spans="2:12" ht="24" hidden="1" customHeight="1">
      <c r="B219" s="60" t="str">
        <f>'[6]PLANILHA ORÇAMENTÁRIA'!D49</f>
        <v>8.2</v>
      </c>
      <c r="C219" s="1003" t="str">
        <f>'[6]PLANILHA ORÇAMENTÁRIA'!E49</f>
        <v>EMBOÇO, PARA RECEBIMENTO DE CERÂMICA, EM ARGAMASSA TRAÇO 1:2:8, PREPARO MECÂNICO COM BETONEIRA 400L, APLICADO MANUALMENTE EM FACES INTERNAS DE PAREDES, PARA AMBIENTE COM ÁREA MAIOR QUE 10M2, ESPESSURA DE 10MM, COM EXECUÇÃO DE TALISCAS. AF_06/2014</v>
      </c>
      <c r="D219" s="1003"/>
      <c r="E219" s="1003"/>
      <c r="F219" s="1003"/>
      <c r="G219" s="1003"/>
      <c r="H219" s="1003"/>
      <c r="I219" s="1003"/>
      <c r="J219" s="1003"/>
      <c r="K219" s="61" t="str">
        <f>'[6]PLANILHA ORÇAMENTÁRIA'!F49</f>
        <v>M2</v>
      </c>
      <c r="L219" s="62">
        <f>K225</f>
        <v>177.79000000000002</v>
      </c>
    </row>
    <row r="220" spans="2:12" hidden="1">
      <c r="B220" s="63"/>
      <c r="C220" s="1004" t="s">
        <v>20</v>
      </c>
      <c r="D220" s="1004"/>
      <c r="E220" s="1004"/>
      <c r="F220" s="64" t="s">
        <v>22</v>
      </c>
      <c r="G220" s="225" t="s">
        <v>111</v>
      </c>
      <c r="H220" s="64" t="s">
        <v>112</v>
      </c>
      <c r="I220" s="225" t="s">
        <v>154</v>
      </c>
      <c r="J220" s="225" t="s">
        <v>114</v>
      </c>
      <c r="K220" s="66" t="s">
        <v>25</v>
      </c>
      <c r="L220" s="67"/>
    </row>
    <row r="221" spans="2:12" ht="15" hidden="1" customHeight="1">
      <c r="B221" s="63"/>
      <c r="C221" s="1001" t="s">
        <v>159</v>
      </c>
      <c r="D221" s="1001"/>
      <c r="E221" s="1001"/>
      <c r="F221" s="68">
        <v>1</v>
      </c>
      <c r="G221" s="68">
        <v>5.05</v>
      </c>
      <c r="H221" s="68"/>
      <c r="I221" s="68">
        <f>6.6*2</f>
        <v>13.2</v>
      </c>
      <c r="J221" s="68">
        <v>3.88</v>
      </c>
      <c r="K221" s="226">
        <f>TRUNC(((G221*I221)*F221)-J221,2)</f>
        <v>62.78</v>
      </c>
      <c r="L221" s="67"/>
    </row>
    <row r="222" spans="2:12" hidden="1">
      <c r="B222" s="63"/>
      <c r="C222" s="1001" t="s">
        <v>156</v>
      </c>
      <c r="D222" s="1001"/>
      <c r="E222" s="1001"/>
      <c r="F222" s="68">
        <v>1</v>
      </c>
      <c r="G222" s="68">
        <v>5.05</v>
      </c>
      <c r="H222" s="68"/>
      <c r="I222" s="68">
        <v>9</v>
      </c>
      <c r="J222" s="68"/>
      <c r="K222" s="226">
        <f>TRUNC(((G222*I222)*F222),2)</f>
        <v>45.45</v>
      </c>
      <c r="L222" s="67"/>
    </row>
    <row r="223" spans="2:12" ht="15" hidden="1" customHeight="1">
      <c r="B223" s="63"/>
      <c r="C223" s="1001" t="s">
        <v>160</v>
      </c>
      <c r="D223" s="1001"/>
      <c r="E223" s="1001"/>
      <c r="F223" s="68">
        <v>2</v>
      </c>
      <c r="G223" s="68">
        <v>2.6</v>
      </c>
      <c r="H223" s="68"/>
      <c r="I223" s="68">
        <f>4.2+3.15+2.15+(1.05*2)</f>
        <v>11.6</v>
      </c>
      <c r="J223" s="68"/>
      <c r="K223" s="226">
        <f>TRUNC(((G223*I223)*F223),2)</f>
        <v>60.32</v>
      </c>
      <c r="L223" s="67"/>
    </row>
    <row r="224" spans="2:12" ht="15" hidden="1" customHeight="1">
      <c r="B224" s="63"/>
      <c r="C224" s="1001" t="s">
        <v>161</v>
      </c>
      <c r="D224" s="1001"/>
      <c r="E224" s="1001"/>
      <c r="F224" s="68">
        <v>2</v>
      </c>
      <c r="G224" s="68">
        <v>2.1</v>
      </c>
      <c r="H224" s="68"/>
      <c r="I224" s="68">
        <v>2.2000000000000002</v>
      </c>
      <c r="J224" s="68"/>
      <c r="K224" s="226">
        <f>TRUNC(((G224*I224)*F224),2)</f>
        <v>9.24</v>
      </c>
      <c r="L224" s="67"/>
    </row>
    <row r="225" spans="2:12" hidden="1">
      <c r="B225" s="63"/>
      <c r="C225" s="1002" t="s">
        <v>116</v>
      </c>
      <c r="D225" s="1002"/>
      <c r="E225" s="1002"/>
      <c r="F225" s="1002"/>
      <c r="G225" s="1002"/>
      <c r="H225" s="1002"/>
      <c r="I225" s="1002"/>
      <c r="J225" s="1002"/>
      <c r="K225" s="66">
        <f>SUM(K221:K224)</f>
        <v>177.79000000000002</v>
      </c>
      <c r="L225" s="67"/>
    </row>
    <row r="226" spans="2:12" hidden="1"/>
    <row r="227" spans="2:12" hidden="1">
      <c r="B227" s="63"/>
      <c r="C227" s="1002" t="s">
        <v>116</v>
      </c>
      <c r="D227" s="1002"/>
      <c r="E227" s="1002"/>
      <c r="F227" s="1002"/>
      <c r="G227" s="1002"/>
      <c r="H227" s="1002"/>
      <c r="I227" s="1002"/>
      <c r="J227" s="1002"/>
      <c r="K227" s="66" t="e">
        <f>SUM(#REF!)</f>
        <v>#REF!</v>
      </c>
      <c r="L227" s="67"/>
    </row>
    <row r="228" spans="2:12" hidden="1"/>
    <row r="229" spans="2:12" ht="15" hidden="1" customHeight="1">
      <c r="B229" s="63"/>
      <c r="C229" s="1005" t="s">
        <v>162</v>
      </c>
      <c r="D229" s="1006"/>
      <c r="E229" s="1007"/>
      <c r="F229" s="68"/>
      <c r="G229" s="68"/>
      <c r="H229" s="68">
        <v>1.8</v>
      </c>
      <c r="I229" s="68">
        <v>14.3</v>
      </c>
      <c r="J229" s="68"/>
      <c r="K229" s="69">
        <f>H229*I229</f>
        <v>25.740000000000002</v>
      </c>
      <c r="L229" s="67"/>
    </row>
    <row r="230" spans="2:12" ht="15" hidden="1" customHeight="1">
      <c r="B230" s="63"/>
      <c r="C230" s="1005" t="s">
        <v>162</v>
      </c>
      <c r="D230" s="1006"/>
      <c r="E230" s="1007"/>
      <c r="F230" s="68">
        <v>2</v>
      </c>
      <c r="G230" s="68"/>
      <c r="H230" s="68">
        <v>1.6</v>
      </c>
      <c r="I230" s="68">
        <v>4</v>
      </c>
      <c r="J230" s="68"/>
      <c r="K230" s="69">
        <f>F230*H230*I230</f>
        <v>12.8</v>
      </c>
      <c r="L230" s="67"/>
    </row>
    <row r="231" spans="2:12" ht="15" hidden="1" customHeight="1">
      <c r="B231" s="63"/>
      <c r="C231" s="1005" t="s">
        <v>163</v>
      </c>
      <c r="D231" s="1006"/>
      <c r="E231" s="1007"/>
      <c r="F231" s="68"/>
      <c r="G231" s="68"/>
      <c r="H231" s="68"/>
      <c r="I231" s="68"/>
      <c r="J231" s="68">
        <v>109.24</v>
      </c>
      <c r="K231" s="69">
        <f>-J231</f>
        <v>-109.24</v>
      </c>
      <c r="L231" s="67"/>
    </row>
    <row r="232" spans="2:12" hidden="1">
      <c r="B232" s="63"/>
      <c r="C232" s="1001" t="s">
        <v>164</v>
      </c>
      <c r="D232" s="1001"/>
      <c r="E232" s="1001"/>
      <c r="F232" s="68"/>
      <c r="G232" s="68"/>
      <c r="H232" s="68">
        <v>1.05</v>
      </c>
      <c r="I232" s="68">
        <v>1.85</v>
      </c>
      <c r="J232" s="68"/>
      <c r="K232" s="226">
        <f>TRUNC(H232*I232,2)</f>
        <v>1.94</v>
      </c>
      <c r="L232" s="67"/>
    </row>
    <row r="233" spans="2:12" hidden="1">
      <c r="B233" s="63"/>
      <c r="C233" s="1004" t="s">
        <v>20</v>
      </c>
      <c r="D233" s="1004"/>
      <c r="E233" s="1004"/>
      <c r="F233" s="64" t="s">
        <v>22</v>
      </c>
      <c r="G233" s="225" t="s">
        <v>111</v>
      </c>
      <c r="H233" s="64" t="s">
        <v>112</v>
      </c>
      <c r="I233" s="225" t="s">
        <v>113</v>
      </c>
      <c r="J233" s="225" t="s">
        <v>114</v>
      </c>
      <c r="K233" s="66" t="s">
        <v>25</v>
      </c>
      <c r="L233" s="67"/>
    </row>
    <row r="234" spans="2:12" ht="15" hidden="1" customHeight="1">
      <c r="B234" s="63"/>
      <c r="C234" s="1001" t="s">
        <v>165</v>
      </c>
      <c r="D234" s="1001"/>
      <c r="E234" s="1001"/>
      <c r="F234" s="68"/>
      <c r="G234" s="68"/>
      <c r="H234" s="68">
        <v>6.4740000000000002</v>
      </c>
      <c r="I234" s="68">
        <v>7.5</v>
      </c>
      <c r="J234" s="68">
        <v>1.75</v>
      </c>
      <c r="K234" s="226">
        <f>TRUNC(H234*I234-J234,2)</f>
        <v>46.8</v>
      </c>
      <c r="L234" s="67"/>
    </row>
    <row r="235" spans="2:12" ht="22.5" hidden="1" customHeight="1">
      <c r="B235" s="60" t="str">
        <f>'[6]PLANILHA ORÇAMENTÁRIA'!D68</f>
        <v>10.2</v>
      </c>
      <c r="C235" s="1003" t="str">
        <f>'[6]PLANILHA ORÇAMENTÁRIA'!E68</f>
        <v>FECHADURA DE EMBUTIR COM CILINDRO, EXTERNA, COMPLETA, ACABAMENTO PADRÃO POPULAR, INCLUSO EXECUÇÃO DE FURO - FORNECIMENTO E INSTALAÇÃO. AF_08/2015</v>
      </c>
      <c r="D235" s="1003"/>
      <c r="E235" s="1003"/>
      <c r="F235" s="1003"/>
      <c r="G235" s="1003"/>
      <c r="H235" s="1003"/>
      <c r="I235" s="1003"/>
      <c r="J235" s="1003"/>
      <c r="K235" s="61" t="str">
        <f>'[6]PLANILHA ORÇAMENTÁRIA'!F68</f>
        <v>UND</v>
      </c>
      <c r="L235" s="62" t="e">
        <f>#REF!</f>
        <v>#REF!</v>
      </c>
    </row>
    <row r="236" spans="2:12" hidden="1">
      <c r="B236" s="63"/>
      <c r="C236" s="1004" t="s">
        <v>20</v>
      </c>
      <c r="D236" s="1004"/>
      <c r="E236" s="1004"/>
      <c r="F236" s="64" t="s">
        <v>22</v>
      </c>
      <c r="G236" s="225" t="s">
        <v>111</v>
      </c>
      <c r="H236" s="225" t="s">
        <v>114</v>
      </c>
      <c r="I236" s="225" t="s">
        <v>113</v>
      </c>
      <c r="J236" s="225" t="s">
        <v>136</v>
      </c>
      <c r="K236" s="66" t="s">
        <v>25</v>
      </c>
      <c r="L236" s="67"/>
    </row>
    <row r="237" spans="2:12" ht="27" hidden="1" customHeight="1">
      <c r="B237" s="63"/>
      <c r="C237" s="1001" t="s">
        <v>166</v>
      </c>
      <c r="D237" s="1001"/>
      <c r="E237" s="1001"/>
      <c r="F237" s="68">
        <v>3</v>
      </c>
      <c r="G237" s="68"/>
      <c r="H237" s="68"/>
      <c r="I237" s="68"/>
      <c r="J237" s="68"/>
      <c r="K237" s="226"/>
      <c r="L237" s="67"/>
    </row>
    <row r="238" spans="2:12" ht="15" hidden="1" customHeight="1">
      <c r="B238" s="60" t="str">
        <f>'[6]PLANILHA ORÇAMENTÁRIA'!D72</f>
        <v>11.2</v>
      </c>
      <c r="C238" s="1003" t="str">
        <f>'[6]PLANILHA ORÇAMENTÁRIA'!E72</f>
        <v>CAIXA D'ÁGUA EM POLIETILENO, 500 LITROS, COM ACESSÓRIOS.</v>
      </c>
      <c r="D238" s="1003"/>
      <c r="E238" s="1003"/>
      <c r="F238" s="1003"/>
      <c r="G238" s="1003"/>
      <c r="H238" s="1003"/>
      <c r="I238" s="1003"/>
      <c r="J238" s="1003"/>
      <c r="K238" s="61" t="str">
        <f>'[6]PLANILHA ORÇAMENTÁRIA'!F72</f>
        <v>UND</v>
      </c>
      <c r="L238" s="62" t="e">
        <f>#REF!</f>
        <v>#REF!</v>
      </c>
    </row>
    <row r="239" spans="2:12" hidden="1">
      <c r="B239" s="63"/>
      <c r="C239" s="1004" t="s">
        <v>20</v>
      </c>
      <c r="D239" s="1004"/>
      <c r="E239" s="1004"/>
      <c r="F239" s="64" t="s">
        <v>22</v>
      </c>
      <c r="G239" s="225" t="s">
        <v>111</v>
      </c>
      <c r="H239" s="225" t="s">
        <v>114</v>
      </c>
      <c r="I239" s="225" t="s">
        <v>113</v>
      </c>
      <c r="J239" s="225" t="s">
        <v>136</v>
      </c>
      <c r="K239" s="66" t="s">
        <v>25</v>
      </c>
      <c r="L239" s="67"/>
    </row>
    <row r="240" spans="2:12" hidden="1">
      <c r="B240" s="63"/>
      <c r="C240" s="1001"/>
      <c r="D240" s="1001"/>
      <c r="E240" s="1001"/>
      <c r="F240" s="68">
        <v>2</v>
      </c>
      <c r="G240" s="68"/>
      <c r="H240" s="68"/>
      <c r="I240" s="68"/>
      <c r="J240" s="68"/>
      <c r="K240" s="226">
        <f>F240</f>
        <v>2</v>
      </c>
      <c r="L240" s="67"/>
    </row>
    <row r="241" spans="2:12" hidden="1">
      <c r="B241" s="63"/>
      <c r="C241" s="1002" t="s">
        <v>116</v>
      </c>
      <c r="D241" s="1002"/>
      <c r="E241" s="1002"/>
      <c r="F241" s="1002"/>
      <c r="G241" s="1002"/>
      <c r="H241" s="1002"/>
      <c r="I241" s="1002"/>
      <c r="J241" s="1002"/>
      <c r="K241" s="66" t="e">
        <f>SUM(#REF!)</f>
        <v>#REF!</v>
      </c>
      <c r="L241" s="67"/>
    </row>
    <row r="242" spans="2:12" hidden="1">
      <c r="B242" s="63"/>
      <c r="C242" s="71"/>
      <c r="D242" s="71"/>
      <c r="E242" s="71"/>
      <c r="F242" s="71"/>
      <c r="G242" s="71"/>
      <c r="H242" s="71"/>
      <c r="I242" s="71"/>
      <c r="J242" s="71"/>
      <c r="K242" s="73"/>
      <c r="L242" s="67"/>
    </row>
    <row r="243" spans="2:12" ht="22.5" hidden="1" customHeight="1">
      <c r="B243" s="60" t="str">
        <f>'[6]PLANILHA ORÇAMENTÁRIA'!D76</f>
        <v>11.6</v>
      </c>
      <c r="C243" s="1003" t="str">
        <f>'[6]PLANILHA ORÇAMENTÁRIA'!E76</f>
        <v>SIFÃO DO TIPO GARRAFA/COPO EM PVC 1.1/4 X 1.1/2" - FORNECIMENTO E INSTALAÇÃO. AF_12/2013</v>
      </c>
      <c r="D243" s="1003"/>
      <c r="E243" s="1003"/>
      <c r="F243" s="1003"/>
      <c r="G243" s="1003"/>
      <c r="H243" s="1003"/>
      <c r="I243" s="1003"/>
      <c r="J243" s="1003"/>
      <c r="K243" s="61" t="str">
        <f>'[6]PLANILHA ORÇAMENTÁRIA'!F76</f>
        <v>UND</v>
      </c>
      <c r="L243" s="62" t="e">
        <f>#REF!</f>
        <v>#REF!</v>
      </c>
    </row>
    <row r="244" spans="2:12" hidden="1">
      <c r="B244" s="63"/>
      <c r="C244" s="1004" t="s">
        <v>20</v>
      </c>
      <c r="D244" s="1004"/>
      <c r="E244" s="1004"/>
      <c r="F244" s="64" t="s">
        <v>22</v>
      </c>
      <c r="G244" s="225" t="s">
        <v>111</v>
      </c>
      <c r="H244" s="225" t="s">
        <v>114</v>
      </c>
      <c r="I244" s="225" t="s">
        <v>113</v>
      </c>
      <c r="J244" s="225" t="s">
        <v>136</v>
      </c>
      <c r="K244" s="66" t="s">
        <v>25</v>
      </c>
      <c r="L244" s="67"/>
    </row>
    <row r="245" spans="2:12" hidden="1">
      <c r="B245" s="63"/>
      <c r="C245" s="1001"/>
      <c r="D245" s="1001"/>
      <c r="E245" s="1001"/>
      <c r="F245" s="68">
        <v>2</v>
      </c>
      <c r="G245" s="68"/>
      <c r="H245" s="68"/>
      <c r="I245" s="68"/>
      <c r="J245" s="68"/>
      <c r="K245" s="226">
        <f>F245</f>
        <v>2</v>
      </c>
      <c r="L245" s="67"/>
    </row>
    <row r="246" spans="2:12" hidden="1">
      <c r="B246" s="63"/>
      <c r="C246" s="1002" t="s">
        <v>116</v>
      </c>
      <c r="D246" s="1002"/>
      <c r="E246" s="1002"/>
      <c r="F246" s="1002"/>
      <c r="G246" s="1002"/>
      <c r="H246" s="1002"/>
      <c r="I246" s="1002"/>
      <c r="J246" s="1002"/>
      <c r="K246" s="66">
        <f>SUM(K245:K245)</f>
        <v>2</v>
      </c>
      <c r="L246" s="67"/>
    </row>
    <row r="247" spans="2:12" hidden="1">
      <c r="B247" s="63"/>
      <c r="C247" s="71"/>
      <c r="D247" s="71"/>
      <c r="E247" s="71"/>
      <c r="F247" s="71"/>
      <c r="G247" s="71"/>
      <c r="H247" s="71"/>
      <c r="I247" s="71"/>
      <c r="J247" s="71"/>
      <c r="K247" s="73"/>
      <c r="L247" s="67"/>
    </row>
    <row r="248" spans="2:12" ht="27.75" hidden="1" customHeight="1">
      <c r="B248" s="60" t="str">
        <f>'[6]PLANILHA ORÇAMENTÁRIA'!D80</f>
        <v>11.10</v>
      </c>
      <c r="C248" s="1003" t="str">
        <f>'[6]PLANILHA ORÇAMENTÁRIA'!E80</f>
        <v>TORNEIRA CROMADA DE MESA, 1/2" OU 3/4", PARA LAVATÓRIO, PADRÃO POPULAR - FORNECIMENTO E INSTALAÇÃO. AF_12/2013</v>
      </c>
      <c r="D248" s="1003"/>
      <c r="E248" s="1003"/>
      <c r="F248" s="1003"/>
      <c r="G248" s="1003"/>
      <c r="H248" s="1003"/>
      <c r="I248" s="1003"/>
      <c r="J248" s="1003"/>
      <c r="K248" s="61" t="str">
        <f>'[6]PLANILHA ORÇAMENTÁRIA'!F80</f>
        <v>UND</v>
      </c>
      <c r="L248" s="62" t="e">
        <f>#REF!</f>
        <v>#REF!</v>
      </c>
    </row>
    <row r="249" spans="2:12" hidden="1">
      <c r="B249" s="63"/>
      <c r="C249" s="1001"/>
      <c r="D249" s="1001"/>
      <c r="E249" s="1001"/>
      <c r="F249" s="68">
        <v>2</v>
      </c>
      <c r="G249" s="68"/>
      <c r="H249" s="68"/>
      <c r="I249" s="68"/>
      <c r="J249" s="68"/>
      <c r="K249" s="226">
        <f>F249</f>
        <v>2</v>
      </c>
      <c r="L249" s="67"/>
    </row>
    <row r="250" spans="2:12" hidden="1">
      <c r="B250" s="63"/>
      <c r="C250" s="1002" t="s">
        <v>116</v>
      </c>
      <c r="D250" s="1002"/>
      <c r="E250" s="1002"/>
      <c r="F250" s="1002"/>
      <c r="G250" s="1002"/>
      <c r="H250" s="1002"/>
      <c r="I250" s="1002"/>
      <c r="J250" s="1002"/>
      <c r="K250" s="66">
        <f>SUM(K249:K249)</f>
        <v>2</v>
      </c>
      <c r="L250" s="67"/>
    </row>
    <row r="251" spans="2:12" hidden="1">
      <c r="B251" s="63"/>
      <c r="C251" s="1001"/>
      <c r="D251" s="1001"/>
      <c r="E251" s="1001"/>
      <c r="F251" s="68">
        <v>1</v>
      </c>
      <c r="G251" s="68"/>
      <c r="H251" s="68"/>
      <c r="I251" s="68"/>
      <c r="J251" s="68"/>
      <c r="K251" s="226">
        <f>F251</f>
        <v>1</v>
      </c>
      <c r="L251" s="67"/>
    </row>
    <row r="252" spans="2:12" hidden="1">
      <c r="B252" s="63"/>
      <c r="C252" s="1002" t="s">
        <v>116</v>
      </c>
      <c r="D252" s="1002"/>
      <c r="E252" s="1002"/>
      <c r="F252" s="1002"/>
      <c r="G252" s="1002"/>
      <c r="H252" s="1002"/>
      <c r="I252" s="1002"/>
      <c r="J252" s="1002"/>
      <c r="K252" s="66">
        <f>SUM(K251:K251)</f>
        <v>1</v>
      </c>
      <c r="L252" s="67"/>
    </row>
    <row r="253" spans="2:12" hidden="1">
      <c r="B253" s="63"/>
      <c r="C253" s="71"/>
      <c r="D253" s="71"/>
      <c r="E253" s="71"/>
      <c r="F253" s="71"/>
      <c r="G253" s="71"/>
      <c r="H253" s="71"/>
      <c r="I253" s="71"/>
      <c r="J253" s="71"/>
      <c r="K253" s="73"/>
      <c r="L253" s="67"/>
    </row>
    <row r="254" spans="2:12" ht="31.5" hidden="1" customHeight="1">
      <c r="B254" s="60" t="str">
        <f>'[6]PLANILHA ORÇAMENTÁRIA'!D83</f>
        <v>11.13</v>
      </c>
      <c r="C254" s="1003" t="str">
        <f>'[6]PLANILHA ORÇAMENTÁRIA'!E83</f>
        <v>JOELHO 45 GRAUS, PVC, SERIE NORMAL, ESGOTO PREDIAL, DN 40 MM, JUNTA SOLDÁVEL, FORNECIDO E INSTALADO EM RAMAL DE DESCARGA OU RAMAL DE ESGOTO SANITÁRIO. AF_12/2014.</v>
      </c>
      <c r="D254" s="1003"/>
      <c r="E254" s="1003"/>
      <c r="F254" s="1003"/>
      <c r="G254" s="1003"/>
      <c r="H254" s="1003"/>
      <c r="I254" s="1003"/>
      <c r="J254" s="1003"/>
      <c r="K254" s="61" t="str">
        <f>'[6]PLANILHA ORÇAMENTÁRIA'!F83</f>
        <v>UND</v>
      </c>
      <c r="L254" s="62">
        <f>K257</f>
        <v>3</v>
      </c>
    </row>
    <row r="255" spans="2:12" hidden="1">
      <c r="B255" s="63"/>
      <c r="C255" s="1004" t="s">
        <v>20</v>
      </c>
      <c r="D255" s="1004"/>
      <c r="E255" s="1004"/>
      <c r="F255" s="64" t="s">
        <v>22</v>
      </c>
      <c r="G255" s="225" t="s">
        <v>111</v>
      </c>
      <c r="H255" s="225" t="s">
        <v>114</v>
      </c>
      <c r="I255" s="225" t="s">
        <v>113</v>
      </c>
      <c r="J255" s="225" t="s">
        <v>136</v>
      </c>
      <c r="K255" s="66" t="s">
        <v>25</v>
      </c>
      <c r="L255" s="67"/>
    </row>
    <row r="256" spans="2:12" hidden="1">
      <c r="B256" s="63"/>
      <c r="C256" s="1001"/>
      <c r="D256" s="1001"/>
      <c r="E256" s="1001"/>
      <c r="F256" s="68">
        <v>3</v>
      </c>
      <c r="G256" s="68"/>
      <c r="H256" s="68"/>
      <c r="I256" s="68"/>
      <c r="J256" s="68"/>
      <c r="K256" s="226">
        <f>F256</f>
        <v>3</v>
      </c>
      <c r="L256" s="67"/>
    </row>
    <row r="257" spans="2:12" hidden="1">
      <c r="B257" s="63"/>
      <c r="C257" s="1002" t="s">
        <v>116</v>
      </c>
      <c r="D257" s="1002"/>
      <c r="E257" s="1002"/>
      <c r="F257" s="1002"/>
      <c r="G257" s="1002"/>
      <c r="H257" s="1002"/>
      <c r="I257" s="1002"/>
      <c r="J257" s="1002"/>
      <c r="K257" s="66">
        <f>SUM(K256:K256)</f>
        <v>3</v>
      </c>
      <c r="L257" s="67"/>
    </row>
    <row r="258" spans="2:12" hidden="1"/>
    <row r="259" spans="2:12" ht="29.25" hidden="1" customHeight="1">
      <c r="B259" s="60" t="str">
        <f>'[6]PLANILHA ORÇAMENTÁRIA'!D84</f>
        <v>11.14</v>
      </c>
      <c r="C259" s="1003" t="str">
        <f>'[6]PLANILHA ORÇAMENTÁRIA'!E84</f>
        <v>JOELHO 90 GRAUS, PVC, SERIE NORMAL, ESGOTO PREDIAL, DN 40 MM, JUNTA SOLDÁVEL, FORNECIDO E INSTALADO EM RAMAL DE DESCARGA OU RAMAL DE ESGOTO SANITÁRIO. AF_12/2014.</v>
      </c>
      <c r="D259" s="1003"/>
      <c r="E259" s="1003"/>
      <c r="F259" s="1003"/>
      <c r="G259" s="1003"/>
      <c r="H259" s="1003"/>
      <c r="I259" s="1003"/>
      <c r="J259" s="1003"/>
      <c r="K259" s="61" t="str">
        <f>'[6]PLANILHA ORÇAMENTÁRIA'!F84</f>
        <v>UND</v>
      </c>
      <c r="L259" s="62">
        <f>K262</f>
        <v>3</v>
      </c>
    </row>
    <row r="260" spans="2:12" hidden="1">
      <c r="B260" s="63"/>
      <c r="C260" s="1004" t="s">
        <v>20</v>
      </c>
      <c r="D260" s="1004"/>
      <c r="E260" s="1004"/>
      <c r="F260" s="64" t="s">
        <v>22</v>
      </c>
      <c r="G260" s="225" t="s">
        <v>111</v>
      </c>
      <c r="H260" s="225" t="s">
        <v>114</v>
      </c>
      <c r="I260" s="225" t="s">
        <v>113</v>
      </c>
      <c r="J260" s="225" t="s">
        <v>136</v>
      </c>
      <c r="K260" s="66" t="s">
        <v>25</v>
      </c>
      <c r="L260" s="67"/>
    </row>
    <row r="261" spans="2:12" hidden="1">
      <c r="B261" s="63"/>
      <c r="C261" s="1001"/>
      <c r="D261" s="1001"/>
      <c r="E261" s="1001"/>
      <c r="F261" s="68">
        <v>3</v>
      </c>
      <c r="G261" s="68"/>
      <c r="H261" s="68"/>
      <c r="I261" s="68"/>
      <c r="J261" s="68"/>
      <c r="K261" s="226">
        <f>F261</f>
        <v>3</v>
      </c>
      <c r="L261" s="67"/>
    </row>
    <row r="262" spans="2:12" hidden="1">
      <c r="B262" s="63"/>
      <c r="C262" s="1002" t="s">
        <v>116</v>
      </c>
      <c r="D262" s="1002"/>
      <c r="E262" s="1002"/>
      <c r="F262" s="1002"/>
      <c r="G262" s="1002"/>
      <c r="H262" s="1002"/>
      <c r="I262" s="1002"/>
      <c r="J262" s="1002"/>
      <c r="K262" s="66">
        <f>SUM(K261:K261)</f>
        <v>3</v>
      </c>
      <c r="L262" s="67"/>
    </row>
    <row r="263" spans="2:12" hidden="1"/>
    <row r="264" spans="2:12" ht="25.5" hidden="1" customHeight="1">
      <c r="B264" s="60" t="str">
        <f>'[6]PLANILHA ORÇAMENTÁRIA'!D85</f>
        <v>11.15</v>
      </c>
      <c r="C264" s="1003" t="str">
        <f>'[6]PLANILHA ORÇAMENTÁRIA'!E85</f>
        <v>TUBO PVC, SERIE NORMAL, ESGOTO PREDIAL, DN 40 MM, FORNECIDO E INSTALADO EM RAMAL DE DESCARGA OU RAMAL DE ESGOTO SANITÁRIO. AF_12/2014.</v>
      </c>
      <c r="D264" s="1003"/>
      <c r="E264" s="1003"/>
      <c r="F264" s="1003"/>
      <c r="G264" s="1003"/>
      <c r="H264" s="1003"/>
      <c r="I264" s="1003"/>
      <c r="J264" s="1003"/>
      <c r="K264" s="61" t="str">
        <f>'[6]PLANILHA ORÇAMENTÁRIA'!F85</f>
        <v>M</v>
      </c>
      <c r="L264" s="62">
        <f>K267</f>
        <v>6</v>
      </c>
    </row>
    <row r="265" spans="2:12" hidden="1">
      <c r="B265" s="63"/>
      <c r="C265" s="1004" t="s">
        <v>20</v>
      </c>
      <c r="D265" s="1004"/>
      <c r="E265" s="1004"/>
      <c r="F265" s="64" t="s">
        <v>22</v>
      </c>
      <c r="G265" s="225" t="s">
        <v>111</v>
      </c>
      <c r="H265" s="225" t="s">
        <v>114</v>
      </c>
      <c r="I265" s="225" t="s">
        <v>113</v>
      </c>
      <c r="J265" s="225" t="s">
        <v>136</v>
      </c>
      <c r="K265" s="66" t="s">
        <v>25</v>
      </c>
      <c r="L265" s="67"/>
    </row>
    <row r="266" spans="2:12" hidden="1">
      <c r="B266" s="63"/>
      <c r="C266" s="1001"/>
      <c r="D266" s="1001"/>
      <c r="E266" s="1001"/>
      <c r="F266" s="68">
        <v>6</v>
      </c>
      <c r="G266" s="68"/>
      <c r="H266" s="68"/>
      <c r="I266" s="68"/>
      <c r="J266" s="68"/>
      <c r="K266" s="226">
        <f>F266</f>
        <v>6</v>
      </c>
      <c r="L266" s="67"/>
    </row>
    <row r="267" spans="2:12" hidden="1">
      <c r="B267" s="63"/>
      <c r="C267" s="1002" t="s">
        <v>116</v>
      </c>
      <c r="D267" s="1002"/>
      <c r="E267" s="1002"/>
      <c r="F267" s="1002"/>
      <c r="G267" s="1002"/>
      <c r="H267" s="1002"/>
      <c r="I267" s="1002"/>
      <c r="J267" s="1002"/>
      <c r="K267" s="66">
        <f>SUM(K266:K266)</f>
        <v>6</v>
      </c>
      <c r="L267" s="67"/>
    </row>
    <row r="268" spans="2:12" hidden="1"/>
    <row r="269" spans="2:12" ht="25.5" hidden="1" customHeight="1">
      <c r="B269" s="60" t="str">
        <f>'[6]PLANILHA ORÇAMENTÁRIA'!D86</f>
        <v>11.16</v>
      </c>
      <c r="C269" s="1003" t="str">
        <f>'[6]PLANILHA ORÇAMENTÁRIA'!E86</f>
        <v>LUVA SIMPLES, PVC, SERIE NORMAL, ESGOTO PREDIAL, DN 40 MM, JUNTA SOLDÁVEL, FORNECIDO E INSTALADO EM RAMAL DE DESCARGA OU RAMAL DE ESGOTO SANITÁRIO. AF_12/2014</v>
      </c>
      <c r="D269" s="1003"/>
      <c r="E269" s="1003"/>
      <c r="F269" s="1003"/>
      <c r="G269" s="1003"/>
      <c r="H269" s="1003"/>
      <c r="I269" s="1003"/>
      <c r="J269" s="1003"/>
      <c r="K269" s="61" t="str">
        <f>'[6]PLANILHA ORÇAMENTÁRIA'!F86</f>
        <v>UND</v>
      </c>
      <c r="L269" s="62">
        <f>K272</f>
        <v>3</v>
      </c>
    </row>
    <row r="270" spans="2:12" hidden="1">
      <c r="B270" s="63"/>
      <c r="C270" s="1004" t="s">
        <v>20</v>
      </c>
      <c r="D270" s="1004"/>
      <c r="E270" s="1004"/>
      <c r="F270" s="64" t="s">
        <v>22</v>
      </c>
      <c r="G270" s="225" t="s">
        <v>111</v>
      </c>
      <c r="H270" s="225" t="s">
        <v>114</v>
      </c>
      <c r="I270" s="225" t="s">
        <v>113</v>
      </c>
      <c r="J270" s="225" t="s">
        <v>136</v>
      </c>
      <c r="K270" s="66" t="s">
        <v>25</v>
      </c>
      <c r="L270" s="67"/>
    </row>
    <row r="271" spans="2:12" hidden="1">
      <c r="B271" s="63"/>
      <c r="C271" s="1001"/>
      <c r="D271" s="1001"/>
      <c r="E271" s="1001"/>
      <c r="F271" s="68">
        <v>3</v>
      </c>
      <c r="G271" s="68"/>
      <c r="H271" s="68"/>
      <c r="I271" s="68"/>
      <c r="J271" s="68"/>
      <c r="K271" s="226">
        <f>F271</f>
        <v>3</v>
      </c>
      <c r="L271" s="67"/>
    </row>
    <row r="272" spans="2:12" hidden="1">
      <c r="B272" s="63"/>
      <c r="C272" s="1002" t="s">
        <v>116</v>
      </c>
      <c r="D272" s="1002"/>
      <c r="E272" s="1002"/>
      <c r="F272" s="1002"/>
      <c r="G272" s="1002"/>
      <c r="H272" s="1002"/>
      <c r="I272" s="1002"/>
      <c r="J272" s="1002"/>
      <c r="K272" s="66">
        <f>SUM(K271:K271)</f>
        <v>3</v>
      </c>
      <c r="L272" s="67"/>
    </row>
    <row r="273" spans="2:12" hidden="1"/>
    <row r="274" spans="2:12" ht="27.75" hidden="1" customHeight="1">
      <c r="B274" s="60" t="str">
        <f>'[6]PLANILHA ORÇAMENTÁRIA'!D87</f>
        <v>11.17</v>
      </c>
      <c r="C274" s="1003" t="str">
        <f>'[6]PLANILHA ORÇAMENTÁRIA'!E87</f>
        <v>TUBO PVC, SERIE NORMAL, ESGOTO PREDIAL, DN 50 MM, FORNECIDO E INSTALADO EM RAMAL DE DESCARGA OU RAMAL DE ESGOTO SANITÁRIO. AF_12/2014.</v>
      </c>
      <c r="D274" s="1003"/>
      <c r="E274" s="1003"/>
      <c r="F274" s="1003"/>
      <c r="G274" s="1003"/>
      <c r="H274" s="1003"/>
      <c r="I274" s="1003"/>
      <c r="J274" s="1003"/>
      <c r="K274" s="61" t="str">
        <f>'[6]PLANILHA ORÇAMENTÁRIA'!F87</f>
        <v>M</v>
      </c>
      <c r="L274" s="62">
        <f>K277</f>
        <v>6</v>
      </c>
    </row>
    <row r="275" spans="2:12" hidden="1">
      <c r="B275" s="63"/>
      <c r="C275" s="1004" t="s">
        <v>20</v>
      </c>
      <c r="D275" s="1004"/>
      <c r="E275" s="1004"/>
      <c r="F275" s="64" t="s">
        <v>22</v>
      </c>
      <c r="G275" s="225" t="s">
        <v>111</v>
      </c>
      <c r="H275" s="225" t="s">
        <v>114</v>
      </c>
      <c r="I275" s="225" t="s">
        <v>113</v>
      </c>
      <c r="J275" s="225" t="s">
        <v>136</v>
      </c>
      <c r="K275" s="66" t="s">
        <v>25</v>
      </c>
      <c r="L275" s="67"/>
    </row>
    <row r="276" spans="2:12" hidden="1">
      <c r="B276" s="63"/>
      <c r="C276" s="1001"/>
      <c r="D276" s="1001"/>
      <c r="E276" s="1001"/>
      <c r="F276" s="68">
        <v>6</v>
      </c>
      <c r="G276" s="68"/>
      <c r="H276" s="68"/>
      <c r="I276" s="68"/>
      <c r="J276" s="68"/>
      <c r="K276" s="226">
        <f>F276</f>
        <v>6</v>
      </c>
      <c r="L276" s="67"/>
    </row>
    <row r="277" spans="2:12" hidden="1">
      <c r="B277" s="63"/>
      <c r="C277" s="1002" t="s">
        <v>116</v>
      </c>
      <c r="D277" s="1002"/>
      <c r="E277" s="1002"/>
      <c r="F277" s="1002"/>
      <c r="G277" s="1002"/>
      <c r="H277" s="1002"/>
      <c r="I277" s="1002"/>
      <c r="J277" s="1002"/>
      <c r="K277" s="66">
        <f>SUM(K276:K276)</f>
        <v>6</v>
      </c>
      <c r="L277" s="67"/>
    </row>
    <row r="278" spans="2:12" hidden="1"/>
    <row r="279" spans="2:12" ht="27" hidden="1" customHeight="1">
      <c r="B279" s="60" t="str">
        <f>'[6]PLANILHA ORÇAMENTÁRIA'!D88</f>
        <v>11.18</v>
      </c>
      <c r="C279" s="1003" t="str">
        <f>'[6]PLANILHA ORÇAMENTÁRIA'!E88</f>
        <v>JOELHO 45 GRAUS, PVC, SERIE NORMAL, ESGOTO PREDIAL, DN 100 MM, JUNTA ELÁSTICA, FORNECIDO E INSTALADO EM RAMAL DE DESCARGA OU RAMAL DE ESGOTO SANITÁRIO. AF_12/2014.</v>
      </c>
      <c r="D279" s="1003"/>
      <c r="E279" s="1003"/>
      <c r="F279" s="1003"/>
      <c r="G279" s="1003"/>
      <c r="H279" s="1003"/>
      <c r="I279" s="1003"/>
      <c r="J279" s="1003"/>
      <c r="K279" s="61" t="str">
        <f>'[6]PLANILHA ORÇAMENTÁRIA'!F88</f>
        <v>UND</v>
      </c>
      <c r="L279" s="62">
        <f>K282</f>
        <v>2</v>
      </c>
    </row>
    <row r="280" spans="2:12" hidden="1">
      <c r="B280" s="63"/>
      <c r="C280" s="1004" t="s">
        <v>20</v>
      </c>
      <c r="D280" s="1004"/>
      <c r="E280" s="1004"/>
      <c r="F280" s="64" t="s">
        <v>22</v>
      </c>
      <c r="G280" s="225" t="s">
        <v>111</v>
      </c>
      <c r="H280" s="225" t="s">
        <v>114</v>
      </c>
      <c r="I280" s="225" t="s">
        <v>113</v>
      </c>
      <c r="J280" s="225" t="s">
        <v>136</v>
      </c>
      <c r="K280" s="66" t="s">
        <v>25</v>
      </c>
      <c r="L280" s="67"/>
    </row>
    <row r="281" spans="2:12" hidden="1">
      <c r="B281" s="63"/>
      <c r="C281" s="1001"/>
      <c r="D281" s="1001"/>
      <c r="E281" s="1001"/>
      <c r="F281" s="68">
        <v>2</v>
      </c>
      <c r="G281" s="68"/>
      <c r="H281" s="68"/>
      <c r="I281" s="68"/>
      <c r="J281" s="68"/>
      <c r="K281" s="226">
        <f>F281</f>
        <v>2</v>
      </c>
      <c r="L281" s="67"/>
    </row>
    <row r="282" spans="2:12" hidden="1">
      <c r="B282" s="63"/>
      <c r="C282" s="1002" t="s">
        <v>116</v>
      </c>
      <c r="D282" s="1002"/>
      <c r="E282" s="1002"/>
      <c r="F282" s="1002"/>
      <c r="G282" s="1002"/>
      <c r="H282" s="1002"/>
      <c r="I282" s="1002"/>
      <c r="J282" s="1002"/>
      <c r="K282" s="66">
        <f>SUM(K281:K281)</f>
        <v>2</v>
      </c>
      <c r="L282" s="67"/>
    </row>
    <row r="283" spans="2:12" hidden="1"/>
    <row r="284" spans="2:12" ht="25.5" hidden="1" customHeight="1">
      <c r="B284" s="60" t="str">
        <f>'[6]PLANILHA ORÇAMENTÁRIA'!D89</f>
        <v>11.19</v>
      </c>
      <c r="C284" s="1003" t="str">
        <f>'[6]PLANILHA ORÇAMENTÁRIA'!E89</f>
        <v>JOELHO 90 GRAUS, PVC, SERIE NORMAL, ESGOTO PREDIAL, DN 100 MM, JUNTA ELÁSTICA, FORNECIDO E INSTALADO EM RAMAL DE DESCARGA OU RAMAL DE ESGOTO SANITÁRIO. AF_12/2014.</v>
      </c>
      <c r="D284" s="1003"/>
      <c r="E284" s="1003"/>
      <c r="F284" s="1003"/>
      <c r="G284" s="1003"/>
      <c r="H284" s="1003"/>
      <c r="I284" s="1003"/>
      <c r="J284" s="1003"/>
      <c r="K284" s="61" t="str">
        <f>'[6]PLANILHA ORÇAMENTÁRIA'!F89</f>
        <v>UND</v>
      </c>
      <c r="L284" s="62">
        <f>K287</f>
        <v>2</v>
      </c>
    </row>
    <row r="285" spans="2:12" hidden="1">
      <c r="B285" s="63"/>
      <c r="C285" s="1004" t="s">
        <v>20</v>
      </c>
      <c r="D285" s="1004"/>
      <c r="E285" s="1004"/>
      <c r="F285" s="64" t="s">
        <v>22</v>
      </c>
      <c r="G285" s="225" t="s">
        <v>111</v>
      </c>
      <c r="H285" s="225" t="s">
        <v>114</v>
      </c>
      <c r="I285" s="225" t="s">
        <v>113</v>
      </c>
      <c r="J285" s="225" t="s">
        <v>136</v>
      </c>
      <c r="K285" s="66" t="s">
        <v>25</v>
      </c>
      <c r="L285" s="67"/>
    </row>
    <row r="286" spans="2:12" hidden="1">
      <c r="B286" s="63"/>
      <c r="C286" s="1001"/>
      <c r="D286" s="1001"/>
      <c r="E286" s="1001"/>
      <c r="F286" s="68">
        <v>2</v>
      </c>
      <c r="G286" s="68"/>
      <c r="H286" s="68"/>
      <c r="I286" s="68"/>
      <c r="J286" s="68"/>
      <c r="K286" s="226">
        <f>F286</f>
        <v>2</v>
      </c>
      <c r="L286" s="67"/>
    </row>
    <row r="287" spans="2:12" hidden="1">
      <c r="B287" s="63"/>
      <c r="C287" s="1002" t="s">
        <v>116</v>
      </c>
      <c r="D287" s="1002"/>
      <c r="E287" s="1002"/>
      <c r="F287" s="1002"/>
      <c r="G287" s="1002"/>
      <c r="H287" s="1002"/>
      <c r="I287" s="1002"/>
      <c r="J287" s="1002"/>
      <c r="K287" s="66">
        <f>SUM(K286:K286)</f>
        <v>2</v>
      </c>
      <c r="L287" s="67"/>
    </row>
    <row r="288" spans="2:12" hidden="1"/>
    <row r="289" spans="2:12" ht="25.5" hidden="1" customHeight="1">
      <c r="B289" s="60" t="str">
        <f>'[6]PLANILHA ORÇAMENTÁRIA'!D90</f>
        <v>11.20</v>
      </c>
      <c r="C289" s="1003" t="str">
        <f>'[6]PLANILHA ORÇAMENTÁRIA'!E90</f>
        <v>TUBO PVC, SERIE NORMAL, ESGOTO PREDIAL, DN 100 MM, FORNECIDO E INSTALADO EM RAMAL DE DESCARGA OU RAMAL DE ESGOTO SANITÁRIO. AF_12/2014</v>
      </c>
      <c r="D289" s="1003"/>
      <c r="E289" s="1003"/>
      <c r="F289" s="1003"/>
      <c r="G289" s="1003"/>
      <c r="H289" s="1003"/>
      <c r="I289" s="1003"/>
      <c r="J289" s="1003"/>
      <c r="K289" s="61" t="str">
        <f>'[6]PLANILHA ORÇAMENTÁRIA'!F90</f>
        <v>M</v>
      </c>
      <c r="L289" s="62">
        <f>K292</f>
        <v>12</v>
      </c>
    </row>
    <row r="290" spans="2:12" hidden="1">
      <c r="B290" s="63"/>
      <c r="C290" s="1004" t="s">
        <v>20</v>
      </c>
      <c r="D290" s="1004"/>
      <c r="E290" s="1004"/>
      <c r="F290" s="64" t="s">
        <v>22</v>
      </c>
      <c r="G290" s="225" t="s">
        <v>111</v>
      </c>
      <c r="H290" s="225" t="s">
        <v>114</v>
      </c>
      <c r="I290" s="225" t="s">
        <v>113</v>
      </c>
      <c r="J290" s="225" t="s">
        <v>136</v>
      </c>
      <c r="K290" s="66" t="s">
        <v>25</v>
      </c>
      <c r="L290" s="67"/>
    </row>
    <row r="291" spans="2:12" hidden="1">
      <c r="B291" s="63"/>
      <c r="C291" s="1001"/>
      <c r="D291" s="1001"/>
      <c r="E291" s="1001"/>
      <c r="F291" s="68">
        <v>12</v>
      </c>
      <c r="G291" s="68"/>
      <c r="H291" s="68"/>
      <c r="I291" s="68"/>
      <c r="J291" s="68"/>
      <c r="K291" s="226">
        <f>F291</f>
        <v>12</v>
      </c>
      <c r="L291" s="67"/>
    </row>
    <row r="292" spans="2:12" hidden="1">
      <c r="B292" s="63"/>
      <c r="C292" s="1002" t="s">
        <v>116</v>
      </c>
      <c r="D292" s="1002"/>
      <c r="E292" s="1002"/>
      <c r="F292" s="1002"/>
      <c r="G292" s="1002"/>
      <c r="H292" s="1002"/>
      <c r="I292" s="1002"/>
      <c r="J292" s="1002"/>
      <c r="K292" s="66">
        <f>SUM(K291:K291)</f>
        <v>12</v>
      </c>
      <c r="L292" s="67"/>
    </row>
    <row r="293" spans="2:12" hidden="1"/>
    <row r="294" spans="2:12" ht="24" hidden="1" customHeight="1">
      <c r="B294" s="60" t="str">
        <f>'[6]PLANILHA ORÇAMENTÁRIA'!D91</f>
        <v>11.21</v>
      </c>
      <c r="C294" s="1003" t="str">
        <f>'[6]PLANILHA ORÇAMENTÁRIA'!E91</f>
        <v>LUVA SIMPLES, PVC, SERIE NORMAL, ESGOTO PREDIAL, DN 100 MM, JUNTA ELÁSTICA, FORNECIDO E INSTALADO EM RAMAL DE DESCARGA OU RAMAL DE ESGOTO SANITÁRIO. AF_12/2014</v>
      </c>
      <c r="D294" s="1003"/>
      <c r="E294" s="1003"/>
      <c r="F294" s="1003"/>
      <c r="G294" s="1003"/>
      <c r="H294" s="1003"/>
      <c r="I294" s="1003"/>
      <c r="J294" s="1003"/>
      <c r="K294" s="61" t="str">
        <f>'[6]PLANILHA ORÇAMENTÁRIA'!F91</f>
        <v>UND</v>
      </c>
      <c r="L294" s="62">
        <f>K297</f>
        <v>2</v>
      </c>
    </row>
    <row r="295" spans="2:12" hidden="1">
      <c r="B295" s="63"/>
      <c r="C295" s="1004" t="s">
        <v>20</v>
      </c>
      <c r="D295" s="1004"/>
      <c r="E295" s="1004"/>
      <c r="F295" s="64" t="s">
        <v>22</v>
      </c>
      <c r="G295" s="225" t="s">
        <v>111</v>
      </c>
      <c r="H295" s="225" t="s">
        <v>114</v>
      </c>
      <c r="I295" s="225" t="s">
        <v>113</v>
      </c>
      <c r="J295" s="225" t="s">
        <v>136</v>
      </c>
      <c r="K295" s="66" t="s">
        <v>25</v>
      </c>
      <c r="L295" s="67"/>
    </row>
    <row r="296" spans="2:12" hidden="1">
      <c r="B296" s="63"/>
      <c r="C296" s="1001"/>
      <c r="D296" s="1001"/>
      <c r="E296" s="1001"/>
      <c r="F296" s="68">
        <v>2</v>
      </c>
      <c r="G296" s="68"/>
      <c r="H296" s="68"/>
      <c r="I296" s="68"/>
      <c r="J296" s="68"/>
      <c r="K296" s="226">
        <f>F296</f>
        <v>2</v>
      </c>
      <c r="L296" s="67"/>
    </row>
    <row r="297" spans="2:12" hidden="1">
      <c r="B297" s="63"/>
      <c r="C297" s="1002" t="s">
        <v>116</v>
      </c>
      <c r="D297" s="1002"/>
      <c r="E297" s="1002"/>
      <c r="F297" s="1002"/>
      <c r="G297" s="1002"/>
      <c r="H297" s="1002"/>
      <c r="I297" s="1002"/>
      <c r="J297" s="1002"/>
      <c r="K297" s="66">
        <f>SUM(K296:K296)</f>
        <v>2</v>
      </c>
      <c r="L297" s="67"/>
    </row>
    <row r="298" spans="2:12" hidden="1"/>
    <row r="299" spans="2:12" ht="46.5" hidden="1" customHeight="1">
      <c r="B299" s="60" t="str">
        <f>'[6]PLANILHA ORÇAMENTÁRIA'!D92</f>
        <v>11.22</v>
      </c>
      <c r="C299" s="1003" t="str">
        <f>'[6]PLANILHA ORÇAMENTÁRIA'!E92</f>
        <v>COLETOR PREDIAL DE ESGOTO, DA CAIXA ATÉ A REDE (DISTÂNCIA = 8 M, LARGURA DA VALA = 0,65 M), INCLUINDO ESCAVAÇÃO MECANIZADA, PREPARO DE FUNDO DE VALA E REATERRO COM COMPACTAÇÃO MECANIZADA, TUBO PVC P/ REDE COLETORA ESGOTO JEI DN 100 MM E CONEXÕES - FORNECIMENTO E INSTALAÇÃO. AF_03/2016</v>
      </c>
      <c r="D299" s="1003"/>
      <c r="E299" s="1003"/>
      <c r="F299" s="1003"/>
      <c r="G299" s="1003"/>
      <c r="H299" s="1003"/>
      <c r="I299" s="1003"/>
      <c r="J299" s="1003"/>
      <c r="K299" s="61" t="str">
        <f>'[6]PLANILHA ORÇAMENTÁRIA'!F92</f>
        <v>UND</v>
      </c>
      <c r="L299" s="62">
        <f>K302</f>
        <v>1</v>
      </c>
    </row>
    <row r="300" spans="2:12" hidden="1">
      <c r="B300" s="63"/>
      <c r="C300" s="1004" t="s">
        <v>20</v>
      </c>
      <c r="D300" s="1004"/>
      <c r="E300" s="1004"/>
      <c r="F300" s="64" t="s">
        <v>22</v>
      </c>
      <c r="G300" s="225" t="s">
        <v>111</v>
      </c>
      <c r="H300" s="225" t="s">
        <v>114</v>
      </c>
      <c r="I300" s="225" t="s">
        <v>113</v>
      </c>
      <c r="J300" s="225" t="s">
        <v>136</v>
      </c>
      <c r="K300" s="66" t="s">
        <v>25</v>
      </c>
      <c r="L300" s="67"/>
    </row>
    <row r="301" spans="2:12" hidden="1">
      <c r="B301" s="63"/>
      <c r="C301" s="1001"/>
      <c r="D301" s="1001"/>
      <c r="E301" s="1001"/>
      <c r="F301" s="68">
        <v>1</v>
      </c>
      <c r="G301" s="68"/>
      <c r="H301" s="68"/>
      <c r="I301" s="68"/>
      <c r="J301" s="68"/>
      <c r="K301" s="226">
        <f>F301</f>
        <v>1</v>
      </c>
      <c r="L301" s="67"/>
    </row>
    <row r="302" spans="2:12" hidden="1">
      <c r="B302" s="63"/>
      <c r="C302" s="1002" t="s">
        <v>116</v>
      </c>
      <c r="D302" s="1002"/>
      <c r="E302" s="1002"/>
      <c r="F302" s="1002"/>
      <c r="G302" s="1002"/>
      <c r="H302" s="1002"/>
      <c r="I302" s="1002"/>
      <c r="J302" s="1002"/>
      <c r="K302" s="66">
        <f>SUM(K301:K301)</f>
        <v>1</v>
      </c>
      <c r="L302" s="67"/>
    </row>
    <row r="303" spans="2:12" hidden="1"/>
    <row r="304" spans="2:12" hidden="1">
      <c r="B304" s="58" t="str">
        <f>'[6]PLANILHA ORÇAMENTÁRIA'!D93</f>
        <v>12.0</v>
      </c>
      <c r="C304" s="1000" t="str">
        <f>'[6]PLANILHA ORÇAMENTÁRIA'!E93</f>
        <v>INSTALAÇÕES ELÉTRICAS</v>
      </c>
      <c r="D304" s="1000"/>
      <c r="E304" s="1000"/>
      <c r="F304" s="1000"/>
      <c r="G304" s="1000"/>
      <c r="H304" s="1000"/>
      <c r="I304" s="1000"/>
      <c r="J304" s="1000"/>
      <c r="K304" s="59"/>
      <c r="L304" s="59"/>
    </row>
    <row r="305" spans="2:12" ht="27.75" hidden="1" customHeight="1">
      <c r="B305" s="60" t="str">
        <f>'[6]PLANILHA ORÇAMENTÁRIA'!D94</f>
        <v>12.1</v>
      </c>
      <c r="C305" s="1003" t="str">
        <f>'[6]PLANILHA ORÇAMENTÁRIA'!E94</f>
        <v>PONTO DE ILUMINAÇÃO RESIDENCIAL INCLUINDO INTERRUPTOR SIMPLES, CAIXA ELÉTRICA, ELETRODUTO, CABO, RASGO, QUEBRA E CHUMBAMENTO (EXCLUINDO LUMINÁRIA E LÂMPADA). AF_01/2016</v>
      </c>
      <c r="D305" s="1003"/>
      <c r="E305" s="1003"/>
      <c r="F305" s="1003"/>
      <c r="G305" s="1003"/>
      <c r="H305" s="1003"/>
      <c r="I305" s="1003"/>
      <c r="J305" s="1003"/>
      <c r="K305" s="61" t="str">
        <f>'[6]PLANILHA ORÇAMENTÁRIA'!F94</f>
        <v>UND</v>
      </c>
      <c r="L305" s="62">
        <f>K308</f>
        <v>7</v>
      </c>
    </row>
    <row r="306" spans="2:12" hidden="1">
      <c r="B306" s="63"/>
      <c r="C306" s="1004" t="s">
        <v>20</v>
      </c>
      <c r="D306" s="1004"/>
      <c r="E306" s="1004"/>
      <c r="F306" s="64" t="s">
        <v>22</v>
      </c>
      <c r="G306" s="225" t="s">
        <v>111</v>
      </c>
      <c r="H306" s="225" t="s">
        <v>114</v>
      </c>
      <c r="I306" s="225" t="s">
        <v>113</v>
      </c>
      <c r="J306" s="225" t="s">
        <v>136</v>
      </c>
      <c r="K306" s="66" t="s">
        <v>25</v>
      </c>
      <c r="L306" s="67"/>
    </row>
    <row r="307" spans="2:12" hidden="1">
      <c r="B307" s="63"/>
      <c r="C307" s="1001"/>
      <c r="D307" s="1001"/>
      <c r="E307" s="1001"/>
      <c r="F307" s="68">
        <f>'[6]PLANILHA ORÇAMENTÁRIA'!G94</f>
        <v>7</v>
      </c>
      <c r="G307" s="68"/>
      <c r="H307" s="68"/>
      <c r="I307" s="68"/>
      <c r="J307" s="68"/>
      <c r="K307" s="226">
        <f>F307</f>
        <v>7</v>
      </c>
      <c r="L307" s="67"/>
    </row>
    <row r="308" spans="2:12" hidden="1">
      <c r="B308" s="63"/>
      <c r="C308" s="1002" t="s">
        <v>116</v>
      </c>
      <c r="D308" s="1002"/>
      <c r="E308" s="1002"/>
      <c r="F308" s="1002"/>
      <c r="G308" s="1002"/>
      <c r="H308" s="1002"/>
      <c r="I308" s="1002"/>
      <c r="J308" s="1002"/>
      <c r="K308" s="66">
        <f>SUM(K307:K307)</f>
        <v>7</v>
      </c>
      <c r="L308" s="67"/>
    </row>
    <row r="309" spans="2:12" hidden="1">
      <c r="B309" s="74"/>
      <c r="C309" s="74"/>
      <c r="D309" s="74"/>
      <c r="E309" s="74"/>
      <c r="F309" s="74"/>
      <c r="G309" s="74"/>
      <c r="H309" s="74"/>
      <c r="I309" s="74"/>
      <c r="J309" s="74"/>
      <c r="K309" s="74"/>
      <c r="L309" s="74"/>
    </row>
    <row r="310" spans="2:12" ht="29.25" hidden="1" customHeight="1">
      <c r="B310" s="60" t="str">
        <f>'[6]PLANILHA ORÇAMENTÁRIA'!D95</f>
        <v>12.2</v>
      </c>
      <c r="C310" s="1003" t="str">
        <f>'[6]PLANILHA ORÇAMENTÁRIA'!E95</f>
        <v>PONTO DE TOMADA RESIDENCIAL INCLUINDO TOMADA (2 MÓDULOS) 10A/250V, CAIXA ELÉTRICA, ELETRODUTO, CABO, RASGO, QUEBRA E CHUMBAMENTO. AF_01/2016</v>
      </c>
      <c r="D310" s="1003"/>
      <c r="E310" s="1003"/>
      <c r="F310" s="1003"/>
      <c r="G310" s="1003"/>
      <c r="H310" s="1003"/>
      <c r="I310" s="1003"/>
      <c r="J310" s="1003"/>
      <c r="K310" s="61" t="str">
        <f>'[6]PLANILHA ORÇAMENTÁRIA'!F95</f>
        <v>UND</v>
      </c>
      <c r="L310" s="62">
        <f>K313</f>
        <v>3</v>
      </c>
    </row>
    <row r="311" spans="2:12" hidden="1">
      <c r="B311" s="63"/>
      <c r="C311" s="1004" t="s">
        <v>20</v>
      </c>
      <c r="D311" s="1004"/>
      <c r="E311" s="1004"/>
      <c r="F311" s="64" t="s">
        <v>22</v>
      </c>
      <c r="G311" s="225" t="s">
        <v>111</v>
      </c>
      <c r="H311" s="225" t="s">
        <v>114</v>
      </c>
      <c r="I311" s="225" t="s">
        <v>113</v>
      </c>
      <c r="J311" s="225" t="s">
        <v>136</v>
      </c>
      <c r="K311" s="66" t="s">
        <v>25</v>
      </c>
      <c r="L311" s="67"/>
    </row>
    <row r="312" spans="2:12" hidden="1">
      <c r="B312" s="63"/>
      <c r="C312" s="1001"/>
      <c r="D312" s="1001"/>
      <c r="E312" s="1001"/>
      <c r="F312" s="68">
        <f>'[6]PLANILHA ORÇAMENTÁRIA'!G95</f>
        <v>3</v>
      </c>
      <c r="G312" s="68"/>
      <c r="H312" s="68"/>
      <c r="I312" s="68"/>
      <c r="J312" s="68"/>
      <c r="K312" s="226">
        <f>F312</f>
        <v>3</v>
      </c>
      <c r="L312" s="67"/>
    </row>
    <row r="313" spans="2:12" hidden="1">
      <c r="B313" s="63"/>
      <c r="C313" s="1002" t="s">
        <v>116</v>
      </c>
      <c r="D313" s="1002"/>
      <c r="E313" s="1002"/>
      <c r="F313" s="1002"/>
      <c r="G313" s="1002"/>
      <c r="H313" s="1002"/>
      <c r="I313" s="1002"/>
      <c r="J313" s="1002"/>
      <c r="K313" s="66">
        <f>SUM(K312:K312)</f>
        <v>3</v>
      </c>
      <c r="L313" s="67"/>
    </row>
    <row r="314" spans="2:12" hidden="1">
      <c r="B314" s="74"/>
      <c r="C314" s="74"/>
      <c r="D314" s="74"/>
      <c r="E314" s="74"/>
      <c r="F314" s="74"/>
      <c r="G314" s="74"/>
      <c r="H314" s="74"/>
      <c r="I314" s="74"/>
      <c r="J314" s="74"/>
      <c r="K314" s="74"/>
      <c r="L314" s="74"/>
    </row>
    <row r="315" spans="2:12" ht="27.75" hidden="1" customHeight="1">
      <c r="B315" s="60" t="str">
        <f>'[6]PLANILHA ORÇAMENTÁRIA'!D96</f>
        <v>12.3</v>
      </c>
      <c r="C315" s="1003" t="str">
        <f>'[6]PLANILHA ORÇAMENTÁRIA'!E96</f>
        <v>POSTE DE ACO CONICO CONTINUO CURVO DUPLO, FLANGEADO, COM JANELA DE INSPECAO H=9M - FORNECIMENTO E INSTALACAO</v>
      </c>
      <c r="D315" s="1003"/>
      <c r="E315" s="1003"/>
      <c r="F315" s="1003"/>
      <c r="G315" s="1003"/>
      <c r="H315" s="1003"/>
      <c r="I315" s="1003"/>
      <c r="J315" s="1003"/>
      <c r="K315" s="61" t="str">
        <f>'[6]PLANILHA ORÇAMENTÁRIA'!F96</f>
        <v>UND</v>
      </c>
      <c r="L315" s="62">
        <f>K318</f>
        <v>4</v>
      </c>
    </row>
    <row r="316" spans="2:12" hidden="1">
      <c r="B316" s="63"/>
      <c r="C316" s="1004" t="s">
        <v>20</v>
      </c>
      <c r="D316" s="1004"/>
      <c r="E316" s="1004"/>
      <c r="F316" s="64" t="s">
        <v>22</v>
      </c>
      <c r="G316" s="225" t="s">
        <v>111</v>
      </c>
      <c r="H316" s="225" t="s">
        <v>114</v>
      </c>
      <c r="I316" s="225" t="s">
        <v>113</v>
      </c>
      <c r="J316" s="225" t="s">
        <v>136</v>
      </c>
      <c r="K316" s="66" t="s">
        <v>25</v>
      </c>
      <c r="L316" s="67"/>
    </row>
    <row r="317" spans="2:12" hidden="1">
      <c r="B317" s="63"/>
      <c r="C317" s="1001"/>
      <c r="D317" s="1001"/>
      <c r="E317" s="1001"/>
      <c r="F317" s="68">
        <f>'[6]PLANILHA ORÇAMENTÁRIA'!G96</f>
        <v>4</v>
      </c>
      <c r="G317" s="68"/>
      <c r="H317" s="68"/>
      <c r="I317" s="68"/>
      <c r="J317" s="68"/>
      <c r="K317" s="226">
        <f>F317</f>
        <v>4</v>
      </c>
      <c r="L317" s="67"/>
    </row>
    <row r="318" spans="2:12" hidden="1">
      <c r="B318" s="63"/>
      <c r="C318" s="1002" t="s">
        <v>116</v>
      </c>
      <c r="D318" s="1002"/>
      <c r="E318" s="1002"/>
      <c r="F318" s="1002"/>
      <c r="G318" s="1002"/>
      <c r="H318" s="1002"/>
      <c r="I318" s="1002"/>
      <c r="J318" s="1002"/>
      <c r="K318" s="66">
        <f>SUM(K317:K317)</f>
        <v>4</v>
      </c>
      <c r="L318" s="67"/>
    </row>
    <row r="319" spans="2:12" hidden="1">
      <c r="B319" s="74"/>
      <c r="C319" s="74"/>
      <c r="D319" s="74"/>
      <c r="E319" s="74"/>
      <c r="F319" s="74"/>
      <c r="G319" s="74"/>
      <c r="H319" s="74"/>
      <c r="I319" s="74"/>
      <c r="J319" s="74"/>
      <c r="K319" s="74"/>
      <c r="L319" s="74"/>
    </row>
    <row r="320" spans="2:12" ht="42.75" hidden="1" customHeight="1">
      <c r="B320" s="60" t="str">
        <f>'[6]PLANILHA ORÇAMENTÁRIA'!D97</f>
        <v>12.4</v>
      </c>
      <c r="C320" s="1003" t="str">
        <f>'[6]PLANILHA ORÇAMENTÁRIA'!E97</f>
        <v>QUADRO DE DISTRIBUICAO DE ENERGIA DE EMBUTIR, EM CHAPA METALICA, PARA 18 DISJUNTORES TERMOMAGNETICOS MONOPOLARES, COM BARRAMENTO TRIFASICO E NEUTRO, FORNECIMENTO E INSTALACAO</v>
      </c>
      <c r="D320" s="1003"/>
      <c r="E320" s="1003"/>
      <c r="F320" s="1003"/>
      <c r="G320" s="1003"/>
      <c r="H320" s="1003"/>
      <c r="I320" s="1003"/>
      <c r="J320" s="1003"/>
      <c r="K320" s="61" t="str">
        <f>'[6]PLANILHA ORÇAMENTÁRIA'!F97</f>
        <v>UND</v>
      </c>
      <c r="L320" s="62">
        <f>K323</f>
        <v>1</v>
      </c>
    </row>
    <row r="321" spans="2:12" hidden="1">
      <c r="B321" s="63"/>
      <c r="C321" s="1004" t="s">
        <v>20</v>
      </c>
      <c r="D321" s="1004"/>
      <c r="E321" s="1004"/>
      <c r="F321" s="64" t="s">
        <v>22</v>
      </c>
      <c r="G321" s="225" t="s">
        <v>111</v>
      </c>
      <c r="H321" s="225" t="s">
        <v>114</v>
      </c>
      <c r="I321" s="225" t="s">
        <v>113</v>
      </c>
      <c r="J321" s="225" t="s">
        <v>136</v>
      </c>
      <c r="K321" s="66" t="s">
        <v>25</v>
      </c>
      <c r="L321" s="67"/>
    </row>
    <row r="322" spans="2:12" hidden="1">
      <c r="B322" s="63"/>
      <c r="C322" s="1001"/>
      <c r="D322" s="1001"/>
      <c r="E322" s="1001"/>
      <c r="F322" s="68">
        <f>'[6]PLANILHA ORÇAMENTÁRIA'!G97</f>
        <v>1</v>
      </c>
      <c r="G322" s="68"/>
      <c r="H322" s="68"/>
      <c r="I322" s="68"/>
      <c r="J322" s="68"/>
      <c r="K322" s="226">
        <f>F322</f>
        <v>1</v>
      </c>
      <c r="L322" s="67"/>
    </row>
    <row r="323" spans="2:12" hidden="1">
      <c r="B323" s="63"/>
      <c r="C323" s="1002" t="s">
        <v>116</v>
      </c>
      <c r="D323" s="1002"/>
      <c r="E323" s="1002"/>
      <c r="F323" s="1002"/>
      <c r="G323" s="1002"/>
      <c r="H323" s="1002"/>
      <c r="I323" s="1002"/>
      <c r="J323" s="1002"/>
      <c r="K323" s="66">
        <f>SUM(K322:K322)</f>
        <v>1</v>
      </c>
      <c r="L323" s="67"/>
    </row>
    <row r="324" spans="2:12" hidden="1">
      <c r="B324" s="74"/>
      <c r="C324" s="74"/>
      <c r="D324" s="74"/>
      <c r="E324" s="74"/>
      <c r="F324" s="74"/>
      <c r="G324" s="74"/>
      <c r="H324" s="74"/>
      <c r="I324" s="74"/>
      <c r="J324" s="74"/>
      <c r="K324" s="74"/>
      <c r="L324" s="74"/>
    </row>
    <row r="325" spans="2:12" ht="28.5" hidden="1" customHeight="1">
      <c r="B325" s="60" t="str">
        <f>'[6]PLANILHA ORÇAMENTÁRIA'!D98</f>
        <v>12.5</v>
      </c>
      <c r="C325" s="1003" t="str">
        <f>'[6]PLANILHA ORÇAMENTÁRIA'!E98</f>
        <v>DISJUNTOR TERMOMAGNETICO MONOPOLAR PADRAO NEMA (AMERICANO) 10 A 30A 240V, FORNECIMENTO E INSTALACAO</v>
      </c>
      <c r="D325" s="1003"/>
      <c r="E325" s="1003"/>
      <c r="F325" s="1003"/>
      <c r="G325" s="1003"/>
      <c r="H325" s="1003"/>
      <c r="I325" s="1003"/>
      <c r="J325" s="1003"/>
      <c r="K325" s="61" t="str">
        <f>'[6]PLANILHA ORÇAMENTÁRIA'!F98</f>
        <v>UND</v>
      </c>
      <c r="L325" s="62">
        <f>K328</f>
        <v>3</v>
      </c>
    </row>
    <row r="326" spans="2:12" hidden="1">
      <c r="B326" s="63"/>
      <c r="C326" s="1004" t="s">
        <v>20</v>
      </c>
      <c r="D326" s="1004"/>
      <c r="E326" s="1004"/>
      <c r="F326" s="64" t="s">
        <v>22</v>
      </c>
      <c r="G326" s="225" t="s">
        <v>111</v>
      </c>
      <c r="H326" s="225" t="s">
        <v>114</v>
      </c>
      <c r="I326" s="225" t="s">
        <v>113</v>
      </c>
      <c r="J326" s="225" t="s">
        <v>136</v>
      </c>
      <c r="K326" s="66" t="s">
        <v>25</v>
      </c>
      <c r="L326" s="67"/>
    </row>
    <row r="327" spans="2:12" hidden="1">
      <c r="B327" s="63"/>
      <c r="C327" s="1001"/>
      <c r="D327" s="1001"/>
      <c r="E327" s="1001"/>
      <c r="F327" s="68">
        <f>'[6]PLANILHA ORÇAMENTÁRIA'!G98</f>
        <v>3</v>
      </c>
      <c r="G327" s="68"/>
      <c r="H327" s="68"/>
      <c r="I327" s="68"/>
      <c r="J327" s="68"/>
      <c r="K327" s="226">
        <f>F327</f>
        <v>3</v>
      </c>
      <c r="L327" s="67"/>
    </row>
    <row r="328" spans="2:12" hidden="1">
      <c r="B328" s="63"/>
      <c r="C328" s="1002" t="s">
        <v>116</v>
      </c>
      <c r="D328" s="1002"/>
      <c r="E328" s="1002"/>
      <c r="F328" s="1002"/>
      <c r="G328" s="1002"/>
      <c r="H328" s="1002"/>
      <c r="I328" s="1002"/>
      <c r="J328" s="1002"/>
      <c r="K328" s="66">
        <f>SUM(K327:K327)</f>
        <v>3</v>
      </c>
      <c r="L328" s="67"/>
    </row>
    <row r="329" spans="2:12" hidden="1">
      <c r="B329" s="63"/>
      <c r="C329" s="71"/>
      <c r="D329" s="71"/>
      <c r="E329" s="71"/>
      <c r="F329" s="71"/>
      <c r="G329" s="71"/>
      <c r="H329" s="71"/>
      <c r="I329" s="71"/>
      <c r="J329" s="71"/>
      <c r="K329" s="73"/>
      <c r="L329" s="67"/>
    </row>
    <row r="330" spans="2:12" ht="15" hidden="1" customHeight="1">
      <c r="B330" s="60" t="str">
        <f>'[6]PLANILHA ORÇAMENTÁRIA'!D99</f>
        <v>12.6</v>
      </c>
      <c r="C330" s="1003" t="str">
        <f>'[6]PLANILHA ORÇAMENTÁRIA'!E99</f>
        <v>DISJUNTOR TERMOMAGNETICO BIPOLAR PADRAO NEMA (AMERICANO) 10 A 50A 240V, FORNECIMENTO E INSTALACAO</v>
      </c>
      <c r="D330" s="1003"/>
      <c r="E330" s="1003"/>
      <c r="F330" s="1003"/>
      <c r="G330" s="1003"/>
      <c r="H330" s="1003"/>
      <c r="I330" s="1003"/>
      <c r="J330" s="1003"/>
      <c r="K330" s="61" t="str">
        <f>'[6]PLANILHA ORÇAMENTÁRIA'!F99</f>
        <v>UND</v>
      </c>
      <c r="L330" s="62">
        <f>K333</f>
        <v>1</v>
      </c>
    </row>
    <row r="331" spans="2:12" hidden="1">
      <c r="B331" s="63"/>
      <c r="C331" s="1004" t="s">
        <v>20</v>
      </c>
      <c r="D331" s="1004"/>
      <c r="E331" s="1004"/>
      <c r="F331" s="64" t="s">
        <v>22</v>
      </c>
      <c r="G331" s="225" t="s">
        <v>111</v>
      </c>
      <c r="H331" s="225" t="s">
        <v>114</v>
      </c>
      <c r="I331" s="225" t="s">
        <v>113</v>
      </c>
      <c r="J331" s="225" t="s">
        <v>136</v>
      </c>
      <c r="K331" s="66" t="s">
        <v>25</v>
      </c>
      <c r="L331" s="67"/>
    </row>
    <row r="332" spans="2:12" hidden="1">
      <c r="B332" s="63"/>
      <c r="C332" s="1001"/>
      <c r="D332" s="1001"/>
      <c r="E332" s="1001"/>
      <c r="F332" s="68">
        <f>'[6]PLANILHA ORÇAMENTÁRIA'!G99</f>
        <v>1</v>
      </c>
      <c r="G332" s="68"/>
      <c r="H332" s="68"/>
      <c r="I332" s="68"/>
      <c r="J332" s="68"/>
      <c r="K332" s="226">
        <f>F332</f>
        <v>1</v>
      </c>
      <c r="L332" s="67"/>
    </row>
    <row r="333" spans="2:12" hidden="1">
      <c r="B333" s="63"/>
      <c r="C333" s="1002" t="s">
        <v>116</v>
      </c>
      <c r="D333" s="1002"/>
      <c r="E333" s="1002"/>
      <c r="F333" s="1002"/>
      <c r="G333" s="1002"/>
      <c r="H333" s="1002"/>
      <c r="I333" s="1002"/>
      <c r="J333" s="1002"/>
      <c r="K333" s="66">
        <f>SUM(K332:K332)</f>
        <v>1</v>
      </c>
      <c r="L333" s="67"/>
    </row>
    <row r="334" spans="2:12" hidden="1">
      <c r="B334" s="63"/>
      <c r="C334" s="71"/>
      <c r="D334" s="71"/>
      <c r="E334" s="71"/>
      <c r="F334" s="71"/>
      <c r="G334" s="71"/>
      <c r="H334" s="71"/>
      <c r="I334" s="71"/>
      <c r="J334" s="71"/>
      <c r="K334" s="73"/>
      <c r="L334" s="67"/>
    </row>
    <row r="335" spans="2:12" ht="30.75" hidden="1" customHeight="1">
      <c r="B335" s="60" t="str">
        <f>'[6]PLANILHA ORÇAMENTÁRIA'!D100</f>
        <v>12.7</v>
      </c>
      <c r="C335" s="1003" t="str">
        <f>'[6]PLANILHA ORÇAMENTÁRIA'!E100</f>
        <v>DISJUNTOR TERMOMAGNETICO TRIPOLAR PADRAO NEMA (AMERICANO) 10 A 50A 240V, FORNECIMENTO E INSTALACAO</v>
      </c>
      <c r="D335" s="1003"/>
      <c r="E335" s="1003"/>
      <c r="F335" s="1003"/>
      <c r="G335" s="1003"/>
      <c r="H335" s="1003"/>
      <c r="I335" s="1003"/>
      <c r="J335" s="1003"/>
      <c r="K335" s="61" t="str">
        <f>'[6]PLANILHA ORÇAMENTÁRIA'!F100</f>
        <v>UND</v>
      </c>
      <c r="L335" s="62">
        <f>K338</f>
        <v>1</v>
      </c>
    </row>
    <row r="336" spans="2:12" hidden="1">
      <c r="B336" s="63"/>
      <c r="C336" s="1004" t="s">
        <v>20</v>
      </c>
      <c r="D336" s="1004"/>
      <c r="E336" s="1004"/>
      <c r="F336" s="64" t="s">
        <v>22</v>
      </c>
      <c r="G336" s="225" t="s">
        <v>111</v>
      </c>
      <c r="H336" s="225" t="s">
        <v>114</v>
      </c>
      <c r="I336" s="225" t="s">
        <v>113</v>
      </c>
      <c r="J336" s="225" t="s">
        <v>136</v>
      </c>
      <c r="K336" s="66" t="s">
        <v>25</v>
      </c>
      <c r="L336" s="67"/>
    </row>
    <row r="337" spans="2:12" hidden="1">
      <c r="B337" s="63"/>
      <c r="C337" s="1001"/>
      <c r="D337" s="1001"/>
      <c r="E337" s="1001"/>
      <c r="F337" s="68">
        <f>'[6]PLANILHA ORÇAMENTÁRIA'!G100</f>
        <v>1</v>
      </c>
      <c r="G337" s="68"/>
      <c r="H337" s="68"/>
      <c r="I337" s="68"/>
      <c r="J337" s="68"/>
      <c r="K337" s="226">
        <f>F337</f>
        <v>1</v>
      </c>
      <c r="L337" s="67"/>
    </row>
    <row r="338" spans="2:12" hidden="1">
      <c r="B338" s="63"/>
      <c r="C338" s="1002" t="s">
        <v>116</v>
      </c>
      <c r="D338" s="1002"/>
      <c r="E338" s="1002"/>
      <c r="F338" s="1002"/>
      <c r="G338" s="1002"/>
      <c r="H338" s="1002"/>
      <c r="I338" s="1002"/>
      <c r="J338" s="1002"/>
      <c r="K338" s="66">
        <f>SUM(K337:K337)</f>
        <v>1</v>
      </c>
      <c r="L338" s="67"/>
    </row>
    <row r="339" spans="2:12" hidden="1">
      <c r="B339" s="63"/>
      <c r="C339" s="71"/>
      <c r="D339" s="71"/>
      <c r="E339" s="71"/>
      <c r="F339" s="71"/>
      <c r="G339" s="71"/>
      <c r="H339" s="71"/>
      <c r="I339" s="71"/>
      <c r="J339" s="71"/>
      <c r="K339" s="73"/>
      <c r="L339" s="67"/>
    </row>
    <row r="340" spans="2:12" ht="15" hidden="1" customHeight="1">
      <c r="B340" s="60" t="str">
        <f>'[6]PLANILHA ORÇAMENTÁRIA'!D101</f>
        <v>12.8</v>
      </c>
      <c r="C340" s="1003" t="str">
        <f>'[6]PLANILHA ORÇAMENTÁRIA'!E101</f>
        <v>LUMINÁRIA TIPO PLAFON, DE SOBREPOR, COM 1 LÂMPADA LED - FORNECIMENTO E INSTALAÇÃO. AF_11/2017</v>
      </c>
      <c r="D340" s="1003"/>
      <c r="E340" s="1003"/>
      <c r="F340" s="1003"/>
      <c r="G340" s="1003"/>
      <c r="H340" s="1003"/>
      <c r="I340" s="1003"/>
      <c r="J340" s="1003"/>
      <c r="K340" s="61" t="str">
        <f>'[6]PLANILHA ORÇAMENTÁRIA'!F101</f>
        <v>UND</v>
      </c>
      <c r="L340" s="62">
        <f>K343</f>
        <v>3</v>
      </c>
    </row>
    <row r="341" spans="2:12" hidden="1">
      <c r="B341" s="63"/>
      <c r="C341" s="1004" t="s">
        <v>20</v>
      </c>
      <c r="D341" s="1004"/>
      <c r="E341" s="1004"/>
      <c r="F341" s="64" t="s">
        <v>22</v>
      </c>
      <c r="G341" s="225" t="s">
        <v>111</v>
      </c>
      <c r="H341" s="225" t="s">
        <v>114</v>
      </c>
      <c r="I341" s="225" t="s">
        <v>113</v>
      </c>
      <c r="J341" s="225" t="s">
        <v>136</v>
      </c>
      <c r="K341" s="66" t="s">
        <v>25</v>
      </c>
      <c r="L341" s="67"/>
    </row>
    <row r="342" spans="2:12" hidden="1">
      <c r="B342" s="63"/>
      <c r="C342" s="1001"/>
      <c r="D342" s="1001"/>
      <c r="E342" s="1001"/>
      <c r="F342" s="68">
        <f>'[6]PLANILHA ORÇAMENTÁRIA'!G101</f>
        <v>3</v>
      </c>
      <c r="G342" s="68"/>
      <c r="H342" s="68"/>
      <c r="I342" s="68"/>
      <c r="J342" s="68"/>
      <c r="K342" s="226">
        <f>F342</f>
        <v>3</v>
      </c>
      <c r="L342" s="67"/>
    </row>
    <row r="343" spans="2:12" hidden="1">
      <c r="B343" s="63"/>
      <c r="C343" s="1002" t="s">
        <v>116</v>
      </c>
      <c r="D343" s="1002"/>
      <c r="E343" s="1002"/>
      <c r="F343" s="1002"/>
      <c r="G343" s="1002"/>
      <c r="H343" s="1002"/>
      <c r="I343" s="1002"/>
      <c r="J343" s="1002"/>
      <c r="K343" s="66">
        <f>SUM(K342:K342)</f>
        <v>3</v>
      </c>
      <c r="L343" s="67"/>
    </row>
    <row r="344" spans="2:12" hidden="1"/>
    <row r="345" spans="2:12" ht="21.75" hidden="1" customHeight="1">
      <c r="B345" s="60" t="str">
        <f>'[6]PLANILHA ORÇAMENTÁRIA'!D102</f>
        <v>12.9</v>
      </c>
      <c r="C345" s="1003" t="str">
        <f>'[6]PLANILHA ORÇAMENTÁRIA'!E102</f>
        <v>LUMINÁRIAS TIPO CALHA, DE SOBREPOR E LÂMPADAS EM LED 2X2X18W, COMPLETAS, FORNECIMENTO E INSTALAÇÃO</v>
      </c>
      <c r="D345" s="1003"/>
      <c r="E345" s="1003"/>
      <c r="F345" s="1003"/>
      <c r="G345" s="1003"/>
      <c r="H345" s="1003"/>
      <c r="I345" s="1003"/>
      <c r="J345" s="1003"/>
      <c r="K345" s="61" t="str">
        <f>'[6]PLANILHA ORÇAMENTÁRIA'!F102</f>
        <v>UND</v>
      </c>
      <c r="L345" s="62">
        <f>K348</f>
        <v>4</v>
      </c>
    </row>
    <row r="346" spans="2:12" hidden="1">
      <c r="B346" s="63"/>
      <c r="C346" s="1004" t="s">
        <v>20</v>
      </c>
      <c r="D346" s="1004"/>
      <c r="E346" s="1004"/>
      <c r="F346" s="64" t="s">
        <v>22</v>
      </c>
      <c r="G346" s="225" t="s">
        <v>111</v>
      </c>
      <c r="H346" s="225" t="s">
        <v>114</v>
      </c>
      <c r="I346" s="225" t="s">
        <v>113</v>
      </c>
      <c r="J346" s="225" t="s">
        <v>136</v>
      </c>
      <c r="K346" s="66" t="s">
        <v>25</v>
      </c>
      <c r="L346" s="67"/>
    </row>
    <row r="347" spans="2:12" hidden="1">
      <c r="B347" s="63"/>
      <c r="C347" s="1001"/>
      <c r="D347" s="1001"/>
      <c r="E347" s="1001"/>
      <c r="F347" s="68">
        <f>'[6]PLANILHA ORÇAMENTÁRIA'!G102</f>
        <v>4</v>
      </c>
      <c r="G347" s="68"/>
      <c r="H347" s="68"/>
      <c r="I347" s="68"/>
      <c r="J347" s="68"/>
      <c r="K347" s="226">
        <f>F347</f>
        <v>4</v>
      </c>
      <c r="L347" s="67"/>
    </row>
    <row r="348" spans="2:12" hidden="1">
      <c r="B348" s="63"/>
      <c r="C348" s="1002" t="s">
        <v>116</v>
      </c>
      <c r="D348" s="1002"/>
      <c r="E348" s="1002"/>
      <c r="F348" s="1002"/>
      <c r="G348" s="1002"/>
      <c r="H348" s="1002"/>
      <c r="I348" s="1002"/>
      <c r="J348" s="1002"/>
      <c r="K348" s="66">
        <f>SUM(K347:K347)</f>
        <v>4</v>
      </c>
      <c r="L348" s="67"/>
    </row>
    <row r="349" spans="2:12" hidden="1"/>
    <row r="350" spans="2:12" ht="27.75" hidden="1" customHeight="1">
      <c r="B350" s="60" t="str">
        <f>'[6]PLANILHA ORÇAMENTÁRIA'!D103</f>
        <v>12.10</v>
      </c>
      <c r="C350" s="1003" t="str">
        <f>'[6]PLANILHA ORÇAMENTÁRIA'!E103</f>
        <v>RELE FOTOELETRICO P/ COMANDO DE ILUMINACAO EXTERNA 220V/1000W - FORNECIMENTO E INSTALACAO</v>
      </c>
      <c r="D350" s="1003"/>
      <c r="E350" s="1003"/>
      <c r="F350" s="1003"/>
      <c r="G350" s="1003"/>
      <c r="H350" s="1003"/>
      <c r="I350" s="1003"/>
      <c r="J350" s="1003"/>
      <c r="K350" s="61" t="str">
        <f>'[6]PLANILHA ORÇAMENTÁRIA'!F103</f>
        <v>UND</v>
      </c>
      <c r="L350" s="62">
        <f>K353</f>
        <v>1</v>
      </c>
    </row>
    <row r="351" spans="2:12" hidden="1">
      <c r="B351" s="63"/>
      <c r="C351" s="1004" t="s">
        <v>20</v>
      </c>
      <c r="D351" s="1004"/>
      <c r="E351" s="1004"/>
      <c r="F351" s="64" t="s">
        <v>22</v>
      </c>
      <c r="G351" s="225" t="s">
        <v>111</v>
      </c>
      <c r="H351" s="225" t="s">
        <v>114</v>
      </c>
      <c r="I351" s="225" t="s">
        <v>113</v>
      </c>
      <c r="J351" s="225" t="s">
        <v>136</v>
      </c>
      <c r="K351" s="66" t="s">
        <v>25</v>
      </c>
      <c r="L351" s="67"/>
    </row>
    <row r="352" spans="2:12" hidden="1">
      <c r="B352" s="63"/>
      <c r="C352" s="1001"/>
      <c r="D352" s="1001"/>
      <c r="E352" s="1001"/>
      <c r="F352" s="68">
        <f>'[6]PLANILHA ORÇAMENTÁRIA'!G103</f>
        <v>1</v>
      </c>
      <c r="G352" s="68"/>
      <c r="H352" s="68"/>
      <c r="I352" s="68"/>
      <c r="J352" s="68"/>
      <c r="K352" s="226">
        <f>F352</f>
        <v>1</v>
      </c>
      <c r="L352" s="67"/>
    </row>
    <row r="353" spans="2:12" hidden="1">
      <c r="B353" s="63"/>
      <c r="C353" s="1002" t="s">
        <v>116</v>
      </c>
      <c r="D353" s="1002"/>
      <c r="E353" s="1002"/>
      <c r="F353" s="1002"/>
      <c r="G353" s="1002"/>
      <c r="H353" s="1002"/>
      <c r="I353" s="1002"/>
      <c r="J353" s="1002"/>
      <c r="K353" s="66">
        <f>SUM(K352:K352)</f>
        <v>1</v>
      </c>
      <c r="L353" s="67"/>
    </row>
    <row r="354" spans="2:12" hidden="1"/>
    <row r="355" spans="2:12" ht="29.25" hidden="1" customHeight="1">
      <c r="B355" s="60" t="str">
        <f>'[6]PLANILHA ORÇAMENTÁRIA'!D104</f>
        <v>12.11</v>
      </c>
      <c r="C355" s="1003" t="str">
        <f>'[6]PLANILHA ORÇAMENTÁRIA'!E104</f>
        <v>ELETRODUTO RÍGIDO ROSCÁVEL, PVC, DN 32 MM (1"), PARA CIRCUITOS TERMINAIS, INSTALADO EM FORRO - FORNECIMENTO E INSTALAÇÃO. AF_12/2015</v>
      </c>
      <c r="D355" s="1003"/>
      <c r="E355" s="1003"/>
      <c r="F355" s="1003"/>
      <c r="G355" s="1003"/>
      <c r="H355" s="1003"/>
      <c r="I355" s="1003"/>
      <c r="J355" s="1003"/>
      <c r="K355" s="61" t="str">
        <f>'[6]PLANILHA ORÇAMENTÁRIA'!F104</f>
        <v>M</v>
      </c>
      <c r="L355" s="62">
        <f>K358</f>
        <v>70</v>
      </c>
    </row>
    <row r="356" spans="2:12" hidden="1">
      <c r="B356" s="63"/>
      <c r="C356" s="1004" t="s">
        <v>20</v>
      </c>
      <c r="D356" s="1004"/>
      <c r="E356" s="1004"/>
      <c r="F356" s="64" t="s">
        <v>22</v>
      </c>
      <c r="G356" s="225" t="s">
        <v>111</v>
      </c>
      <c r="H356" s="225" t="s">
        <v>114</v>
      </c>
      <c r="I356" s="225" t="s">
        <v>113</v>
      </c>
      <c r="J356" s="225" t="s">
        <v>136</v>
      </c>
      <c r="K356" s="66" t="s">
        <v>25</v>
      </c>
      <c r="L356" s="67"/>
    </row>
    <row r="357" spans="2:12" hidden="1">
      <c r="B357" s="63"/>
      <c r="C357" s="1001"/>
      <c r="D357" s="1001"/>
      <c r="E357" s="1001"/>
      <c r="F357" s="68"/>
      <c r="G357" s="68"/>
      <c r="H357" s="68"/>
      <c r="I357" s="68">
        <f>'[6]PLANILHA ORÇAMENTÁRIA'!G104</f>
        <v>70</v>
      </c>
      <c r="J357" s="68"/>
      <c r="K357" s="226">
        <f>I357</f>
        <v>70</v>
      </c>
      <c r="L357" s="67"/>
    </row>
    <row r="358" spans="2:12" hidden="1">
      <c r="B358" s="63"/>
      <c r="C358" s="1002" t="s">
        <v>116</v>
      </c>
      <c r="D358" s="1002"/>
      <c r="E358" s="1002"/>
      <c r="F358" s="1002"/>
      <c r="G358" s="1002"/>
      <c r="H358" s="1002"/>
      <c r="I358" s="1002"/>
      <c r="J358" s="1002"/>
      <c r="K358" s="66">
        <f>SUM(K357:K357)</f>
        <v>70</v>
      </c>
      <c r="L358" s="67"/>
    </row>
    <row r="359" spans="2:12" hidden="1"/>
    <row r="360" spans="2:12" ht="15" hidden="1" customHeight="1">
      <c r="B360" s="60" t="str">
        <f>'[6]PLANILHA ORÇAMENTÁRIA'!D105</f>
        <v>12.12</v>
      </c>
      <c r="C360" s="1003" t="str">
        <f>'[6]PLANILHA ORÇAMENTÁRIA'!E105</f>
        <v>REFLETOR SIMPLES LED 150W DE POTÊNCIA, BRANCO FRIO, 6500K, AUTOVOLT, MARCA G-LIGHT OU SIMILAR</v>
      </c>
      <c r="D360" s="1003"/>
      <c r="E360" s="1003"/>
      <c r="F360" s="1003"/>
      <c r="G360" s="1003"/>
      <c r="H360" s="1003"/>
      <c r="I360" s="1003"/>
      <c r="J360" s="1003"/>
      <c r="K360" s="61" t="str">
        <f>'[6]PLANILHA ORÇAMENTÁRIA'!F105</f>
        <v>UND</v>
      </c>
      <c r="L360" s="62">
        <f>K363</f>
        <v>8</v>
      </c>
    </row>
    <row r="361" spans="2:12" hidden="1">
      <c r="B361" s="63"/>
      <c r="C361" s="1004" t="s">
        <v>20</v>
      </c>
      <c r="D361" s="1004"/>
      <c r="E361" s="1004"/>
      <c r="F361" s="64" t="s">
        <v>22</v>
      </c>
      <c r="G361" s="225" t="s">
        <v>111</v>
      </c>
      <c r="H361" s="225" t="s">
        <v>114</v>
      </c>
      <c r="I361" s="225" t="s">
        <v>113</v>
      </c>
      <c r="J361" s="225" t="s">
        <v>136</v>
      </c>
      <c r="K361" s="66" t="s">
        <v>25</v>
      </c>
      <c r="L361" s="67"/>
    </row>
    <row r="362" spans="2:12" hidden="1">
      <c r="B362" s="63"/>
      <c r="C362" s="1001"/>
      <c r="D362" s="1001"/>
      <c r="E362" s="1001"/>
      <c r="F362" s="68">
        <f>'[6]PLANILHA ORÇAMENTÁRIA'!G105</f>
        <v>8</v>
      </c>
      <c r="G362" s="68"/>
      <c r="H362" s="68"/>
      <c r="I362" s="68"/>
      <c r="J362" s="68"/>
      <c r="K362" s="226">
        <f>F362</f>
        <v>8</v>
      </c>
      <c r="L362" s="67"/>
    </row>
    <row r="363" spans="2:12" hidden="1">
      <c r="B363" s="63"/>
      <c r="C363" s="1002" t="s">
        <v>116</v>
      </c>
      <c r="D363" s="1002"/>
      <c r="E363" s="1002"/>
      <c r="F363" s="1002"/>
      <c r="G363" s="1002"/>
      <c r="H363" s="1002"/>
      <c r="I363" s="1002"/>
      <c r="J363" s="1002"/>
      <c r="K363" s="66">
        <f>SUM(K362:K362)</f>
        <v>8</v>
      </c>
      <c r="L363" s="67"/>
    </row>
    <row r="364" spans="2:12" hidden="1"/>
    <row r="365" spans="2:12" ht="21.75" hidden="1" customHeight="1">
      <c r="B365" s="60" t="str">
        <f>'[6]PLANILHA ORÇAMENTÁRIA'!D106</f>
        <v>12.13</v>
      </c>
      <c r="C365" s="1003" t="str">
        <f>'[6]PLANILHA ORÇAMENTÁRIA'!E106</f>
        <v>CAIXA ENTERRADA ELÉTRICA RETANGULAR, EM ALVENARIA COM TIJOLOS CERÂMICOS MACIÇOS, FUNDO COM BRITA, DIMENSÕES INTERNAS: 0,3X0,3X0,3 M. AF_05/2018</v>
      </c>
      <c r="D365" s="1003"/>
      <c r="E365" s="1003"/>
      <c r="F365" s="1003"/>
      <c r="G365" s="1003"/>
      <c r="H365" s="1003"/>
      <c r="I365" s="1003"/>
      <c r="J365" s="1003"/>
      <c r="K365" s="61" t="str">
        <f>'[6]PLANILHA ORÇAMENTÁRIA'!F106</f>
        <v>UND</v>
      </c>
      <c r="L365" s="62">
        <f>K368</f>
        <v>0</v>
      </c>
    </row>
    <row r="366" spans="2:12" hidden="1">
      <c r="B366" s="63"/>
      <c r="C366" s="1004" t="s">
        <v>20</v>
      </c>
      <c r="D366" s="1004"/>
      <c r="E366" s="1004"/>
      <c r="F366" s="64" t="s">
        <v>22</v>
      </c>
      <c r="G366" s="225" t="s">
        <v>111</v>
      </c>
      <c r="H366" s="225" t="s">
        <v>114</v>
      </c>
      <c r="I366" s="225" t="s">
        <v>113</v>
      </c>
      <c r="J366" s="225" t="s">
        <v>136</v>
      </c>
      <c r="K366" s="66" t="s">
        <v>25</v>
      </c>
      <c r="L366" s="67"/>
    </row>
    <row r="367" spans="2:12" hidden="1">
      <c r="B367" s="63"/>
      <c r="C367" s="1001"/>
      <c r="D367" s="1001"/>
      <c r="E367" s="1001"/>
      <c r="F367" s="68">
        <f>'[6]PLANILHA ORÇAMENTÁRIA'!G106</f>
        <v>4</v>
      </c>
      <c r="G367" s="68"/>
      <c r="H367" s="68"/>
      <c r="I367" s="68"/>
      <c r="J367" s="68"/>
      <c r="K367" s="226">
        <f>I367</f>
        <v>0</v>
      </c>
      <c r="L367" s="67"/>
    </row>
    <row r="368" spans="2:12" hidden="1">
      <c r="B368" s="63"/>
      <c r="C368" s="1002" t="s">
        <v>116</v>
      </c>
      <c r="D368" s="1002"/>
      <c r="E368" s="1002"/>
      <c r="F368" s="1002"/>
      <c r="G368" s="1002"/>
      <c r="H368" s="1002"/>
      <c r="I368" s="1002"/>
      <c r="J368" s="1002"/>
      <c r="K368" s="66">
        <f>SUM(K367:K367)</f>
        <v>0</v>
      </c>
      <c r="L368" s="67"/>
    </row>
    <row r="369" spans="2:12" hidden="1"/>
    <row r="370" spans="2:12" ht="24.75" hidden="1" customHeight="1">
      <c r="B370" s="60" t="str">
        <f>'[6]PLANILHA ORÇAMENTÁRIA'!D107</f>
        <v>12.14</v>
      </c>
      <c r="C370" s="1003" t="str">
        <f>'[6]PLANILHA ORÇAMENTÁRIA'!E107</f>
        <v>CABO DE COBRE FLEXÍVEL ISOLADO, 4 MM², ANTI-CHAMA 450/750 V, PARA CIRCUITOS TERMINAIS - FORNECIMENTO E INSTALAÇÃO. AF_12/2015</v>
      </c>
      <c r="D370" s="1003"/>
      <c r="E370" s="1003"/>
      <c r="F370" s="1003"/>
      <c r="G370" s="1003"/>
      <c r="H370" s="1003"/>
      <c r="I370" s="1003"/>
      <c r="J370" s="1003"/>
      <c r="K370" s="61" t="str">
        <f>'[6]PLANILHA ORÇAMENTÁRIA'!F107</f>
        <v>M</v>
      </c>
      <c r="L370" s="62">
        <f>K373</f>
        <v>160</v>
      </c>
    </row>
    <row r="371" spans="2:12" hidden="1">
      <c r="B371" s="63"/>
      <c r="C371" s="1004" t="s">
        <v>20</v>
      </c>
      <c r="D371" s="1004"/>
      <c r="E371" s="1004"/>
      <c r="F371" s="64" t="s">
        <v>22</v>
      </c>
      <c r="G371" s="225" t="s">
        <v>111</v>
      </c>
      <c r="H371" s="225" t="s">
        <v>114</v>
      </c>
      <c r="I371" s="225" t="s">
        <v>113</v>
      </c>
      <c r="J371" s="225" t="s">
        <v>136</v>
      </c>
      <c r="K371" s="66" t="s">
        <v>25</v>
      </c>
      <c r="L371" s="67"/>
    </row>
    <row r="372" spans="2:12" hidden="1">
      <c r="B372" s="63"/>
      <c r="C372" s="1001"/>
      <c r="D372" s="1001"/>
      <c r="E372" s="1001"/>
      <c r="F372" s="68"/>
      <c r="G372" s="68"/>
      <c r="H372" s="68"/>
      <c r="I372" s="68">
        <f>'[6]PLANILHA ORÇAMENTÁRIA'!G107</f>
        <v>160</v>
      </c>
      <c r="J372" s="68"/>
      <c r="K372" s="226">
        <f>I372</f>
        <v>160</v>
      </c>
      <c r="L372" s="67"/>
    </row>
    <row r="373" spans="2:12" hidden="1">
      <c r="B373" s="63"/>
      <c r="C373" s="1002" t="s">
        <v>116</v>
      </c>
      <c r="D373" s="1002"/>
      <c r="E373" s="1002"/>
      <c r="F373" s="1002"/>
      <c r="G373" s="1002"/>
      <c r="H373" s="1002"/>
      <c r="I373" s="1002"/>
      <c r="J373" s="1002"/>
      <c r="K373" s="66">
        <f>SUM(K372:K372)</f>
        <v>160</v>
      </c>
      <c r="L373" s="67"/>
    </row>
    <row r="374" spans="2:12" hidden="1">
      <c r="B374" s="63"/>
      <c r="C374" s="71"/>
      <c r="D374" s="71"/>
      <c r="E374" s="71"/>
      <c r="F374" s="71"/>
      <c r="G374" s="71"/>
      <c r="H374" s="71"/>
      <c r="I374" s="71"/>
      <c r="J374" s="71"/>
      <c r="K374" s="73"/>
      <c r="L374" s="67"/>
    </row>
    <row r="375" spans="2:12" ht="32.25" hidden="1" customHeight="1">
      <c r="B375" s="60" t="str">
        <f>'[6]PLANILHA ORÇAMENTÁRIA'!D108</f>
        <v>12.15</v>
      </c>
      <c r="C375" s="1003" t="str">
        <f>'[6]PLANILHA ORÇAMENTÁRIA'!E108</f>
        <v>CABO DE COBRE FLEXÍVEL ISOLADO, 2,5 MM², ANTI-CHAMA 450/750 V, PARA CIRCUITOS TERMINAIS - FORNECIMENTO E INSTALAÇÃO. AF_12/2015</v>
      </c>
      <c r="D375" s="1003"/>
      <c r="E375" s="1003"/>
      <c r="F375" s="1003"/>
      <c r="G375" s="1003"/>
      <c r="H375" s="1003"/>
      <c r="I375" s="1003"/>
      <c r="J375" s="1003"/>
      <c r="K375" s="61" t="str">
        <f>'[6]PLANILHA ORÇAMENTÁRIA'!F108</f>
        <v>M</v>
      </c>
      <c r="L375" s="62">
        <f>K378</f>
        <v>160</v>
      </c>
    </row>
    <row r="376" spans="2:12" hidden="1">
      <c r="B376" s="63"/>
      <c r="C376" s="1004" t="s">
        <v>20</v>
      </c>
      <c r="D376" s="1004"/>
      <c r="E376" s="1004"/>
      <c r="F376" s="64" t="s">
        <v>22</v>
      </c>
      <c r="G376" s="225" t="s">
        <v>111</v>
      </c>
      <c r="H376" s="225" t="s">
        <v>114</v>
      </c>
      <c r="I376" s="225" t="s">
        <v>113</v>
      </c>
      <c r="J376" s="225" t="s">
        <v>136</v>
      </c>
      <c r="K376" s="66" t="s">
        <v>25</v>
      </c>
      <c r="L376" s="67"/>
    </row>
    <row r="377" spans="2:12" hidden="1">
      <c r="B377" s="63"/>
      <c r="C377" s="1001"/>
      <c r="D377" s="1001"/>
      <c r="E377" s="1001"/>
      <c r="F377" s="68"/>
      <c r="G377" s="68"/>
      <c r="H377" s="68"/>
      <c r="I377" s="68">
        <f>'[6]PLANILHA ORÇAMENTÁRIA'!G108</f>
        <v>160</v>
      </c>
      <c r="J377" s="68"/>
      <c r="K377" s="226">
        <f>I377</f>
        <v>160</v>
      </c>
      <c r="L377" s="67"/>
    </row>
    <row r="378" spans="2:12" hidden="1">
      <c r="B378" s="63"/>
      <c r="C378" s="1002" t="s">
        <v>116</v>
      </c>
      <c r="D378" s="1002"/>
      <c r="E378" s="1002"/>
      <c r="F378" s="1002"/>
      <c r="G378" s="1002"/>
      <c r="H378" s="1002"/>
      <c r="I378" s="1002"/>
      <c r="J378" s="1002"/>
      <c r="K378" s="66">
        <f>SUM(K377:K377)</f>
        <v>160</v>
      </c>
      <c r="L378" s="67"/>
    </row>
    <row r="379" spans="2:12" hidden="1"/>
    <row r="380" spans="2:12" hidden="1">
      <c r="B380" s="58" t="str">
        <f>'[6]PLANILHA ORÇAMENTÁRIA'!D109</f>
        <v>13.0</v>
      </c>
      <c r="C380" s="1000" t="str">
        <f>'[6]PLANILHA ORÇAMENTÁRIA'!E109</f>
        <v>PINTURA</v>
      </c>
      <c r="D380" s="1000"/>
      <c r="E380" s="1000"/>
      <c r="F380" s="1000"/>
      <c r="G380" s="1000"/>
      <c r="H380" s="1000"/>
      <c r="I380" s="1000"/>
      <c r="J380" s="1000"/>
      <c r="K380" s="59"/>
      <c r="L380" s="59"/>
    </row>
    <row r="381" spans="2:12" ht="15" hidden="1" customHeight="1">
      <c r="B381" s="60" t="str">
        <f>'[6]PLANILHA ORÇAMENTÁRIA'!D110</f>
        <v>13.1</v>
      </c>
      <c r="C381" s="1003" t="str">
        <f>'[6]PLANILHA ORÇAMENTÁRIA'!E110</f>
        <v>APLICAÇÃO DE FUNDO SELADOR LÁTEX PVA EM TETO, UMA DEMÃO. AF_06/2014</v>
      </c>
      <c r="D381" s="1003"/>
      <c r="E381" s="1003"/>
      <c r="F381" s="1003"/>
      <c r="G381" s="1003"/>
      <c r="H381" s="1003"/>
      <c r="I381" s="1003"/>
      <c r="J381" s="1003"/>
      <c r="K381" s="61" t="str">
        <f>'[6]PLANILHA ORÇAMENTÁRIA'!F110</f>
        <v>M2</v>
      </c>
      <c r="L381" s="62">
        <f>K388</f>
        <v>23.02</v>
      </c>
    </row>
    <row r="382" spans="2:12" hidden="1">
      <c r="B382" s="63"/>
      <c r="C382" s="1004" t="s">
        <v>20</v>
      </c>
      <c r="D382" s="1004"/>
      <c r="E382" s="1004"/>
      <c r="F382" s="64" t="s">
        <v>22</v>
      </c>
      <c r="G382" s="225" t="s">
        <v>111</v>
      </c>
      <c r="H382" s="64" t="s">
        <v>112</v>
      </c>
      <c r="I382" s="225" t="s">
        <v>113</v>
      </c>
      <c r="J382" s="225" t="s">
        <v>114</v>
      </c>
      <c r="K382" s="66" t="s">
        <v>25</v>
      </c>
      <c r="L382" s="67"/>
    </row>
    <row r="383" spans="2:12" hidden="1">
      <c r="B383" s="63"/>
      <c r="C383" s="1001" t="s">
        <v>167</v>
      </c>
      <c r="D383" s="1001"/>
      <c r="E383" s="1001"/>
      <c r="F383" s="68"/>
      <c r="G383" s="68"/>
      <c r="H383" s="68">
        <v>2</v>
      </c>
      <c r="I383" s="68">
        <v>4.2</v>
      </c>
      <c r="J383" s="68"/>
      <c r="K383" s="226">
        <f>TRUNC(H383*I383,2)</f>
        <v>8.4</v>
      </c>
      <c r="L383" s="67"/>
    </row>
    <row r="384" spans="2:12" hidden="1">
      <c r="B384" s="63"/>
      <c r="C384" s="1001" t="s">
        <v>168</v>
      </c>
      <c r="D384" s="1001"/>
      <c r="E384" s="1001"/>
      <c r="F384" s="68"/>
      <c r="G384" s="68"/>
      <c r="H384" s="68">
        <v>2</v>
      </c>
      <c r="I384" s="68">
        <v>3.13</v>
      </c>
      <c r="J384" s="68"/>
      <c r="K384" s="226">
        <f>TRUNC(H384*I384,2)</f>
        <v>6.26</v>
      </c>
      <c r="L384" s="67"/>
    </row>
    <row r="385" spans="2:12" hidden="1">
      <c r="B385" s="63"/>
      <c r="C385" s="1001" t="s">
        <v>169</v>
      </c>
      <c r="D385" s="1001"/>
      <c r="E385" s="1001"/>
      <c r="F385" s="68"/>
      <c r="G385" s="68"/>
      <c r="H385" s="68">
        <v>1</v>
      </c>
      <c r="I385" s="68">
        <v>1.05</v>
      </c>
      <c r="J385" s="68"/>
      <c r="K385" s="226">
        <f>TRUNC(H385*I385,2)</f>
        <v>1.05</v>
      </c>
      <c r="L385" s="67"/>
    </row>
    <row r="386" spans="2:12" hidden="1">
      <c r="B386" s="63"/>
      <c r="C386" s="1001" t="s">
        <v>170</v>
      </c>
      <c r="D386" s="1001"/>
      <c r="E386" s="1001"/>
      <c r="F386" s="68"/>
      <c r="G386" s="68"/>
      <c r="H386" s="68">
        <v>2</v>
      </c>
      <c r="I386" s="68">
        <v>3.13</v>
      </c>
      <c r="J386" s="68"/>
      <c r="K386" s="226">
        <f>TRUNC(H386*I386,2)</f>
        <v>6.26</v>
      </c>
      <c r="L386" s="67"/>
    </row>
    <row r="387" spans="2:12" hidden="1">
      <c r="B387" s="63"/>
      <c r="C387" s="1001" t="s">
        <v>171</v>
      </c>
      <c r="D387" s="1001"/>
      <c r="E387" s="1001"/>
      <c r="F387" s="68"/>
      <c r="G387" s="68"/>
      <c r="H387" s="68">
        <v>1</v>
      </c>
      <c r="I387" s="68">
        <v>1.05</v>
      </c>
      <c r="J387" s="68"/>
      <c r="K387" s="226">
        <f>TRUNC(H387*I387,2)</f>
        <v>1.05</v>
      </c>
      <c r="L387" s="67"/>
    </row>
    <row r="388" spans="2:12" hidden="1">
      <c r="B388" s="63"/>
      <c r="C388" s="1002" t="s">
        <v>116</v>
      </c>
      <c r="D388" s="1002"/>
      <c r="E388" s="1002"/>
      <c r="F388" s="1002"/>
      <c r="G388" s="1002"/>
      <c r="H388" s="1002"/>
      <c r="I388" s="1002"/>
      <c r="J388" s="1002"/>
      <c r="K388" s="66">
        <f>SUM(K383:K387)</f>
        <v>23.02</v>
      </c>
      <c r="L388" s="67"/>
    </row>
    <row r="389" spans="2:12" hidden="1"/>
    <row r="390" spans="2:12" ht="15" hidden="1" customHeight="1">
      <c r="B390" s="60" t="str">
        <f>'[6]PLANILHA ORÇAMENTÁRIA'!D111</f>
        <v>13.2</v>
      </c>
      <c r="C390" s="1003" t="str">
        <f>'[6]PLANILHA ORÇAMENTÁRIA'!E111</f>
        <v>APLICAÇÃO E LIXAMENTO DE MASSA LÁTEX EM TETO, DUAS DEMÃOS. AF_06/2014</v>
      </c>
      <c r="D390" s="1003"/>
      <c r="E390" s="1003"/>
      <c r="F390" s="1003"/>
      <c r="G390" s="1003"/>
      <c r="H390" s="1003"/>
      <c r="I390" s="1003"/>
      <c r="J390" s="1003"/>
      <c r="K390" s="61" t="str">
        <f>'[6]PLANILHA ORÇAMENTÁRIA'!F111</f>
        <v>M2</v>
      </c>
      <c r="L390" s="62">
        <f>K397</f>
        <v>23.02</v>
      </c>
    </row>
    <row r="391" spans="2:12" hidden="1">
      <c r="B391" s="63"/>
      <c r="C391" s="1004" t="s">
        <v>20</v>
      </c>
      <c r="D391" s="1004"/>
      <c r="E391" s="1004"/>
      <c r="F391" s="64" t="s">
        <v>22</v>
      </c>
      <c r="G391" s="225" t="s">
        <v>111</v>
      </c>
      <c r="H391" s="64" t="s">
        <v>112</v>
      </c>
      <c r="I391" s="225" t="s">
        <v>113</v>
      </c>
      <c r="J391" s="225" t="s">
        <v>114</v>
      </c>
      <c r="K391" s="66" t="s">
        <v>25</v>
      </c>
      <c r="L391" s="67"/>
    </row>
    <row r="392" spans="2:12" hidden="1">
      <c r="B392" s="63"/>
      <c r="C392" s="1001" t="s">
        <v>167</v>
      </c>
      <c r="D392" s="1001"/>
      <c r="E392" s="1001"/>
      <c r="F392" s="68"/>
      <c r="G392" s="68"/>
      <c r="H392" s="68">
        <v>2</v>
      </c>
      <c r="I392" s="68">
        <v>4.2</v>
      </c>
      <c r="J392" s="68"/>
      <c r="K392" s="226">
        <f>TRUNC(H392*I392,2)</f>
        <v>8.4</v>
      </c>
      <c r="L392" s="67"/>
    </row>
    <row r="393" spans="2:12" hidden="1">
      <c r="B393" s="63"/>
      <c r="C393" s="1001" t="s">
        <v>168</v>
      </c>
      <c r="D393" s="1001"/>
      <c r="E393" s="1001"/>
      <c r="F393" s="68"/>
      <c r="G393" s="68"/>
      <c r="H393" s="68">
        <v>2</v>
      </c>
      <c r="I393" s="68">
        <v>3.13</v>
      </c>
      <c r="J393" s="68"/>
      <c r="K393" s="226">
        <f>TRUNC(H393*I393,2)</f>
        <v>6.26</v>
      </c>
      <c r="L393" s="67"/>
    </row>
    <row r="394" spans="2:12" hidden="1">
      <c r="B394" s="63"/>
      <c r="C394" s="1001" t="s">
        <v>169</v>
      </c>
      <c r="D394" s="1001"/>
      <c r="E394" s="1001"/>
      <c r="F394" s="68"/>
      <c r="G394" s="68"/>
      <c r="H394" s="68">
        <v>1</v>
      </c>
      <c r="I394" s="68">
        <v>1.05</v>
      </c>
      <c r="J394" s="68"/>
      <c r="K394" s="226">
        <f>TRUNC(H394*I394,2)</f>
        <v>1.05</v>
      </c>
      <c r="L394" s="67"/>
    </row>
    <row r="395" spans="2:12" hidden="1">
      <c r="B395" s="63"/>
      <c r="C395" s="1001" t="s">
        <v>170</v>
      </c>
      <c r="D395" s="1001"/>
      <c r="E395" s="1001"/>
      <c r="F395" s="68"/>
      <c r="G395" s="68"/>
      <c r="H395" s="68">
        <v>2</v>
      </c>
      <c r="I395" s="68">
        <v>3.13</v>
      </c>
      <c r="J395" s="68"/>
      <c r="K395" s="226">
        <f>TRUNC(H395*I395,2)</f>
        <v>6.26</v>
      </c>
      <c r="L395" s="67"/>
    </row>
    <row r="396" spans="2:12" hidden="1">
      <c r="B396" s="63"/>
      <c r="C396" s="1001" t="s">
        <v>171</v>
      </c>
      <c r="D396" s="1001"/>
      <c r="E396" s="1001"/>
      <c r="F396" s="68"/>
      <c r="G396" s="68"/>
      <c r="H396" s="68">
        <v>1</v>
      </c>
      <c r="I396" s="68">
        <v>1.05</v>
      </c>
      <c r="J396" s="68"/>
      <c r="K396" s="226">
        <f>TRUNC(H396*I396,2)</f>
        <v>1.05</v>
      </c>
      <c r="L396" s="67"/>
    </row>
    <row r="397" spans="2:12" hidden="1">
      <c r="B397" s="63"/>
      <c r="C397" s="1002" t="s">
        <v>116</v>
      </c>
      <c r="D397" s="1002"/>
      <c r="E397" s="1002"/>
      <c r="F397" s="1002"/>
      <c r="G397" s="1002"/>
      <c r="H397" s="1002"/>
      <c r="I397" s="1002"/>
      <c r="J397" s="1002"/>
      <c r="K397" s="66">
        <f>SUM(K392:K396)</f>
        <v>23.02</v>
      </c>
      <c r="L397" s="67"/>
    </row>
    <row r="398" spans="2:12" hidden="1"/>
    <row r="399" spans="2:12" ht="15" hidden="1" customHeight="1">
      <c r="B399" s="60" t="str">
        <f>'[6]PLANILHA ORÇAMENTÁRIA'!D112</f>
        <v>13.3</v>
      </c>
      <c r="C399" s="1003" t="str">
        <f>'[6]PLANILHA ORÇAMENTÁRIA'!E112</f>
        <v>APLICAÇÃO MANUAL DE PINTURA COM TINTA LÁTEX PVA EM TETO, DUAS DEMÃOS. AF_06/2014</v>
      </c>
      <c r="D399" s="1003"/>
      <c r="E399" s="1003"/>
      <c r="F399" s="1003"/>
      <c r="G399" s="1003"/>
      <c r="H399" s="1003"/>
      <c r="I399" s="1003"/>
      <c r="J399" s="1003"/>
      <c r="K399" s="61" t="str">
        <f>'[6]PLANILHA ORÇAMENTÁRIA'!F112</f>
        <v>M2</v>
      </c>
      <c r="L399" s="62">
        <f>K406</f>
        <v>23.02</v>
      </c>
    </row>
    <row r="400" spans="2:12" hidden="1">
      <c r="B400" s="63"/>
      <c r="C400" s="1004" t="s">
        <v>20</v>
      </c>
      <c r="D400" s="1004"/>
      <c r="E400" s="1004"/>
      <c r="F400" s="64" t="s">
        <v>22</v>
      </c>
      <c r="G400" s="225" t="s">
        <v>111</v>
      </c>
      <c r="H400" s="64" t="s">
        <v>112</v>
      </c>
      <c r="I400" s="225" t="s">
        <v>113</v>
      </c>
      <c r="J400" s="225" t="s">
        <v>114</v>
      </c>
      <c r="K400" s="66" t="s">
        <v>25</v>
      </c>
      <c r="L400" s="67"/>
    </row>
    <row r="401" spans="2:12" hidden="1">
      <c r="B401" s="63"/>
      <c r="C401" s="1001" t="s">
        <v>167</v>
      </c>
      <c r="D401" s="1001"/>
      <c r="E401" s="1001"/>
      <c r="F401" s="68"/>
      <c r="G401" s="68"/>
      <c r="H401" s="68">
        <v>2</v>
      </c>
      <c r="I401" s="68">
        <v>4.2</v>
      </c>
      <c r="J401" s="68"/>
      <c r="K401" s="226">
        <f>TRUNC(H401*I401,2)</f>
        <v>8.4</v>
      </c>
      <c r="L401" s="67"/>
    </row>
    <row r="402" spans="2:12" hidden="1">
      <c r="B402" s="63"/>
      <c r="C402" s="1001" t="s">
        <v>168</v>
      </c>
      <c r="D402" s="1001"/>
      <c r="E402" s="1001"/>
      <c r="F402" s="68"/>
      <c r="G402" s="68"/>
      <c r="H402" s="68">
        <v>2</v>
      </c>
      <c r="I402" s="68">
        <v>3.13</v>
      </c>
      <c r="J402" s="68"/>
      <c r="K402" s="226">
        <f>TRUNC(H402*I402,2)</f>
        <v>6.26</v>
      </c>
      <c r="L402" s="67"/>
    </row>
    <row r="403" spans="2:12" hidden="1">
      <c r="B403" s="63"/>
      <c r="C403" s="1001" t="s">
        <v>169</v>
      </c>
      <c r="D403" s="1001"/>
      <c r="E403" s="1001"/>
      <c r="F403" s="68"/>
      <c r="G403" s="68"/>
      <c r="H403" s="68">
        <v>1</v>
      </c>
      <c r="I403" s="68">
        <v>1.05</v>
      </c>
      <c r="J403" s="68"/>
      <c r="K403" s="226">
        <f>TRUNC(H403*I403,2)</f>
        <v>1.05</v>
      </c>
      <c r="L403" s="67"/>
    </row>
    <row r="404" spans="2:12" hidden="1">
      <c r="B404" s="63"/>
      <c r="C404" s="1001" t="s">
        <v>170</v>
      </c>
      <c r="D404" s="1001"/>
      <c r="E404" s="1001"/>
      <c r="F404" s="68"/>
      <c r="G404" s="68"/>
      <c r="H404" s="68">
        <v>2</v>
      </c>
      <c r="I404" s="68">
        <v>3.13</v>
      </c>
      <c r="J404" s="68"/>
      <c r="K404" s="226">
        <f>TRUNC(H404*I404,2)</f>
        <v>6.26</v>
      </c>
      <c r="L404" s="67"/>
    </row>
    <row r="405" spans="2:12" hidden="1">
      <c r="B405" s="63"/>
      <c r="C405" s="1001" t="s">
        <v>171</v>
      </c>
      <c r="D405" s="1001"/>
      <c r="E405" s="1001"/>
      <c r="F405" s="68"/>
      <c r="G405" s="68"/>
      <c r="H405" s="68">
        <v>1</v>
      </c>
      <c r="I405" s="68">
        <v>1.05</v>
      </c>
      <c r="J405" s="68"/>
      <c r="K405" s="226">
        <f>TRUNC(H405*I405,2)</f>
        <v>1.05</v>
      </c>
      <c r="L405" s="67"/>
    </row>
    <row r="406" spans="2:12" hidden="1">
      <c r="B406" s="63"/>
      <c r="C406" s="1002" t="s">
        <v>116</v>
      </c>
      <c r="D406" s="1002"/>
      <c r="E406" s="1002"/>
      <c r="F406" s="1002"/>
      <c r="G406" s="1002"/>
      <c r="H406" s="1002"/>
      <c r="I406" s="1002"/>
      <c r="J406" s="1002"/>
      <c r="K406" s="66">
        <f>SUM(K401:K405)</f>
        <v>23.02</v>
      </c>
      <c r="L406" s="67"/>
    </row>
    <row r="407" spans="2:12" hidden="1"/>
    <row r="408" spans="2:12" hidden="1">
      <c r="B408" s="60" t="str">
        <f>'[6]PLANILHA ORÇAMENTÁRIA'!D113</f>
        <v>13.4</v>
      </c>
      <c r="C408" s="1003" t="str">
        <f>'[6]PLANILHA ORÇAMENTÁRIA'!E113</f>
        <v>APLICAÇÃO DE FUNDO SELADOR ACRÍLICO EM PAREDES, UMA DEMÃO. AF_06/2014</v>
      </c>
      <c r="D408" s="1003"/>
      <c r="E408" s="1003"/>
      <c r="F408" s="1003"/>
      <c r="G408" s="1003"/>
      <c r="H408" s="1003"/>
      <c r="I408" s="1003"/>
      <c r="J408" s="1003"/>
      <c r="K408" s="61" t="str">
        <f>'[6]PLANILHA ORÇAMENTÁRIA'!F113</f>
        <v>M2</v>
      </c>
      <c r="L408" s="62">
        <f>K412</f>
        <v>50.4</v>
      </c>
    </row>
    <row r="409" spans="2:12" hidden="1">
      <c r="B409" s="63"/>
      <c r="C409" s="1004" t="s">
        <v>20</v>
      </c>
      <c r="D409" s="1004"/>
      <c r="E409" s="1004"/>
      <c r="F409" s="64" t="s">
        <v>22</v>
      </c>
      <c r="G409" s="225" t="s">
        <v>111</v>
      </c>
      <c r="H409" s="64" t="s">
        <v>112</v>
      </c>
      <c r="I409" s="225" t="s">
        <v>154</v>
      </c>
      <c r="J409" s="225" t="s">
        <v>114</v>
      </c>
      <c r="K409" s="66" t="s">
        <v>25</v>
      </c>
      <c r="L409" s="67"/>
    </row>
    <row r="410" spans="2:12" ht="25.5" hidden="1" customHeight="1">
      <c r="B410" s="63"/>
      <c r="C410" s="1001" t="s">
        <v>172</v>
      </c>
      <c r="D410" s="1001"/>
      <c r="E410" s="1001"/>
      <c r="F410" s="68">
        <v>1</v>
      </c>
      <c r="G410" s="68">
        <v>2.4</v>
      </c>
      <c r="H410" s="68"/>
      <c r="I410" s="68">
        <v>12.6</v>
      </c>
      <c r="J410" s="68"/>
      <c r="K410" s="226">
        <f>TRUNC(((G410*I410)*F410)-J410,2)</f>
        <v>30.24</v>
      </c>
      <c r="L410" s="67"/>
    </row>
    <row r="411" spans="2:12" hidden="1">
      <c r="B411" s="63"/>
      <c r="C411" s="1001" t="s">
        <v>173</v>
      </c>
      <c r="D411" s="1001"/>
      <c r="E411" s="1001"/>
      <c r="F411" s="68">
        <v>1</v>
      </c>
      <c r="G411" s="68">
        <v>2.4</v>
      </c>
      <c r="H411" s="68"/>
      <c r="I411" s="68">
        <v>8.4</v>
      </c>
      <c r="J411" s="68"/>
      <c r="K411" s="226">
        <f>TRUNC(((G411*I411)*F411),2)</f>
        <v>20.16</v>
      </c>
      <c r="L411" s="67"/>
    </row>
    <row r="412" spans="2:12" hidden="1">
      <c r="C412" s="1002" t="s">
        <v>116</v>
      </c>
      <c r="D412" s="1002"/>
      <c r="E412" s="1002"/>
      <c r="F412" s="1002"/>
      <c r="G412" s="1002"/>
      <c r="H412" s="1002"/>
      <c r="I412" s="1002"/>
      <c r="J412" s="1002"/>
      <c r="K412" s="66">
        <f>SUM(K410:K411)</f>
        <v>50.4</v>
      </c>
    </row>
    <row r="413" spans="2:12" hidden="1"/>
    <row r="414" spans="2:12" hidden="1">
      <c r="B414" s="60" t="str">
        <f>'[6]PLANILHA ORÇAMENTÁRIA'!D114</f>
        <v>13.5</v>
      </c>
      <c r="C414" s="1003" t="str">
        <f>'[6]PLANILHA ORÇAMENTÁRIA'!E114</f>
        <v>APLICAÇÃO E LIXAMENTO DE MASSA LÁTEX EM PAREDES, UMA DEMÃO. AF_06/2014</v>
      </c>
      <c r="D414" s="1003"/>
      <c r="E414" s="1003"/>
      <c r="F414" s="1003"/>
      <c r="G414" s="1003"/>
      <c r="H414" s="1003"/>
      <c r="I414" s="1003"/>
      <c r="J414" s="1003"/>
      <c r="K414" s="61" t="str">
        <f>'[6]PLANILHA ORÇAMENTÁRIA'!F114</f>
        <v>M2</v>
      </c>
      <c r="L414" s="62">
        <f>K418</f>
        <v>50.4</v>
      </c>
    </row>
    <row r="415" spans="2:12" hidden="1">
      <c r="B415" s="63"/>
      <c r="C415" s="1004" t="s">
        <v>20</v>
      </c>
      <c r="D415" s="1004"/>
      <c r="E415" s="1004"/>
      <c r="F415" s="64" t="s">
        <v>22</v>
      </c>
      <c r="G415" s="225" t="s">
        <v>111</v>
      </c>
      <c r="H415" s="64" t="s">
        <v>112</v>
      </c>
      <c r="I415" s="225" t="s">
        <v>154</v>
      </c>
      <c r="J415" s="225" t="s">
        <v>114</v>
      </c>
      <c r="K415" s="66" t="s">
        <v>25</v>
      </c>
      <c r="L415" s="67"/>
    </row>
    <row r="416" spans="2:12" hidden="1">
      <c r="B416" s="63"/>
      <c r="C416" s="1001" t="s">
        <v>172</v>
      </c>
      <c r="D416" s="1001"/>
      <c r="E416" s="1001"/>
      <c r="F416" s="68">
        <v>1</v>
      </c>
      <c r="G416" s="68">
        <v>2.4</v>
      </c>
      <c r="H416" s="68"/>
      <c r="I416" s="68">
        <v>12.6</v>
      </c>
      <c r="J416" s="68"/>
      <c r="K416" s="226">
        <f>TRUNC(((G416*I416)*F416)-J416,2)</f>
        <v>30.24</v>
      </c>
      <c r="L416" s="67"/>
    </row>
    <row r="417" spans="2:12" hidden="1">
      <c r="B417" s="63"/>
      <c r="C417" s="1001" t="s">
        <v>173</v>
      </c>
      <c r="D417" s="1001"/>
      <c r="E417" s="1001"/>
      <c r="F417" s="68">
        <v>1</v>
      </c>
      <c r="G417" s="68">
        <v>2.4</v>
      </c>
      <c r="H417" s="68"/>
      <c r="I417" s="68">
        <v>8.4</v>
      </c>
      <c r="J417" s="68"/>
      <c r="K417" s="226">
        <f>TRUNC(((G417*I417)*F417),2)</f>
        <v>20.16</v>
      </c>
      <c r="L417" s="67"/>
    </row>
    <row r="418" spans="2:12" hidden="1">
      <c r="C418" s="1002" t="s">
        <v>116</v>
      </c>
      <c r="D418" s="1002"/>
      <c r="E418" s="1002"/>
      <c r="F418" s="1002"/>
      <c r="G418" s="1002"/>
      <c r="H418" s="1002"/>
      <c r="I418" s="1002"/>
      <c r="J418" s="1002"/>
      <c r="K418" s="66">
        <f>SUM(K416:K417)</f>
        <v>50.4</v>
      </c>
    </row>
    <row r="419" spans="2:12" hidden="1"/>
    <row r="420" spans="2:12" hidden="1">
      <c r="B420" s="60" t="str">
        <f>'[6]PLANILHA ORÇAMENTÁRIA'!D115</f>
        <v>13.6</v>
      </c>
      <c r="C420" s="1003" t="str">
        <f>'[6]PLANILHA ORÇAMENTÁRIA'!E115</f>
        <v>APLICAÇÃO MANUAL DE PINTURA COM TINTA LÁTEX ACRÍLICA EM PAREDES, DUAS DEMÃOS. AF_06/2014</v>
      </c>
      <c r="D420" s="1003"/>
      <c r="E420" s="1003"/>
      <c r="F420" s="1003"/>
      <c r="G420" s="1003"/>
      <c r="H420" s="1003"/>
      <c r="I420" s="1003"/>
      <c r="J420" s="1003"/>
      <c r="K420" s="61" t="str">
        <f>'[6]PLANILHA ORÇAMENTÁRIA'!F115</f>
        <v>M2</v>
      </c>
      <c r="L420" s="62">
        <f>K424</f>
        <v>50.4</v>
      </c>
    </row>
    <row r="421" spans="2:12" hidden="1">
      <c r="B421" s="63"/>
      <c r="C421" s="1004" t="s">
        <v>20</v>
      </c>
      <c r="D421" s="1004"/>
      <c r="E421" s="1004"/>
      <c r="F421" s="64" t="s">
        <v>22</v>
      </c>
      <c r="G421" s="225" t="s">
        <v>111</v>
      </c>
      <c r="H421" s="64" t="s">
        <v>112</v>
      </c>
      <c r="I421" s="225" t="s">
        <v>154</v>
      </c>
      <c r="J421" s="225" t="s">
        <v>114</v>
      </c>
      <c r="K421" s="66" t="s">
        <v>25</v>
      </c>
      <c r="L421" s="67"/>
    </row>
    <row r="422" spans="2:12" hidden="1">
      <c r="B422" s="63"/>
      <c r="C422" s="1001" t="s">
        <v>172</v>
      </c>
      <c r="D422" s="1001"/>
      <c r="E422" s="1001"/>
      <c r="F422" s="68">
        <v>1</v>
      </c>
      <c r="G422" s="68">
        <v>2.4</v>
      </c>
      <c r="H422" s="68"/>
      <c r="I422" s="68">
        <v>12.6</v>
      </c>
      <c r="J422" s="68"/>
      <c r="K422" s="226">
        <f>TRUNC(((G422*I422)*F422)-J422,2)</f>
        <v>30.24</v>
      </c>
      <c r="L422" s="67"/>
    </row>
    <row r="423" spans="2:12" hidden="1">
      <c r="B423" s="63"/>
      <c r="C423" s="1001" t="s">
        <v>173</v>
      </c>
      <c r="D423" s="1001"/>
      <c r="E423" s="1001"/>
      <c r="F423" s="68">
        <v>1</v>
      </c>
      <c r="G423" s="68">
        <v>2.4</v>
      </c>
      <c r="H423" s="68"/>
      <c r="I423" s="68">
        <v>8.4</v>
      </c>
      <c r="J423" s="68"/>
      <c r="K423" s="226">
        <f>TRUNC(((G423*I423)*F423),2)</f>
        <v>20.16</v>
      </c>
      <c r="L423" s="67"/>
    </row>
    <row r="424" spans="2:12" hidden="1">
      <c r="C424" s="1002" t="s">
        <v>116</v>
      </c>
      <c r="D424" s="1002"/>
      <c r="E424" s="1002"/>
      <c r="F424" s="1002"/>
      <c r="G424" s="1002"/>
      <c r="H424" s="1002"/>
      <c r="I424" s="1002"/>
      <c r="J424" s="1002"/>
      <c r="K424" s="66">
        <f>SUM(K422:K423)</f>
        <v>50.4</v>
      </c>
    </row>
    <row r="425" spans="2:12" hidden="1"/>
    <row r="426" spans="2:12" hidden="1">
      <c r="B426" s="58" t="str">
        <f>'[6]PLANILHA ORÇAMENTÁRIA'!D116</f>
        <v>14.0</v>
      </c>
      <c r="C426" s="1000" t="str">
        <f>'[6]PLANILHA ORÇAMENTÁRIA'!E116</f>
        <v>APARELHOS DA ACADEMIA</v>
      </c>
      <c r="D426" s="1000"/>
      <c r="E426" s="1000"/>
      <c r="F426" s="1000"/>
      <c r="G426" s="1000"/>
      <c r="H426" s="1000"/>
      <c r="I426" s="1000"/>
      <c r="J426" s="1000"/>
      <c r="K426" s="59"/>
      <c r="L426" s="59"/>
    </row>
    <row r="427" spans="2:12" hidden="1">
      <c r="B427" s="58" t="str">
        <f>'[6]PLANILHA ORÇAMENTÁRIA'!D117</f>
        <v>14.1</v>
      </c>
      <c r="C427" s="1000" t="str">
        <f>'[6]PLANILHA ORÇAMENTÁRIA'!E117</f>
        <v>BARRA PARALELA</v>
      </c>
      <c r="D427" s="1000"/>
      <c r="E427" s="1000"/>
      <c r="F427" s="1000"/>
      <c r="G427" s="1000"/>
      <c r="H427" s="1000"/>
      <c r="I427" s="1000"/>
      <c r="J427" s="1000"/>
      <c r="K427" s="59"/>
      <c r="L427" s="59"/>
    </row>
    <row r="428" spans="2:12" ht="15" hidden="1" customHeight="1">
      <c r="B428" s="60" t="str">
        <f>'[6]PLANILHA ORÇAMENTÁRIA'!D118</f>
        <v>14.1.1</v>
      </c>
      <c r="C428" s="1003" t="str">
        <f>'[6]PLANILHA ORÇAMENTÁRIA'!E118</f>
        <v>ESCAVAÇÃO MANUAL DE VALA COM PROFUNDIDADE MENOR OU IGUAL A 1,30 M</v>
      </c>
      <c r="D428" s="1003"/>
      <c r="E428" s="1003"/>
      <c r="F428" s="1003"/>
      <c r="G428" s="1003"/>
      <c r="H428" s="1003"/>
      <c r="I428" s="1003"/>
      <c r="J428" s="1003"/>
      <c r="K428" s="61" t="str">
        <f>'[6]PLANILHA ORÇAMENTÁRIA'!F118</f>
        <v>M3</v>
      </c>
      <c r="L428" s="62">
        <f>K431</f>
        <v>9.9000000000000005E-2</v>
      </c>
    </row>
    <row r="429" spans="2:12" hidden="1">
      <c r="B429" s="63"/>
      <c r="C429" s="1004" t="s">
        <v>20</v>
      </c>
      <c r="D429" s="1004"/>
      <c r="E429" s="1004"/>
      <c r="F429" s="64" t="s">
        <v>22</v>
      </c>
      <c r="G429" s="225" t="s">
        <v>111</v>
      </c>
      <c r="H429" s="64" t="s">
        <v>112</v>
      </c>
      <c r="I429" s="225" t="s">
        <v>113</v>
      </c>
      <c r="J429" s="225" t="s">
        <v>114</v>
      </c>
      <c r="K429" s="66" t="s">
        <v>25</v>
      </c>
      <c r="L429" s="67"/>
    </row>
    <row r="430" spans="2:12" hidden="1">
      <c r="B430" s="63"/>
      <c r="C430" s="1001" t="s">
        <v>174</v>
      </c>
      <c r="D430" s="1001"/>
      <c r="E430" s="1001"/>
      <c r="F430" s="68">
        <v>8</v>
      </c>
      <c r="G430" s="68">
        <v>0.55000000000000004</v>
      </c>
      <c r="H430" s="68">
        <v>0.15</v>
      </c>
      <c r="I430" s="68">
        <v>0.15</v>
      </c>
      <c r="J430" s="68"/>
      <c r="K430" s="69">
        <f>PRODUCT(F430:I430)</f>
        <v>9.9000000000000005E-2</v>
      </c>
      <c r="L430" s="67"/>
    </row>
    <row r="431" spans="2:12" hidden="1">
      <c r="B431" s="63"/>
      <c r="C431" s="1002" t="s">
        <v>116</v>
      </c>
      <c r="D431" s="1002"/>
      <c r="E431" s="1002"/>
      <c r="F431" s="1002"/>
      <c r="G431" s="1002"/>
      <c r="H431" s="1002"/>
      <c r="I431" s="1002"/>
      <c r="J431" s="1002"/>
      <c r="K431" s="70">
        <f>SUM(K430:K430)</f>
        <v>9.9000000000000005E-2</v>
      </c>
      <c r="L431" s="67"/>
    </row>
    <row r="432" spans="2:12" hidden="1">
      <c r="B432" s="63"/>
      <c r="C432" s="71"/>
      <c r="D432" s="71"/>
      <c r="E432" s="71"/>
      <c r="F432" s="71"/>
      <c r="G432" s="71"/>
      <c r="H432" s="71"/>
      <c r="I432" s="71"/>
      <c r="J432" s="71"/>
      <c r="K432" s="72"/>
      <c r="L432" s="67"/>
    </row>
    <row r="433" spans="2:12" ht="22.5" hidden="1" customHeight="1">
      <c r="B433" s="60" t="str">
        <f>'[6]PLANILHA ORÇAMENTÁRIA'!D119</f>
        <v>14.1.2</v>
      </c>
      <c r="C433" s="1003" t="str">
        <f>'[6]PLANILHA ORÇAMENTÁRIA'!E119</f>
        <v>LASTRO DE CONCRETO MAGRO, APLICADO EM PISOS OU RADIERS, ESPESSURA DE 5CM. AF_07_2016</v>
      </c>
      <c r="D433" s="1003"/>
      <c r="E433" s="1003"/>
      <c r="F433" s="1003"/>
      <c r="G433" s="1003"/>
      <c r="H433" s="1003"/>
      <c r="I433" s="1003"/>
      <c r="J433" s="1003"/>
      <c r="K433" s="61" t="str">
        <f>'[6]PLANILHA ORÇAMENTÁRIA'!F119</f>
        <v>M2</v>
      </c>
      <c r="L433" s="62">
        <f>K436</f>
        <v>0.18</v>
      </c>
    </row>
    <row r="434" spans="2:12" hidden="1">
      <c r="B434" s="63"/>
      <c r="C434" s="1004" t="s">
        <v>20</v>
      </c>
      <c r="D434" s="1004"/>
      <c r="E434" s="1004"/>
      <c r="F434" s="64" t="s">
        <v>22</v>
      </c>
      <c r="G434" s="225" t="s">
        <v>111</v>
      </c>
      <c r="H434" s="64" t="s">
        <v>112</v>
      </c>
      <c r="I434" s="225" t="s">
        <v>113</v>
      </c>
      <c r="J434" s="225" t="s">
        <v>114</v>
      </c>
      <c r="K434" s="66" t="s">
        <v>25</v>
      </c>
      <c r="L434" s="67"/>
    </row>
    <row r="435" spans="2:12" hidden="1">
      <c r="B435" s="63"/>
      <c r="C435" s="1001"/>
      <c r="D435" s="1001"/>
      <c r="E435" s="1001"/>
      <c r="F435" s="68">
        <v>8</v>
      </c>
      <c r="G435" s="68"/>
      <c r="H435" s="68">
        <v>0.15</v>
      </c>
      <c r="I435" s="68">
        <v>0.15</v>
      </c>
      <c r="J435" s="68"/>
      <c r="K435" s="69">
        <f>PRODUCT(F435:I435)</f>
        <v>0.18</v>
      </c>
      <c r="L435" s="67"/>
    </row>
    <row r="436" spans="2:12" hidden="1">
      <c r="B436" s="63"/>
      <c r="C436" s="1002" t="s">
        <v>116</v>
      </c>
      <c r="D436" s="1002"/>
      <c r="E436" s="1002"/>
      <c r="F436" s="1002"/>
      <c r="G436" s="1002"/>
      <c r="H436" s="1002"/>
      <c r="I436" s="1002"/>
      <c r="J436" s="1002"/>
      <c r="K436" s="70">
        <f>SUM(K435:K435)</f>
        <v>0.18</v>
      </c>
      <c r="L436" s="67"/>
    </row>
    <row r="437" spans="2:12" hidden="1">
      <c r="B437" s="63"/>
      <c r="C437" s="71"/>
      <c r="D437" s="71"/>
      <c r="E437" s="71"/>
      <c r="F437" s="71"/>
      <c r="G437" s="71"/>
      <c r="H437" s="71"/>
      <c r="I437" s="71"/>
      <c r="J437" s="71"/>
      <c r="K437" s="72"/>
      <c r="L437" s="67"/>
    </row>
    <row r="438" spans="2:12" ht="24" hidden="1" customHeight="1">
      <c r="B438" s="60" t="str">
        <f>'[6]PLANILHA ORÇAMENTÁRIA'!D120</f>
        <v>14.1.3</v>
      </c>
      <c r="C438" s="1003" t="str">
        <f>'[6]PLANILHA ORÇAMENTÁRIA'!E120</f>
        <v>CONCRETAGEM DE BLOCOS DE COROAMENTO E VIGAS BALDRAMES, FCK 30 MPA, COM USO DE BOMBA LANÇAMENTO, ADENSAMENTO E ACABAMENTO. AF_06/2017</v>
      </c>
      <c r="D438" s="1003"/>
      <c r="E438" s="1003"/>
      <c r="F438" s="1003"/>
      <c r="G438" s="1003"/>
      <c r="H438" s="1003"/>
      <c r="I438" s="1003"/>
      <c r="J438" s="1003"/>
      <c r="K438" s="61" t="str">
        <f>'[6]PLANILHA ORÇAMENTÁRIA'!F120</f>
        <v>M3</v>
      </c>
      <c r="L438" s="62">
        <f>K441</f>
        <v>7.0000000000000007E-2</v>
      </c>
    </row>
    <row r="439" spans="2:12" hidden="1">
      <c r="B439" s="63"/>
      <c r="C439" s="1004" t="s">
        <v>20</v>
      </c>
      <c r="D439" s="1004"/>
      <c r="E439" s="1004"/>
      <c r="F439" s="64" t="s">
        <v>22</v>
      </c>
      <c r="G439" s="225" t="s">
        <v>111</v>
      </c>
      <c r="H439" s="64" t="s">
        <v>112</v>
      </c>
      <c r="I439" s="225" t="s">
        <v>113</v>
      </c>
      <c r="J439" s="225" t="s">
        <v>114</v>
      </c>
      <c r="K439" s="66" t="s">
        <v>25</v>
      </c>
      <c r="L439" s="67"/>
    </row>
    <row r="440" spans="2:12" hidden="1">
      <c r="B440" s="63"/>
      <c r="C440" s="1001" t="s">
        <v>175</v>
      </c>
      <c r="D440" s="1001"/>
      <c r="E440" s="1001"/>
      <c r="F440" s="68">
        <v>8</v>
      </c>
      <c r="G440" s="68">
        <v>0.4</v>
      </c>
      <c r="H440" s="68">
        <v>0.15</v>
      </c>
      <c r="I440" s="68">
        <v>0.15</v>
      </c>
      <c r="J440" s="68"/>
      <c r="K440" s="226">
        <f>TRUNC(G440*H440*F440*I440,2)</f>
        <v>7.0000000000000007E-2</v>
      </c>
      <c r="L440" s="67"/>
    </row>
    <row r="441" spans="2:12" hidden="1">
      <c r="B441" s="63"/>
      <c r="C441" s="1002" t="s">
        <v>116</v>
      </c>
      <c r="D441" s="1002"/>
      <c r="E441" s="1002"/>
      <c r="F441" s="1002"/>
      <c r="G441" s="1002"/>
      <c r="H441" s="1002"/>
      <c r="I441" s="1002"/>
      <c r="J441" s="1002"/>
      <c r="K441" s="66">
        <f>SUM(K440:K440)</f>
        <v>7.0000000000000007E-2</v>
      </c>
      <c r="L441" s="67"/>
    </row>
    <row r="442" spans="2:12" hidden="1"/>
    <row r="443" spans="2:12" ht="15" hidden="1" customHeight="1">
      <c r="B443" s="60" t="str">
        <f>'[6]PLANILHA ORÇAMENTÁRIA'!D121</f>
        <v>14.1.4</v>
      </c>
      <c r="C443" s="1003" t="str">
        <f>'[6]PLANILHA ORÇAMENTÁRIA'!E121</f>
        <v>TUBO DE AÇO GALVANIZADO COM COSTURA 2" - FORNECIMENTO E INSTALACAO.</v>
      </c>
      <c r="D443" s="1003"/>
      <c r="E443" s="1003"/>
      <c r="F443" s="1003"/>
      <c r="G443" s="1003"/>
      <c r="H443" s="1003"/>
      <c r="I443" s="1003"/>
      <c r="J443" s="1003"/>
      <c r="K443" s="61" t="str">
        <f>'[6]PLANILHA ORÇAMENTÁRIA'!F121</f>
        <v>M</v>
      </c>
      <c r="L443" s="62">
        <f>K447</f>
        <v>21.2</v>
      </c>
    </row>
    <row r="444" spans="2:12" hidden="1">
      <c r="B444" s="63"/>
      <c r="C444" s="1004" t="s">
        <v>20</v>
      </c>
      <c r="D444" s="1004"/>
      <c r="E444" s="1004"/>
      <c r="F444" s="64" t="s">
        <v>22</v>
      </c>
      <c r="G444" s="225" t="s">
        <v>111</v>
      </c>
      <c r="H444" s="64" t="s">
        <v>112</v>
      </c>
      <c r="I444" s="225" t="s">
        <v>113</v>
      </c>
      <c r="J444" s="225" t="s">
        <v>114</v>
      </c>
      <c r="K444" s="66" t="s">
        <v>25</v>
      </c>
      <c r="L444" s="67"/>
    </row>
    <row r="445" spans="2:12" hidden="1">
      <c r="B445" s="63"/>
      <c r="C445" s="1001" t="s">
        <v>176</v>
      </c>
      <c r="D445" s="1001"/>
      <c r="E445" s="1001"/>
      <c r="F445" s="68">
        <v>8</v>
      </c>
      <c r="G445" s="68"/>
      <c r="H445" s="68"/>
      <c r="I445" s="68">
        <v>1.65</v>
      </c>
      <c r="J445" s="68"/>
      <c r="K445" s="226">
        <f>F445*I445</f>
        <v>13.2</v>
      </c>
      <c r="L445" s="67"/>
    </row>
    <row r="446" spans="2:12" hidden="1">
      <c r="B446" s="63"/>
      <c r="C446" s="1005" t="s">
        <v>177</v>
      </c>
      <c r="D446" s="1006"/>
      <c r="E446" s="1007"/>
      <c r="F446" s="68">
        <v>4</v>
      </c>
      <c r="G446" s="68"/>
      <c r="H446" s="68"/>
      <c r="I446" s="68">
        <v>2</v>
      </c>
      <c r="J446" s="68"/>
      <c r="K446" s="226">
        <f>F446*I446</f>
        <v>8</v>
      </c>
      <c r="L446" s="67"/>
    </row>
    <row r="447" spans="2:12" hidden="1">
      <c r="B447" s="63"/>
      <c r="C447" s="1002" t="s">
        <v>116</v>
      </c>
      <c r="D447" s="1002"/>
      <c r="E447" s="1002"/>
      <c r="F447" s="1002"/>
      <c r="G447" s="1002"/>
      <c r="H447" s="1002"/>
      <c r="I447" s="1002"/>
      <c r="J447" s="1002"/>
      <c r="K447" s="66">
        <f>SUM(K445:K446)</f>
        <v>21.2</v>
      </c>
      <c r="L447" s="67"/>
    </row>
    <row r="448" spans="2:12" hidden="1">
      <c r="B448" s="63"/>
      <c r="C448" s="71"/>
      <c r="D448" s="71"/>
      <c r="E448" s="71"/>
      <c r="F448" s="71"/>
      <c r="G448" s="71"/>
      <c r="H448" s="71"/>
      <c r="I448" s="71"/>
      <c r="J448" s="71"/>
      <c r="K448" s="73"/>
      <c r="L448" s="67"/>
    </row>
    <row r="449" spans="2:12" ht="15" hidden="1" customHeight="1">
      <c r="B449" s="60" t="str">
        <f>'[6]PLANILHA ORÇAMENTÁRIA'!D122</f>
        <v>14.1.5</v>
      </c>
      <c r="C449" s="1003" t="str">
        <f>'[6]PLANILHA ORÇAMENTÁRIA'!E122</f>
        <v>PINTURA ESMALTE ALTO BRILHO, DUAS DEMAOS, SOBRE SUPERFICIE METALICA</v>
      </c>
      <c r="D449" s="1003"/>
      <c r="E449" s="1003"/>
      <c r="F449" s="1003"/>
      <c r="G449" s="1003"/>
      <c r="H449" s="1003"/>
      <c r="I449" s="1003"/>
      <c r="J449" s="1003"/>
      <c r="K449" s="61" t="str">
        <f>'[6]PLANILHA ORÇAMENTÁRIA'!F122</f>
        <v>M2</v>
      </c>
      <c r="L449" s="62">
        <f>K454</f>
        <v>2.76</v>
      </c>
    </row>
    <row r="450" spans="2:12" hidden="1">
      <c r="B450" s="63"/>
      <c r="C450" s="1004" t="s">
        <v>20</v>
      </c>
      <c r="D450" s="1004"/>
      <c r="E450" s="1004"/>
      <c r="F450" s="64" t="s">
        <v>22</v>
      </c>
      <c r="G450" s="225" t="s">
        <v>111</v>
      </c>
      <c r="H450" s="64" t="s">
        <v>178</v>
      </c>
      <c r="I450" s="225" t="s">
        <v>113</v>
      </c>
      <c r="J450" s="225" t="s">
        <v>114</v>
      </c>
      <c r="K450" s="66" t="s">
        <v>25</v>
      </c>
      <c r="L450" s="67"/>
    </row>
    <row r="451" spans="2:12" hidden="1">
      <c r="B451" s="63"/>
      <c r="C451" s="1001" t="s">
        <v>176</v>
      </c>
      <c r="D451" s="1001"/>
      <c r="E451" s="1001"/>
      <c r="F451" s="68">
        <v>8</v>
      </c>
      <c r="G451" s="68"/>
      <c r="H451" s="75">
        <v>2.5000000000000001E-2</v>
      </c>
      <c r="I451" s="68">
        <v>1.2</v>
      </c>
      <c r="J451" s="68"/>
      <c r="K451" s="226">
        <f>TRUNC((2*3.14*H451*I451)*F451,2)</f>
        <v>1.5</v>
      </c>
      <c r="L451" s="67"/>
    </row>
    <row r="452" spans="2:12" hidden="1">
      <c r="B452" s="63"/>
      <c r="C452" s="1005" t="s">
        <v>177</v>
      </c>
      <c r="D452" s="1006"/>
      <c r="E452" s="1007"/>
      <c r="F452" s="68">
        <v>4</v>
      </c>
      <c r="G452" s="68"/>
      <c r="H452" s="75">
        <v>2.5000000000000001E-2</v>
      </c>
      <c r="I452" s="68">
        <v>2</v>
      </c>
      <c r="J452" s="68"/>
      <c r="K452" s="226">
        <f>TRUNC((2*3.14*H452*I452)*F452,2)</f>
        <v>1.25</v>
      </c>
      <c r="L452" s="67"/>
    </row>
    <row r="453" spans="2:12" hidden="1">
      <c r="B453" s="63"/>
      <c r="C453" s="1005" t="s">
        <v>179</v>
      </c>
      <c r="D453" s="1006"/>
      <c r="E453" s="1007"/>
      <c r="F453" s="68">
        <v>8</v>
      </c>
      <c r="G453" s="68"/>
      <c r="H453" s="75">
        <v>2.5000000000000001E-2</v>
      </c>
      <c r="I453" s="68"/>
      <c r="J453" s="68"/>
      <c r="K453" s="226">
        <f>TRUNC((3.14*H453^2)*F453,2)</f>
        <v>0.01</v>
      </c>
      <c r="L453" s="67"/>
    </row>
    <row r="454" spans="2:12" hidden="1">
      <c r="B454" s="63"/>
      <c r="C454" s="1002" t="s">
        <v>116</v>
      </c>
      <c r="D454" s="1002"/>
      <c r="E454" s="1002"/>
      <c r="F454" s="1002"/>
      <c r="G454" s="1002"/>
      <c r="H454" s="1002"/>
      <c r="I454" s="1002"/>
      <c r="J454" s="1002"/>
      <c r="K454" s="66">
        <f>SUM(K451:K453)</f>
        <v>2.76</v>
      </c>
      <c r="L454" s="67"/>
    </row>
    <row r="455" spans="2:12" hidden="1">
      <c r="B455" s="63"/>
      <c r="C455" s="71"/>
      <c r="D455" s="71"/>
      <c r="E455" s="71"/>
      <c r="F455" s="71"/>
      <c r="G455" s="71"/>
      <c r="H455" s="71"/>
      <c r="I455" s="71"/>
      <c r="J455" s="71"/>
      <c r="K455" s="73"/>
      <c r="L455" s="67"/>
    </row>
    <row r="456" spans="2:12" hidden="1">
      <c r="B456" s="58" t="str">
        <f>'[6]PLANILHA ORÇAMENTÁRIA'!D123</f>
        <v>14.2</v>
      </c>
      <c r="C456" s="1000" t="str">
        <f>'[6]PLANILHA ORÇAMENTÁRIA'!E123</f>
        <v>BARRAS MARINHEIRO</v>
      </c>
      <c r="D456" s="1000"/>
      <c r="E456" s="1000"/>
      <c r="F456" s="1000"/>
      <c r="G456" s="1000"/>
      <c r="H456" s="1000"/>
      <c r="I456" s="1000"/>
      <c r="J456" s="1000"/>
      <c r="K456" s="59"/>
      <c r="L456" s="59"/>
    </row>
    <row r="457" spans="2:12" ht="15" hidden="1" customHeight="1">
      <c r="B457" s="60" t="str">
        <f>'[6]PLANILHA ORÇAMENTÁRIA'!D124</f>
        <v>14.2.1</v>
      </c>
      <c r="C457" s="1003" t="str">
        <f>'[6]PLANILHA ORÇAMENTÁRIA'!E124</f>
        <v>ESCAVAÇÃO MANUAL DE VALA COM PROFUNDIDADE MENOR OU IGUAL A 1,30 M</v>
      </c>
      <c r="D457" s="1003"/>
      <c r="E457" s="1003"/>
      <c r="F457" s="1003"/>
      <c r="G457" s="1003"/>
      <c r="H457" s="1003"/>
      <c r="I457" s="1003"/>
      <c r="J457" s="1003"/>
      <c r="K457" s="61" t="str">
        <f>'[6]PLANILHA ORÇAMENTÁRIA'!F124</f>
        <v>M3</v>
      </c>
      <c r="L457" s="62">
        <f>K460</f>
        <v>0.14849999999999999</v>
      </c>
    </row>
    <row r="458" spans="2:12" hidden="1">
      <c r="B458" s="63"/>
      <c r="C458" s="1004" t="s">
        <v>20</v>
      </c>
      <c r="D458" s="1004"/>
      <c r="E458" s="1004"/>
      <c r="F458" s="64" t="s">
        <v>22</v>
      </c>
      <c r="G458" s="225" t="s">
        <v>111</v>
      </c>
      <c r="H458" s="64" t="s">
        <v>112</v>
      </c>
      <c r="I458" s="225" t="s">
        <v>113</v>
      </c>
      <c r="J458" s="225" t="s">
        <v>114</v>
      </c>
      <c r="K458" s="66" t="s">
        <v>25</v>
      </c>
      <c r="L458" s="67"/>
    </row>
    <row r="459" spans="2:12" hidden="1">
      <c r="B459" s="63"/>
      <c r="C459" s="1001" t="s">
        <v>174</v>
      </c>
      <c r="D459" s="1001"/>
      <c r="E459" s="1001"/>
      <c r="F459" s="68">
        <v>12</v>
      </c>
      <c r="G459" s="68">
        <v>0.55000000000000004</v>
      </c>
      <c r="H459" s="68">
        <v>0.15</v>
      </c>
      <c r="I459" s="68">
        <v>0.15</v>
      </c>
      <c r="J459" s="68"/>
      <c r="K459" s="69">
        <f>PRODUCT(F459:I459)</f>
        <v>0.14849999999999999</v>
      </c>
      <c r="L459" s="67"/>
    </row>
    <row r="460" spans="2:12" hidden="1">
      <c r="B460" s="63"/>
      <c r="C460" s="1002" t="s">
        <v>116</v>
      </c>
      <c r="D460" s="1002"/>
      <c r="E460" s="1002"/>
      <c r="F460" s="1002"/>
      <c r="G460" s="1002"/>
      <c r="H460" s="1002"/>
      <c r="I460" s="1002"/>
      <c r="J460" s="1002"/>
      <c r="K460" s="70">
        <f>SUM(K459:K459)</f>
        <v>0.14849999999999999</v>
      </c>
      <c r="L460" s="67"/>
    </row>
    <row r="461" spans="2:12" hidden="1">
      <c r="B461" s="63"/>
      <c r="C461" s="71"/>
      <c r="D461" s="71"/>
      <c r="E461" s="71"/>
      <c r="F461" s="71"/>
      <c r="G461" s="71"/>
      <c r="H461" s="71"/>
      <c r="I461" s="71"/>
      <c r="J461" s="71"/>
      <c r="K461" s="72"/>
      <c r="L461" s="67"/>
    </row>
    <row r="462" spans="2:12" ht="15" hidden="1" customHeight="1">
      <c r="B462" s="60" t="str">
        <f>'[6]PLANILHA ORÇAMENTÁRIA'!D125</f>
        <v>14.2.2</v>
      </c>
      <c r="C462" s="1003" t="str">
        <f>'[6]PLANILHA ORÇAMENTÁRIA'!E125</f>
        <v>LASTRO DE CONCRETO MAGRO, APLICADO EM PISOS OU RADIERS, ESPESSURA DE 5CM. AF_07_2016</v>
      </c>
      <c r="D462" s="1003"/>
      <c r="E462" s="1003"/>
      <c r="F462" s="1003"/>
      <c r="G462" s="1003"/>
      <c r="H462" s="1003"/>
      <c r="I462" s="1003"/>
      <c r="J462" s="1003"/>
      <c r="K462" s="61" t="str">
        <f>'[6]PLANILHA ORÇAMENTÁRIA'!F125</f>
        <v>M2</v>
      </c>
      <c r="L462" s="62">
        <f>K465</f>
        <v>0.26999999999999996</v>
      </c>
    </row>
    <row r="463" spans="2:12" hidden="1">
      <c r="B463" s="63"/>
      <c r="C463" s="1004" t="s">
        <v>20</v>
      </c>
      <c r="D463" s="1004"/>
      <c r="E463" s="1004"/>
      <c r="F463" s="64" t="s">
        <v>22</v>
      </c>
      <c r="G463" s="225" t="s">
        <v>111</v>
      </c>
      <c r="H463" s="64" t="s">
        <v>112</v>
      </c>
      <c r="I463" s="225" t="s">
        <v>113</v>
      </c>
      <c r="J463" s="225" t="s">
        <v>114</v>
      </c>
      <c r="K463" s="66" t="s">
        <v>25</v>
      </c>
      <c r="L463" s="67"/>
    </row>
    <row r="464" spans="2:12" hidden="1">
      <c r="B464" s="63"/>
      <c r="C464" s="1001"/>
      <c r="D464" s="1001"/>
      <c r="E464" s="1001"/>
      <c r="F464" s="68">
        <v>12</v>
      </c>
      <c r="G464" s="68"/>
      <c r="H464" s="68">
        <v>0.15</v>
      </c>
      <c r="I464" s="68">
        <v>0.15</v>
      </c>
      <c r="J464" s="68"/>
      <c r="K464" s="69">
        <f>PRODUCT(F464:I464)</f>
        <v>0.26999999999999996</v>
      </c>
      <c r="L464" s="67"/>
    </row>
    <row r="465" spans="2:12" hidden="1">
      <c r="B465" s="63"/>
      <c r="C465" s="1002" t="s">
        <v>116</v>
      </c>
      <c r="D465" s="1002"/>
      <c r="E465" s="1002"/>
      <c r="F465" s="1002"/>
      <c r="G465" s="1002"/>
      <c r="H465" s="1002"/>
      <c r="I465" s="1002"/>
      <c r="J465" s="1002"/>
      <c r="K465" s="70">
        <f>SUM(K464:K464)</f>
        <v>0.26999999999999996</v>
      </c>
      <c r="L465" s="67"/>
    </row>
    <row r="466" spans="2:12" hidden="1">
      <c r="B466" s="63"/>
      <c r="C466" s="71"/>
      <c r="D466" s="71"/>
      <c r="E466" s="71"/>
      <c r="F466" s="71"/>
      <c r="G466" s="71"/>
      <c r="H466" s="71"/>
      <c r="I466" s="71"/>
      <c r="J466" s="71"/>
      <c r="K466" s="72"/>
      <c r="L466" s="67"/>
    </row>
    <row r="467" spans="2:12" ht="22.5" hidden="1" customHeight="1">
      <c r="B467" s="60" t="str">
        <f>'[6]PLANILHA ORÇAMENTÁRIA'!D126</f>
        <v>14.2.3</v>
      </c>
      <c r="C467" s="1003" t="str">
        <f>'[6]PLANILHA ORÇAMENTÁRIA'!E126</f>
        <v>CONCRETAGEM DE BLOCOS DE COROAMENTO E VIGAS BALDRAMES, FCK 30 MPA, COM USO DE BOMBA LANÇAMENTO, ADENSAMENTO E ACABAMENTO. AF_06/2017</v>
      </c>
      <c r="D467" s="1003"/>
      <c r="E467" s="1003"/>
      <c r="F467" s="1003"/>
      <c r="G467" s="1003"/>
      <c r="H467" s="1003"/>
      <c r="I467" s="1003"/>
      <c r="J467" s="1003"/>
      <c r="K467" s="61" t="str">
        <f>'[6]PLANILHA ORÇAMENTÁRIA'!F126</f>
        <v>M3</v>
      </c>
      <c r="L467" s="62">
        <f>K470</f>
        <v>0.1</v>
      </c>
    </row>
    <row r="468" spans="2:12" hidden="1">
      <c r="B468" s="63"/>
      <c r="C468" s="1004" t="s">
        <v>20</v>
      </c>
      <c r="D468" s="1004"/>
      <c r="E468" s="1004"/>
      <c r="F468" s="64" t="s">
        <v>22</v>
      </c>
      <c r="G468" s="225" t="s">
        <v>111</v>
      </c>
      <c r="H468" s="64" t="s">
        <v>112</v>
      </c>
      <c r="I468" s="225" t="s">
        <v>113</v>
      </c>
      <c r="J468" s="225" t="s">
        <v>114</v>
      </c>
      <c r="K468" s="66" t="s">
        <v>25</v>
      </c>
      <c r="L468" s="67"/>
    </row>
    <row r="469" spans="2:12" hidden="1">
      <c r="B469" s="63"/>
      <c r="C469" s="1001" t="s">
        <v>175</v>
      </c>
      <c r="D469" s="1001"/>
      <c r="E469" s="1001"/>
      <c r="F469" s="68">
        <v>12</v>
      </c>
      <c r="G469" s="68">
        <v>0.4</v>
      </c>
      <c r="H469" s="68">
        <v>0.15</v>
      </c>
      <c r="I469" s="68">
        <v>0.15</v>
      </c>
      <c r="J469" s="68"/>
      <c r="K469" s="226">
        <f>TRUNC(G469*H469*F469*I469,2)</f>
        <v>0.1</v>
      </c>
      <c r="L469" s="67"/>
    </row>
    <row r="470" spans="2:12" hidden="1">
      <c r="B470" s="63"/>
      <c r="C470" s="1002" t="s">
        <v>116</v>
      </c>
      <c r="D470" s="1002"/>
      <c r="E470" s="1002"/>
      <c r="F470" s="1002"/>
      <c r="G470" s="1002"/>
      <c r="H470" s="1002"/>
      <c r="I470" s="1002"/>
      <c r="J470" s="1002"/>
      <c r="K470" s="66">
        <f>SUM(K469:K469)</f>
        <v>0.1</v>
      </c>
      <c r="L470" s="67"/>
    </row>
    <row r="471" spans="2:12" hidden="1"/>
    <row r="472" spans="2:12" ht="15" hidden="1" customHeight="1">
      <c r="B472" s="60" t="str">
        <f>'[6]PLANILHA ORÇAMENTÁRIA'!D127</f>
        <v>14.2.4</v>
      </c>
      <c r="C472" s="1003" t="str">
        <f>'[6]PLANILHA ORÇAMENTÁRIA'!E127</f>
        <v>TUBO DE AÇO GALVANIZADO COM COSTURA 2" - FORNECIMENTO E INSTALACAO. - M</v>
      </c>
      <c r="D472" s="1003"/>
      <c r="E472" s="1003"/>
      <c r="F472" s="1003"/>
      <c r="G472" s="1003"/>
      <c r="H472" s="1003"/>
      <c r="I472" s="1003"/>
      <c r="J472" s="1003"/>
      <c r="K472" s="61" t="str">
        <f>'[6]PLANILHA ORÇAMENTÁRIA'!F127</f>
        <v>M</v>
      </c>
      <c r="L472" s="62">
        <f>K477</f>
        <v>19.100000000000001</v>
      </c>
    </row>
    <row r="473" spans="2:12" hidden="1">
      <c r="B473" s="63"/>
      <c r="C473" s="1004" t="s">
        <v>20</v>
      </c>
      <c r="D473" s="1004"/>
      <c r="E473" s="1004"/>
      <c r="F473" s="64" t="s">
        <v>22</v>
      </c>
      <c r="G473" s="225" t="s">
        <v>111</v>
      </c>
      <c r="H473" s="64" t="s">
        <v>112</v>
      </c>
      <c r="I473" s="225" t="s">
        <v>113</v>
      </c>
      <c r="J473" s="225" t="s">
        <v>114</v>
      </c>
      <c r="K473" s="66" t="s">
        <v>25</v>
      </c>
      <c r="L473" s="67"/>
    </row>
    <row r="474" spans="2:12" hidden="1">
      <c r="B474" s="63"/>
      <c r="C474" s="1001" t="s">
        <v>180</v>
      </c>
      <c r="D474" s="1001"/>
      <c r="E474" s="1001"/>
      <c r="F474" s="68">
        <v>2</v>
      </c>
      <c r="G474" s="68"/>
      <c r="H474" s="68"/>
      <c r="I474" s="68">
        <v>3.56</v>
      </c>
      <c r="J474" s="68"/>
      <c r="K474" s="226">
        <f>F474*I474</f>
        <v>7.12</v>
      </c>
      <c r="L474" s="67"/>
    </row>
    <row r="475" spans="2:12" hidden="1">
      <c r="B475" s="63"/>
      <c r="C475" s="1005" t="s">
        <v>181</v>
      </c>
      <c r="D475" s="1006"/>
      <c r="E475" s="1007"/>
      <c r="F475" s="68">
        <v>2</v>
      </c>
      <c r="G475" s="68"/>
      <c r="H475" s="68"/>
      <c r="I475" s="68">
        <v>3.16</v>
      </c>
      <c r="J475" s="68"/>
      <c r="K475" s="226">
        <f>F475*I475</f>
        <v>6.32</v>
      </c>
      <c r="L475" s="67"/>
    </row>
    <row r="476" spans="2:12" hidden="1">
      <c r="B476" s="63"/>
      <c r="C476" s="1005" t="s">
        <v>182</v>
      </c>
      <c r="D476" s="1006"/>
      <c r="E476" s="1007"/>
      <c r="F476" s="68">
        <v>2</v>
      </c>
      <c r="G476" s="68"/>
      <c r="H476" s="68"/>
      <c r="I476" s="68">
        <v>2.83</v>
      </c>
      <c r="J476" s="68"/>
      <c r="K476" s="226">
        <f>F476*I476</f>
        <v>5.66</v>
      </c>
      <c r="L476" s="67"/>
    </row>
    <row r="477" spans="2:12" hidden="1">
      <c r="B477" s="63"/>
      <c r="C477" s="1002" t="s">
        <v>116</v>
      </c>
      <c r="D477" s="1002"/>
      <c r="E477" s="1002"/>
      <c r="F477" s="1002"/>
      <c r="G477" s="1002"/>
      <c r="H477" s="1002"/>
      <c r="I477" s="1002"/>
      <c r="J477" s="1002"/>
      <c r="K477" s="66">
        <f>SUM(K474:K476)</f>
        <v>19.100000000000001</v>
      </c>
      <c r="L477" s="67"/>
    </row>
    <row r="478" spans="2:12" hidden="1">
      <c r="B478" s="63"/>
      <c r="C478" s="71"/>
      <c r="D478" s="71"/>
      <c r="E478" s="71"/>
      <c r="F478" s="71"/>
      <c r="G478" s="71"/>
      <c r="H478" s="71"/>
      <c r="I478" s="71"/>
      <c r="J478" s="71"/>
      <c r="K478" s="73"/>
      <c r="L478" s="67"/>
    </row>
    <row r="479" spans="2:12" ht="15" hidden="1" customHeight="1">
      <c r="B479" s="60" t="str">
        <f>'[6]PLANILHA ORÇAMENTÁRIA'!D128</f>
        <v>14.2.5</v>
      </c>
      <c r="C479" s="1003" t="str">
        <f>'[6]PLANILHA ORÇAMENTÁRIA'!E128</f>
        <v>PINTURA ESMALTE ALTO BRILHO, DUAS DEMAOS, SOBRE SUPERFICIE METALICA</v>
      </c>
      <c r="D479" s="1003"/>
      <c r="E479" s="1003"/>
      <c r="F479" s="1003"/>
      <c r="G479" s="1003"/>
      <c r="H479" s="1003"/>
      <c r="I479" s="1003"/>
      <c r="J479" s="1003"/>
      <c r="K479" s="61" t="str">
        <f>'[6]PLANILHA ORÇAMENTÁRIA'!F128</f>
        <v>M2</v>
      </c>
      <c r="L479" s="62">
        <f>K484</f>
        <v>2.13</v>
      </c>
    </row>
    <row r="480" spans="2:12" hidden="1">
      <c r="B480" s="63"/>
      <c r="C480" s="1004" t="s">
        <v>20</v>
      </c>
      <c r="D480" s="1004"/>
      <c r="E480" s="1004"/>
      <c r="F480" s="64" t="s">
        <v>22</v>
      </c>
      <c r="G480" s="225" t="s">
        <v>111</v>
      </c>
      <c r="H480" s="64" t="s">
        <v>178</v>
      </c>
      <c r="I480" s="225" t="s">
        <v>113</v>
      </c>
      <c r="J480" s="225" t="s">
        <v>114</v>
      </c>
      <c r="K480" s="66" t="s">
        <v>25</v>
      </c>
      <c r="L480" s="67"/>
    </row>
    <row r="481" spans="2:12" hidden="1">
      <c r="B481" s="63"/>
      <c r="C481" s="1001" t="s">
        <v>180</v>
      </c>
      <c r="D481" s="1001"/>
      <c r="E481" s="1001"/>
      <c r="F481" s="68">
        <v>2</v>
      </c>
      <c r="G481" s="68"/>
      <c r="H481" s="75">
        <v>2.5000000000000001E-2</v>
      </c>
      <c r="I481" s="68">
        <f>I474-0.9</f>
        <v>2.66</v>
      </c>
      <c r="J481" s="68"/>
      <c r="K481" s="226">
        <f>TRUNC((2*3.14*H481*I481)*F481,2)</f>
        <v>0.83</v>
      </c>
      <c r="L481" s="67"/>
    </row>
    <row r="482" spans="2:12" hidden="1">
      <c r="B482" s="63"/>
      <c r="C482" s="1005" t="s">
        <v>181</v>
      </c>
      <c r="D482" s="1006"/>
      <c r="E482" s="1007"/>
      <c r="F482" s="68">
        <v>2</v>
      </c>
      <c r="G482" s="68"/>
      <c r="H482" s="75">
        <v>2.5000000000000001E-2</v>
      </c>
      <c r="I482" s="68">
        <f>I475-0.9</f>
        <v>2.2600000000000002</v>
      </c>
      <c r="J482" s="68"/>
      <c r="K482" s="226">
        <f>TRUNC((2*3.14*H482*I482)*F482,2)</f>
        <v>0.7</v>
      </c>
      <c r="L482" s="67"/>
    </row>
    <row r="483" spans="2:12" hidden="1">
      <c r="B483" s="63"/>
      <c r="C483" s="1005" t="s">
        <v>182</v>
      </c>
      <c r="D483" s="1006"/>
      <c r="E483" s="1007"/>
      <c r="F483" s="68">
        <v>2</v>
      </c>
      <c r="G483" s="68"/>
      <c r="H483" s="75">
        <v>2.5000000000000001E-2</v>
      </c>
      <c r="I483" s="68">
        <f>I476-0.9</f>
        <v>1.9300000000000002</v>
      </c>
      <c r="J483" s="68"/>
      <c r="K483" s="226">
        <f>TRUNC((2*3.14*H483*I483)*F483,2)</f>
        <v>0.6</v>
      </c>
      <c r="L483" s="67"/>
    </row>
    <row r="484" spans="2:12" hidden="1">
      <c r="B484" s="63"/>
      <c r="C484" s="1002" t="s">
        <v>116</v>
      </c>
      <c r="D484" s="1002"/>
      <c r="E484" s="1002"/>
      <c r="F484" s="1002"/>
      <c r="G484" s="1002"/>
      <c r="H484" s="1002"/>
      <c r="I484" s="1002"/>
      <c r="J484" s="1002"/>
      <c r="K484" s="66">
        <f>SUM(K481:K483)</f>
        <v>2.13</v>
      </c>
      <c r="L484" s="67"/>
    </row>
    <row r="485" spans="2:12" hidden="1"/>
    <row r="486" spans="2:12" hidden="1">
      <c r="B486" s="58" t="str">
        <f>'[6]PLANILHA ORÇAMENTÁRIA'!D129</f>
        <v>14.3</v>
      </c>
      <c r="C486" s="1000" t="str">
        <f>'[6]PLANILHA ORÇAMENTÁRIA'!E129</f>
        <v>BARRA HORIZONTAL TRIPLA</v>
      </c>
      <c r="D486" s="1000"/>
      <c r="E486" s="1000"/>
      <c r="F486" s="1000"/>
      <c r="G486" s="1000"/>
      <c r="H486" s="1000"/>
      <c r="I486" s="1000"/>
      <c r="J486" s="1000"/>
      <c r="K486" s="59"/>
      <c r="L486" s="59"/>
    </row>
    <row r="487" spans="2:12" ht="15" hidden="1" customHeight="1">
      <c r="B487" s="60" t="str">
        <f>'[6]PLANILHA ORÇAMENTÁRIA'!D130</f>
        <v>14.3.1</v>
      </c>
      <c r="C487" s="1003" t="str">
        <f>'[6]PLANILHA ORÇAMENTÁRIA'!E130</f>
        <v>ESCAVAÇÃO MANUAL DE VALA COM PROFUNDIDADE MENOR OU IGUAL A 1,30 M</v>
      </c>
      <c r="D487" s="1003"/>
      <c r="E487" s="1003"/>
      <c r="F487" s="1003"/>
      <c r="G487" s="1003"/>
      <c r="H487" s="1003"/>
      <c r="I487" s="1003"/>
      <c r="J487" s="1003"/>
      <c r="K487" s="61" t="str">
        <f>'[6]PLANILHA ORÇAMENTÁRIA'!F130</f>
        <v>M3</v>
      </c>
      <c r="L487" s="62">
        <f>K492</f>
        <v>7.5374999999999998E-2</v>
      </c>
    </row>
    <row r="488" spans="2:12" hidden="1">
      <c r="B488" s="63"/>
      <c r="C488" s="1004" t="s">
        <v>20</v>
      </c>
      <c r="D488" s="1004"/>
      <c r="E488" s="1004"/>
      <c r="F488" s="64" t="s">
        <v>22</v>
      </c>
      <c r="G488" s="225" t="s">
        <v>111</v>
      </c>
      <c r="H488" s="64" t="s">
        <v>112</v>
      </c>
      <c r="I488" s="225" t="s">
        <v>113</v>
      </c>
      <c r="J488" s="225" t="s">
        <v>114</v>
      </c>
      <c r="K488" s="66" t="s">
        <v>25</v>
      </c>
      <c r="L488" s="67"/>
    </row>
    <row r="489" spans="2:12" hidden="1">
      <c r="B489" s="63"/>
      <c r="C489" s="1001" t="s">
        <v>183</v>
      </c>
      <c r="D489" s="1001"/>
      <c r="E489" s="1001"/>
      <c r="F489" s="68">
        <v>2</v>
      </c>
      <c r="G489" s="68">
        <v>0.9</v>
      </c>
      <c r="H489" s="68">
        <v>0.15</v>
      </c>
      <c r="I489" s="68">
        <v>0.15</v>
      </c>
      <c r="J489" s="68"/>
      <c r="K489" s="69">
        <f>PRODUCT(F489:I489)</f>
        <v>4.0500000000000001E-2</v>
      </c>
      <c r="L489" s="67"/>
    </row>
    <row r="490" spans="2:12" hidden="1">
      <c r="B490" s="63"/>
      <c r="C490" s="1001" t="s">
        <v>184</v>
      </c>
      <c r="D490" s="1001"/>
      <c r="E490" s="1001"/>
      <c r="F490" s="68">
        <v>1</v>
      </c>
      <c r="G490" s="68">
        <v>0.8</v>
      </c>
      <c r="H490" s="68">
        <v>0.15</v>
      </c>
      <c r="I490" s="68">
        <v>0.15</v>
      </c>
      <c r="J490" s="68"/>
      <c r="K490" s="69">
        <f>PRODUCT(F490:I490)</f>
        <v>1.7999999999999999E-2</v>
      </c>
      <c r="L490" s="67"/>
    </row>
    <row r="491" spans="2:12" hidden="1">
      <c r="B491" s="63"/>
      <c r="C491" s="1001" t="s">
        <v>185</v>
      </c>
      <c r="D491" s="1001"/>
      <c r="E491" s="1001"/>
      <c r="F491" s="68">
        <v>1</v>
      </c>
      <c r="G491" s="68">
        <v>0.75</v>
      </c>
      <c r="H491" s="68">
        <v>0.15</v>
      </c>
      <c r="I491" s="68">
        <v>0.15</v>
      </c>
      <c r="J491" s="68"/>
      <c r="K491" s="69">
        <f>PRODUCT(F491:I491)</f>
        <v>1.6874999999999998E-2</v>
      </c>
      <c r="L491" s="67"/>
    </row>
    <row r="492" spans="2:12" hidden="1">
      <c r="B492" s="63"/>
      <c r="C492" s="1002" t="s">
        <v>116</v>
      </c>
      <c r="D492" s="1002"/>
      <c r="E492" s="1002"/>
      <c r="F492" s="1002"/>
      <c r="G492" s="1002"/>
      <c r="H492" s="1002"/>
      <c r="I492" s="1002"/>
      <c r="J492" s="1002"/>
      <c r="K492" s="70">
        <f>SUM(K489:K491)</f>
        <v>7.5374999999999998E-2</v>
      </c>
      <c r="L492" s="67"/>
    </row>
    <row r="493" spans="2:12" hidden="1">
      <c r="B493" s="63"/>
      <c r="C493" s="71"/>
      <c r="D493" s="71"/>
      <c r="E493" s="71"/>
      <c r="F493" s="71"/>
      <c r="G493" s="71"/>
      <c r="H493" s="71"/>
      <c r="I493" s="71"/>
      <c r="J493" s="71"/>
      <c r="K493" s="72"/>
      <c r="L493" s="67"/>
    </row>
    <row r="494" spans="2:12" ht="15" hidden="1" customHeight="1">
      <c r="B494" s="60" t="str">
        <f>'[6]PLANILHA ORÇAMENTÁRIA'!D131</f>
        <v>14.3.2</v>
      </c>
      <c r="C494" s="1003" t="str">
        <f>'[6]PLANILHA ORÇAMENTÁRIA'!E131</f>
        <v>LASTRO DE CONCRETO MAGRO, APLICADO EM PISOS OU RADIERS, ESPESSURA DE 5CM. AF_07_2016</v>
      </c>
      <c r="D494" s="1003"/>
      <c r="E494" s="1003"/>
      <c r="F494" s="1003"/>
      <c r="G494" s="1003"/>
      <c r="H494" s="1003"/>
      <c r="I494" s="1003"/>
      <c r="J494" s="1003"/>
      <c r="K494" s="61" t="str">
        <f>'[6]PLANILHA ORÇAMENTÁRIA'!F131</f>
        <v>M2</v>
      </c>
      <c r="L494" s="62">
        <f>K497</f>
        <v>0.09</v>
      </c>
    </row>
    <row r="495" spans="2:12" hidden="1">
      <c r="B495" s="63"/>
      <c r="C495" s="1004" t="s">
        <v>20</v>
      </c>
      <c r="D495" s="1004"/>
      <c r="E495" s="1004"/>
      <c r="F495" s="64" t="s">
        <v>22</v>
      </c>
      <c r="G495" s="225" t="s">
        <v>111</v>
      </c>
      <c r="H495" s="64" t="s">
        <v>112</v>
      </c>
      <c r="I495" s="225" t="s">
        <v>113</v>
      </c>
      <c r="J495" s="225" t="s">
        <v>114</v>
      </c>
      <c r="K495" s="66" t="s">
        <v>25</v>
      </c>
      <c r="L495" s="67"/>
    </row>
    <row r="496" spans="2:12" hidden="1">
      <c r="B496" s="63"/>
      <c r="C496" s="1001"/>
      <c r="D496" s="1001"/>
      <c r="E496" s="1001"/>
      <c r="F496" s="68">
        <v>4</v>
      </c>
      <c r="G496" s="68"/>
      <c r="H496" s="68">
        <v>0.15</v>
      </c>
      <c r="I496" s="68">
        <v>0.15</v>
      </c>
      <c r="J496" s="68"/>
      <c r="K496" s="69">
        <f>PRODUCT(F496:I496)</f>
        <v>0.09</v>
      </c>
      <c r="L496" s="67"/>
    </row>
    <row r="497" spans="2:12" hidden="1">
      <c r="B497" s="63"/>
      <c r="C497" s="1002" t="s">
        <v>116</v>
      </c>
      <c r="D497" s="1002"/>
      <c r="E497" s="1002"/>
      <c r="F497" s="1002"/>
      <c r="G497" s="1002"/>
      <c r="H497" s="1002"/>
      <c r="I497" s="1002"/>
      <c r="J497" s="1002"/>
      <c r="K497" s="70">
        <f>SUM(K496:K496)</f>
        <v>0.09</v>
      </c>
      <c r="L497" s="67"/>
    </row>
    <row r="498" spans="2:12" hidden="1">
      <c r="B498" s="63"/>
      <c r="C498" s="71"/>
      <c r="D498" s="71"/>
      <c r="E498" s="71"/>
      <c r="F498" s="71"/>
      <c r="G498" s="71"/>
      <c r="H498" s="71"/>
      <c r="I498" s="71"/>
      <c r="J498" s="71"/>
      <c r="K498" s="72"/>
      <c r="L498" s="67"/>
    </row>
    <row r="499" spans="2:12" ht="27" hidden="1" customHeight="1">
      <c r="B499" s="60" t="str">
        <f>'[6]PLANILHA ORÇAMENTÁRIA'!D132</f>
        <v>14.3.3</v>
      </c>
      <c r="C499" s="1003" t="str">
        <f>'[6]PLANILHA ORÇAMENTÁRIA'!E132</f>
        <v>CONCRETAGEM DE BLOCOS DE COROAMENTO E VIGAS BALDRAMES, FCK 30 MPA, COM USO DE BOMBA LANÇAMENTO, ADENSAMENTO E ACABAMENTO. AF_06/2017</v>
      </c>
      <c r="D499" s="1003"/>
      <c r="E499" s="1003"/>
      <c r="F499" s="1003"/>
      <c r="G499" s="1003"/>
      <c r="H499" s="1003"/>
      <c r="I499" s="1003"/>
      <c r="J499" s="1003"/>
      <c r="K499" s="61" t="str">
        <f>'[6]PLANILHA ORÇAMENTÁRIA'!F132</f>
        <v>M3</v>
      </c>
      <c r="L499" s="62">
        <f>K504</f>
        <v>0.05</v>
      </c>
    </row>
    <row r="500" spans="2:12" hidden="1">
      <c r="B500" s="63"/>
      <c r="C500" s="1004" t="s">
        <v>20</v>
      </c>
      <c r="D500" s="1004"/>
      <c r="E500" s="1004"/>
      <c r="F500" s="64" t="s">
        <v>22</v>
      </c>
      <c r="G500" s="225" t="s">
        <v>111</v>
      </c>
      <c r="H500" s="64" t="s">
        <v>112</v>
      </c>
      <c r="I500" s="225" t="s">
        <v>113</v>
      </c>
      <c r="J500" s="225" t="s">
        <v>114</v>
      </c>
      <c r="K500" s="66" t="s">
        <v>25</v>
      </c>
      <c r="L500" s="67"/>
    </row>
    <row r="501" spans="2:12" hidden="1">
      <c r="B501" s="63"/>
      <c r="C501" s="1001" t="s">
        <v>186</v>
      </c>
      <c r="D501" s="1001"/>
      <c r="E501" s="1001"/>
      <c r="F501" s="68">
        <v>2</v>
      </c>
      <c r="G501" s="68">
        <v>0.75</v>
      </c>
      <c r="H501" s="68">
        <v>0.15</v>
      </c>
      <c r="I501" s="68">
        <v>0.15</v>
      </c>
      <c r="J501" s="68"/>
      <c r="K501" s="226">
        <f>TRUNC(G501*H501*F501*I501,2)</f>
        <v>0.03</v>
      </c>
      <c r="L501" s="67"/>
    </row>
    <row r="502" spans="2:12" hidden="1">
      <c r="B502" s="63"/>
      <c r="C502" s="1001" t="s">
        <v>187</v>
      </c>
      <c r="D502" s="1001"/>
      <c r="E502" s="1001"/>
      <c r="F502" s="68">
        <v>1</v>
      </c>
      <c r="G502" s="68">
        <v>0.65</v>
      </c>
      <c r="H502" s="68">
        <v>0.15</v>
      </c>
      <c r="I502" s="68">
        <v>0.15</v>
      </c>
      <c r="J502" s="68"/>
      <c r="K502" s="226">
        <f>TRUNC(G502*H502*F502*I502,2)</f>
        <v>0.01</v>
      </c>
      <c r="L502" s="67"/>
    </row>
    <row r="503" spans="2:12" hidden="1">
      <c r="B503" s="63"/>
      <c r="C503" s="1001" t="s">
        <v>188</v>
      </c>
      <c r="D503" s="1001"/>
      <c r="E503" s="1001"/>
      <c r="F503" s="68">
        <v>1</v>
      </c>
      <c r="G503" s="68">
        <v>0.6</v>
      </c>
      <c r="H503" s="68">
        <v>0.15</v>
      </c>
      <c r="I503" s="68">
        <v>0.15</v>
      </c>
      <c r="J503" s="68"/>
      <c r="K503" s="226">
        <f>TRUNC(G503*H503*F503*I503,2)</f>
        <v>0.01</v>
      </c>
      <c r="L503" s="67"/>
    </row>
    <row r="504" spans="2:12" hidden="1">
      <c r="B504" s="63"/>
      <c r="C504" s="1002" t="s">
        <v>116</v>
      </c>
      <c r="D504" s="1002"/>
      <c r="E504" s="1002"/>
      <c r="F504" s="1002"/>
      <c r="G504" s="1002"/>
      <c r="H504" s="1002"/>
      <c r="I504" s="1002"/>
      <c r="J504" s="1002"/>
      <c r="K504" s="66">
        <f>SUM(K501:K503)</f>
        <v>0.05</v>
      </c>
      <c r="L504" s="67"/>
    </row>
    <row r="505" spans="2:12" hidden="1"/>
    <row r="506" spans="2:12" ht="15" hidden="1" customHeight="1">
      <c r="B506" s="60" t="str">
        <f>'[6]PLANILHA ORÇAMENTÁRIA'!D133</f>
        <v>14.3.4</v>
      </c>
      <c r="C506" s="1003" t="str">
        <f>'[6]PLANILHA ORÇAMENTÁRIA'!E133</f>
        <v>TUBO DE AÇO GALVANIZADO COM COSTURA 2" - FORNECIMENTO E INSTALACAO. - M</v>
      </c>
      <c r="D506" s="1003"/>
      <c r="E506" s="1003"/>
      <c r="F506" s="1003"/>
      <c r="G506" s="1003"/>
      <c r="H506" s="1003"/>
      <c r="I506" s="1003"/>
      <c r="J506" s="1003"/>
      <c r="K506" s="61" t="str">
        <f>'[6]PLANILHA ORÇAMENTÁRIA'!F133</f>
        <v>M</v>
      </c>
      <c r="L506" s="62">
        <f>K510</f>
        <v>13.2</v>
      </c>
    </row>
    <row r="507" spans="2:12" hidden="1">
      <c r="B507" s="63"/>
      <c r="C507" s="1004" t="s">
        <v>20</v>
      </c>
      <c r="D507" s="1004"/>
      <c r="E507" s="1004"/>
      <c r="F507" s="64" t="s">
        <v>22</v>
      </c>
      <c r="G507" s="225" t="s">
        <v>111</v>
      </c>
      <c r="H507" s="64" t="s">
        <v>112</v>
      </c>
      <c r="I507" s="225" t="s">
        <v>113</v>
      </c>
      <c r="J507" s="225" t="s">
        <v>114</v>
      </c>
      <c r="K507" s="66" t="s">
        <v>25</v>
      </c>
      <c r="L507" s="67"/>
    </row>
    <row r="508" spans="2:12" hidden="1">
      <c r="B508" s="63"/>
      <c r="C508" s="1001" t="s">
        <v>189</v>
      </c>
      <c r="D508" s="1001"/>
      <c r="E508" s="1001"/>
      <c r="F508" s="68">
        <v>1</v>
      </c>
      <c r="G508" s="68"/>
      <c r="H508" s="68"/>
      <c r="I508" s="68">
        <v>10.199999999999999</v>
      </c>
      <c r="J508" s="68"/>
      <c r="K508" s="226">
        <f>F508*I508</f>
        <v>10.199999999999999</v>
      </c>
      <c r="L508" s="67"/>
    </row>
    <row r="509" spans="2:12" hidden="1">
      <c r="B509" s="63"/>
      <c r="C509" s="1005" t="s">
        <v>190</v>
      </c>
      <c r="D509" s="1006"/>
      <c r="E509" s="1007"/>
      <c r="F509" s="68">
        <v>3</v>
      </c>
      <c r="G509" s="68"/>
      <c r="H509" s="68"/>
      <c r="I509" s="68">
        <v>1</v>
      </c>
      <c r="J509" s="68"/>
      <c r="K509" s="226">
        <f>F509*I509</f>
        <v>3</v>
      </c>
      <c r="L509" s="67"/>
    </row>
    <row r="510" spans="2:12" hidden="1">
      <c r="B510" s="63"/>
      <c r="C510" s="1002" t="s">
        <v>116</v>
      </c>
      <c r="D510" s="1002"/>
      <c r="E510" s="1002"/>
      <c r="F510" s="1002"/>
      <c r="G510" s="1002"/>
      <c r="H510" s="1002"/>
      <c r="I510" s="1002"/>
      <c r="J510" s="1002"/>
      <c r="K510" s="66">
        <f>SUM(K508:K509)</f>
        <v>13.2</v>
      </c>
      <c r="L510" s="67"/>
    </row>
    <row r="511" spans="2:12" hidden="1">
      <c r="B511" s="63"/>
      <c r="C511" s="71"/>
      <c r="D511" s="71"/>
      <c r="E511" s="71"/>
      <c r="F511" s="71"/>
      <c r="G511" s="71"/>
      <c r="H511" s="71"/>
      <c r="I511" s="71"/>
      <c r="J511" s="71"/>
      <c r="K511" s="73"/>
      <c r="L511" s="67"/>
    </row>
    <row r="512" spans="2:12" ht="15" hidden="1" customHeight="1">
      <c r="B512" s="60" t="str">
        <f>'[6]PLANILHA ORÇAMENTÁRIA'!D134</f>
        <v>14.3.5</v>
      </c>
      <c r="C512" s="1003" t="str">
        <f>'[6]PLANILHA ORÇAMENTÁRIA'!E134</f>
        <v>PINTURA ESMALTE ALTO BRILHO, DUAS DEMAOS, SOBRE SUPERFICIE METALICA</v>
      </c>
      <c r="D512" s="1003"/>
      <c r="E512" s="1003"/>
      <c r="F512" s="1003"/>
      <c r="G512" s="1003"/>
      <c r="H512" s="1003"/>
      <c r="I512" s="1003"/>
      <c r="J512" s="1003"/>
      <c r="K512" s="61" t="str">
        <f>'[6]PLANILHA ORÇAMENTÁRIA'!F134</f>
        <v>M2</v>
      </c>
      <c r="L512" s="62">
        <f>K516</f>
        <v>1.63</v>
      </c>
    </row>
    <row r="513" spans="2:12" hidden="1">
      <c r="B513" s="63"/>
      <c r="C513" s="1004" t="s">
        <v>20</v>
      </c>
      <c r="D513" s="1004"/>
      <c r="E513" s="1004"/>
      <c r="F513" s="64" t="s">
        <v>22</v>
      </c>
      <c r="G513" s="225" t="s">
        <v>111</v>
      </c>
      <c r="H513" s="64" t="s">
        <v>178</v>
      </c>
      <c r="I513" s="225" t="s">
        <v>113</v>
      </c>
      <c r="J513" s="225" t="s">
        <v>114</v>
      </c>
      <c r="K513" s="66" t="s">
        <v>25</v>
      </c>
      <c r="L513" s="67"/>
    </row>
    <row r="514" spans="2:12" hidden="1">
      <c r="B514" s="63"/>
      <c r="C514" s="1001" t="s">
        <v>189</v>
      </c>
      <c r="D514" s="1001"/>
      <c r="E514" s="1001"/>
      <c r="F514" s="68">
        <v>1</v>
      </c>
      <c r="G514" s="68"/>
      <c r="H514" s="75">
        <v>2.5000000000000001E-2</v>
      </c>
      <c r="I514" s="68">
        <v>7.45</v>
      </c>
      <c r="J514" s="68"/>
      <c r="K514" s="226">
        <f>TRUNC((2*3.14*H514*I514)*F514,2)</f>
        <v>1.1599999999999999</v>
      </c>
      <c r="L514" s="67"/>
    </row>
    <row r="515" spans="2:12" hidden="1">
      <c r="B515" s="63"/>
      <c r="C515" s="1005" t="s">
        <v>190</v>
      </c>
      <c r="D515" s="1006"/>
      <c r="E515" s="1007"/>
      <c r="F515" s="68">
        <v>3</v>
      </c>
      <c r="G515" s="68"/>
      <c r="H515" s="75">
        <v>2.5000000000000001E-2</v>
      </c>
      <c r="I515" s="68">
        <v>1</v>
      </c>
      <c r="J515" s="68"/>
      <c r="K515" s="226">
        <f>TRUNC((2*3.14*H515*I515)*F515,2)</f>
        <v>0.47</v>
      </c>
      <c r="L515" s="67"/>
    </row>
    <row r="516" spans="2:12" hidden="1">
      <c r="B516" s="63"/>
      <c r="C516" s="1002" t="s">
        <v>116</v>
      </c>
      <c r="D516" s="1002"/>
      <c r="E516" s="1002"/>
      <c r="F516" s="1002"/>
      <c r="G516" s="1002"/>
      <c r="H516" s="1002"/>
      <c r="I516" s="1002"/>
      <c r="J516" s="1002"/>
      <c r="K516" s="66">
        <f>SUM(K514:K515)</f>
        <v>1.63</v>
      </c>
      <c r="L516" s="67"/>
    </row>
    <row r="517" spans="2:12" hidden="1"/>
    <row r="518" spans="2:12" hidden="1">
      <c r="B518" s="58" t="str">
        <f>'[6]PLANILHA ORÇAMENTÁRIA'!D135</f>
        <v>14.4</v>
      </c>
      <c r="C518" s="1000" t="str">
        <f>'[6]PLANILHA ORÇAMENTÁRIA'!E135</f>
        <v>ESPALDAR SIMPLES</v>
      </c>
      <c r="D518" s="1000"/>
      <c r="E518" s="1000"/>
      <c r="F518" s="1000"/>
      <c r="G518" s="1000"/>
      <c r="H518" s="1000"/>
      <c r="I518" s="1000"/>
      <c r="J518" s="1000"/>
      <c r="K518" s="59"/>
      <c r="L518" s="59"/>
    </row>
    <row r="519" spans="2:12" ht="15" hidden="1" customHeight="1">
      <c r="B519" s="60" t="str">
        <f>'[6]PLANILHA ORÇAMENTÁRIA'!D136</f>
        <v>14.4.1</v>
      </c>
      <c r="C519" s="1003" t="str">
        <f>'[6]PLANILHA ORÇAMENTÁRIA'!E136</f>
        <v>ESCAVAÇÃO MANUAL DE VALA COM PROFUNDIDADE MENOR OU IGUAL A 1,30 M</v>
      </c>
      <c r="D519" s="1003"/>
      <c r="E519" s="1003"/>
      <c r="F519" s="1003"/>
      <c r="G519" s="1003"/>
      <c r="H519" s="1003"/>
      <c r="I519" s="1003"/>
      <c r="J519" s="1003"/>
      <c r="K519" s="61" t="str">
        <f>'[6]PLANILHA ORÇAMENTÁRIA'!F136</f>
        <v>M3</v>
      </c>
      <c r="L519" s="62">
        <f>K522</f>
        <v>3.5999999999999997E-2</v>
      </c>
    </row>
    <row r="520" spans="2:12" hidden="1">
      <c r="B520" s="63"/>
      <c r="C520" s="1004" t="s">
        <v>20</v>
      </c>
      <c r="D520" s="1004"/>
      <c r="E520" s="1004"/>
      <c r="F520" s="64" t="s">
        <v>22</v>
      </c>
      <c r="G520" s="225" t="s">
        <v>111</v>
      </c>
      <c r="H520" s="64" t="s">
        <v>112</v>
      </c>
      <c r="I520" s="225" t="s">
        <v>113</v>
      </c>
      <c r="J520" s="225" t="s">
        <v>114</v>
      </c>
      <c r="K520" s="66" t="s">
        <v>25</v>
      </c>
      <c r="L520" s="67"/>
    </row>
    <row r="521" spans="2:12" hidden="1">
      <c r="B521" s="63"/>
      <c r="C521" s="1001" t="s">
        <v>174</v>
      </c>
      <c r="D521" s="1001"/>
      <c r="E521" s="1001"/>
      <c r="F521" s="68">
        <v>2</v>
      </c>
      <c r="G521" s="68">
        <v>0.8</v>
      </c>
      <c r="H521" s="68">
        <v>0.15</v>
      </c>
      <c r="I521" s="68">
        <v>0.15</v>
      </c>
      <c r="J521" s="68"/>
      <c r="K521" s="69">
        <f>PRODUCT(F521:I521)</f>
        <v>3.5999999999999997E-2</v>
      </c>
      <c r="L521" s="67"/>
    </row>
    <row r="522" spans="2:12" hidden="1">
      <c r="B522" s="63"/>
      <c r="C522" s="1002" t="s">
        <v>116</v>
      </c>
      <c r="D522" s="1002"/>
      <c r="E522" s="1002"/>
      <c r="F522" s="1002"/>
      <c r="G522" s="1002"/>
      <c r="H522" s="1002"/>
      <c r="I522" s="1002"/>
      <c r="J522" s="1002"/>
      <c r="K522" s="70">
        <f>SUM(K521:K521)</f>
        <v>3.5999999999999997E-2</v>
      </c>
      <c r="L522" s="67"/>
    </row>
    <row r="523" spans="2:12" hidden="1">
      <c r="B523" s="63"/>
      <c r="C523" s="71"/>
      <c r="D523" s="71"/>
      <c r="E523" s="71"/>
      <c r="F523" s="71"/>
      <c r="G523" s="71"/>
      <c r="H523" s="71"/>
      <c r="I523" s="71"/>
      <c r="J523" s="71"/>
      <c r="K523" s="72"/>
      <c r="L523" s="67"/>
    </row>
    <row r="524" spans="2:12" ht="15" hidden="1" customHeight="1">
      <c r="B524" s="60" t="str">
        <f>'[6]PLANILHA ORÇAMENTÁRIA'!D137</f>
        <v>14.4.2</v>
      </c>
      <c r="C524" s="1003" t="str">
        <f>'[6]PLANILHA ORÇAMENTÁRIA'!E137</f>
        <v>LASTRO DE CONCRETO MAGRO, APLICADO EM PISOS OU RADIERS, ESPESSURA DE 5CM. AF_07_2016</v>
      </c>
      <c r="D524" s="1003"/>
      <c r="E524" s="1003"/>
      <c r="F524" s="1003"/>
      <c r="G524" s="1003"/>
      <c r="H524" s="1003"/>
      <c r="I524" s="1003"/>
      <c r="J524" s="1003"/>
      <c r="K524" s="61" t="str">
        <f>'[6]PLANILHA ORÇAMENTÁRIA'!F137</f>
        <v>M2</v>
      </c>
      <c r="L524" s="62">
        <f>K527</f>
        <v>4.4999999999999998E-2</v>
      </c>
    </row>
    <row r="525" spans="2:12" hidden="1">
      <c r="B525" s="63"/>
      <c r="C525" s="1004" t="s">
        <v>20</v>
      </c>
      <c r="D525" s="1004"/>
      <c r="E525" s="1004"/>
      <c r="F525" s="64" t="s">
        <v>22</v>
      </c>
      <c r="G525" s="225" t="s">
        <v>111</v>
      </c>
      <c r="H525" s="64" t="s">
        <v>112</v>
      </c>
      <c r="I525" s="225" t="s">
        <v>113</v>
      </c>
      <c r="J525" s="225" t="s">
        <v>114</v>
      </c>
      <c r="K525" s="66" t="s">
        <v>25</v>
      </c>
      <c r="L525" s="67"/>
    </row>
    <row r="526" spans="2:12" hidden="1">
      <c r="B526" s="63"/>
      <c r="C526" s="1001"/>
      <c r="D526" s="1001"/>
      <c r="E526" s="1001"/>
      <c r="F526" s="68">
        <v>2</v>
      </c>
      <c r="G526" s="68"/>
      <c r="H526" s="68">
        <v>0.15</v>
      </c>
      <c r="I526" s="68">
        <v>0.15</v>
      </c>
      <c r="J526" s="68"/>
      <c r="K526" s="69">
        <f>PRODUCT(F526:I526)</f>
        <v>4.4999999999999998E-2</v>
      </c>
      <c r="L526" s="67"/>
    </row>
    <row r="527" spans="2:12" hidden="1">
      <c r="B527" s="63"/>
      <c r="C527" s="1002" t="s">
        <v>116</v>
      </c>
      <c r="D527" s="1002"/>
      <c r="E527" s="1002"/>
      <c r="F527" s="1002"/>
      <c r="G527" s="1002"/>
      <c r="H527" s="1002"/>
      <c r="I527" s="1002"/>
      <c r="J527" s="1002"/>
      <c r="K527" s="70">
        <f>SUM(K526:K526)</f>
        <v>4.4999999999999998E-2</v>
      </c>
      <c r="L527" s="67"/>
    </row>
    <row r="528" spans="2:12" hidden="1">
      <c r="B528" s="63"/>
      <c r="C528" s="71"/>
      <c r="D528" s="71"/>
      <c r="E528" s="71"/>
      <c r="F528" s="71"/>
      <c r="G528" s="71"/>
      <c r="H528" s="71"/>
      <c r="I528" s="71"/>
      <c r="J528" s="71"/>
      <c r="K528" s="72"/>
      <c r="L528" s="67"/>
    </row>
    <row r="529" spans="2:12" ht="21.75" hidden="1" customHeight="1">
      <c r="B529" s="60" t="str">
        <f>'[6]PLANILHA ORÇAMENTÁRIA'!D138</f>
        <v>14.4.3</v>
      </c>
      <c r="C529" s="1003" t="str">
        <f>'[6]PLANILHA ORÇAMENTÁRIA'!E138</f>
        <v>CONCRETAGEM DE BLOCOS DE COROAMENTO E VIGAS BALDRAMES, FCK 30 MPA, COM USO DE BOMBA LANÇAMENTO, ADENSAMENTO E ACABAMENTO. AF_06/2017</v>
      </c>
      <c r="D529" s="1003"/>
      <c r="E529" s="1003"/>
      <c r="F529" s="1003"/>
      <c r="G529" s="1003"/>
      <c r="H529" s="1003"/>
      <c r="I529" s="1003"/>
      <c r="J529" s="1003"/>
      <c r="K529" s="61" t="str">
        <f>'[6]PLANILHA ORÇAMENTÁRIA'!F138</f>
        <v>M3</v>
      </c>
      <c r="L529" s="62">
        <f>K532</f>
        <v>0.02</v>
      </c>
    </row>
    <row r="530" spans="2:12" hidden="1">
      <c r="B530" s="63"/>
      <c r="C530" s="1004" t="s">
        <v>20</v>
      </c>
      <c r="D530" s="1004"/>
      <c r="E530" s="1004"/>
      <c r="F530" s="64" t="s">
        <v>22</v>
      </c>
      <c r="G530" s="225" t="s">
        <v>111</v>
      </c>
      <c r="H530" s="64" t="s">
        <v>112</v>
      </c>
      <c r="I530" s="225" t="s">
        <v>113</v>
      </c>
      <c r="J530" s="225" t="s">
        <v>114</v>
      </c>
      <c r="K530" s="66" t="s">
        <v>25</v>
      </c>
      <c r="L530" s="67"/>
    </row>
    <row r="531" spans="2:12" hidden="1">
      <c r="B531" s="63"/>
      <c r="C531" s="1001" t="s">
        <v>191</v>
      </c>
      <c r="D531" s="1001"/>
      <c r="E531" s="1001"/>
      <c r="F531" s="68">
        <v>2</v>
      </c>
      <c r="G531" s="68">
        <v>0.65</v>
      </c>
      <c r="H531" s="68">
        <v>0.15</v>
      </c>
      <c r="I531" s="68">
        <v>0.15</v>
      </c>
      <c r="J531" s="68"/>
      <c r="K531" s="226">
        <f>TRUNC(G531*H531*F531*I531,2)</f>
        <v>0.02</v>
      </c>
      <c r="L531" s="67"/>
    </row>
    <row r="532" spans="2:12" hidden="1">
      <c r="B532" s="63"/>
      <c r="C532" s="1002" t="s">
        <v>116</v>
      </c>
      <c r="D532" s="1002"/>
      <c r="E532" s="1002"/>
      <c r="F532" s="1002"/>
      <c r="G532" s="1002"/>
      <c r="H532" s="1002"/>
      <c r="I532" s="1002"/>
      <c r="J532" s="1002"/>
      <c r="K532" s="66">
        <f>SUM(K531:K531)</f>
        <v>0.02</v>
      </c>
      <c r="L532" s="67"/>
    </row>
    <row r="533" spans="2:12" hidden="1"/>
    <row r="534" spans="2:12" ht="15" hidden="1" customHeight="1">
      <c r="B534" s="60" t="str">
        <f>'[6]PLANILHA ORÇAMENTÁRIA'!D139</f>
        <v>14.4.4</v>
      </c>
      <c r="C534" s="1003" t="str">
        <f>'[6]PLANILHA ORÇAMENTÁRIA'!E139</f>
        <v>TUBO DE AÇO GALVANIZADO COM COSTURA 2" - FORNECIMENTO E INSTALACAO. - M</v>
      </c>
      <c r="D534" s="1003"/>
      <c r="E534" s="1003"/>
      <c r="F534" s="1003"/>
      <c r="G534" s="1003"/>
      <c r="H534" s="1003"/>
      <c r="I534" s="1003"/>
      <c r="J534" s="1003"/>
      <c r="K534" s="61" t="str">
        <f>'[6]PLANILHA ORÇAMENTÁRIA'!F139</f>
        <v>M</v>
      </c>
      <c r="L534" s="62">
        <f>K538</f>
        <v>12.2</v>
      </c>
    </row>
    <row r="535" spans="2:12" hidden="1">
      <c r="B535" s="63"/>
      <c r="C535" s="1004" t="s">
        <v>20</v>
      </c>
      <c r="D535" s="1004"/>
      <c r="E535" s="1004"/>
      <c r="F535" s="64" t="s">
        <v>22</v>
      </c>
      <c r="G535" s="225" t="s">
        <v>111</v>
      </c>
      <c r="H535" s="64" t="s">
        <v>112</v>
      </c>
      <c r="I535" s="225" t="s">
        <v>113</v>
      </c>
      <c r="J535" s="225" t="s">
        <v>114</v>
      </c>
      <c r="K535" s="66" t="s">
        <v>25</v>
      </c>
      <c r="L535" s="67"/>
    </row>
    <row r="536" spans="2:12" hidden="1">
      <c r="B536" s="63"/>
      <c r="C536" s="1001" t="s">
        <v>189</v>
      </c>
      <c r="D536" s="1001"/>
      <c r="E536" s="1001"/>
      <c r="F536" s="68">
        <v>2</v>
      </c>
      <c r="G536" s="68"/>
      <c r="H536" s="68"/>
      <c r="I536" s="68">
        <v>2.6</v>
      </c>
      <c r="J536" s="68"/>
      <c r="K536" s="226">
        <f>F536*I536</f>
        <v>5.2</v>
      </c>
      <c r="L536" s="67"/>
    </row>
    <row r="537" spans="2:12" hidden="1">
      <c r="B537" s="63"/>
      <c r="C537" s="1005" t="s">
        <v>190</v>
      </c>
      <c r="D537" s="1006"/>
      <c r="E537" s="1007"/>
      <c r="F537" s="68">
        <v>7</v>
      </c>
      <c r="G537" s="68"/>
      <c r="H537" s="68"/>
      <c r="I537" s="68">
        <v>1</v>
      </c>
      <c r="J537" s="68"/>
      <c r="K537" s="226">
        <f>F537*I537</f>
        <v>7</v>
      </c>
      <c r="L537" s="67"/>
    </row>
    <row r="538" spans="2:12" hidden="1">
      <c r="B538" s="63"/>
      <c r="C538" s="1002" t="s">
        <v>116</v>
      </c>
      <c r="D538" s="1002"/>
      <c r="E538" s="1002"/>
      <c r="F538" s="1002"/>
      <c r="G538" s="1002"/>
      <c r="H538" s="1002"/>
      <c r="I538" s="1002"/>
      <c r="J538" s="1002"/>
      <c r="K538" s="66">
        <f>SUM(K536:K537)</f>
        <v>12.2</v>
      </c>
      <c r="L538" s="67"/>
    </row>
    <row r="539" spans="2:12" hidden="1">
      <c r="B539" s="63"/>
      <c r="C539" s="71"/>
      <c r="D539" s="71"/>
      <c r="E539" s="71"/>
      <c r="F539" s="71"/>
      <c r="G539" s="71"/>
      <c r="H539" s="71"/>
      <c r="I539" s="71"/>
      <c r="J539" s="71"/>
      <c r="K539" s="73"/>
      <c r="L539" s="67"/>
    </row>
    <row r="540" spans="2:12" ht="15" hidden="1" customHeight="1">
      <c r="B540" s="60" t="str">
        <f>'[6]PLANILHA ORÇAMENTÁRIA'!D140</f>
        <v>14.4.5</v>
      </c>
      <c r="C540" s="1003" t="str">
        <f>'[6]PLANILHA ORÇAMENTÁRIA'!E140</f>
        <v>PINTURA ESMALTE ALTO BRILHO, DUAS DEMAOS, SOBRE SUPERFICIE METALICA</v>
      </c>
      <c r="D540" s="1003"/>
      <c r="E540" s="1003"/>
      <c r="F540" s="1003"/>
      <c r="G540" s="1003"/>
      <c r="H540" s="1003"/>
      <c r="I540" s="1003"/>
      <c r="J540" s="1003"/>
      <c r="K540" s="61" t="str">
        <f>'[6]PLANILHA ORÇAMENTÁRIA'!F140</f>
        <v>M2</v>
      </c>
      <c r="L540" s="62">
        <f>K544</f>
        <v>1.7000000000000002</v>
      </c>
    </row>
    <row r="541" spans="2:12" hidden="1">
      <c r="B541" s="63"/>
      <c r="C541" s="1004" t="s">
        <v>20</v>
      </c>
      <c r="D541" s="1004"/>
      <c r="E541" s="1004"/>
      <c r="F541" s="64" t="s">
        <v>22</v>
      </c>
      <c r="G541" s="225" t="s">
        <v>111</v>
      </c>
      <c r="H541" s="64" t="s">
        <v>178</v>
      </c>
      <c r="I541" s="225" t="s">
        <v>113</v>
      </c>
      <c r="J541" s="225" t="s">
        <v>114</v>
      </c>
      <c r="K541" s="66" t="s">
        <v>25</v>
      </c>
      <c r="L541" s="67"/>
    </row>
    <row r="542" spans="2:12" hidden="1">
      <c r="B542" s="63"/>
      <c r="C542" s="1001" t="s">
        <v>189</v>
      </c>
      <c r="D542" s="1001"/>
      <c r="E542" s="1001"/>
      <c r="F542" s="68">
        <v>2</v>
      </c>
      <c r="G542" s="68"/>
      <c r="H542" s="75">
        <v>2.5000000000000001E-2</v>
      </c>
      <c r="I542" s="68">
        <v>1.95</v>
      </c>
      <c r="J542" s="68"/>
      <c r="K542" s="226">
        <f>TRUNC((2*3.14*H542*I542)*F542,2)</f>
        <v>0.61</v>
      </c>
      <c r="L542" s="67"/>
    </row>
    <row r="543" spans="2:12" hidden="1">
      <c r="B543" s="63"/>
      <c r="C543" s="1005" t="s">
        <v>190</v>
      </c>
      <c r="D543" s="1006"/>
      <c r="E543" s="1007"/>
      <c r="F543" s="68">
        <v>7</v>
      </c>
      <c r="G543" s="68"/>
      <c r="H543" s="75">
        <v>2.5000000000000001E-2</v>
      </c>
      <c r="I543" s="68">
        <v>1</v>
      </c>
      <c r="J543" s="68"/>
      <c r="K543" s="226">
        <f>TRUNC((2*3.14*H543*I543)*F543,2)</f>
        <v>1.0900000000000001</v>
      </c>
      <c r="L543" s="67"/>
    </row>
    <row r="544" spans="2:12" hidden="1">
      <c r="B544" s="63"/>
      <c r="C544" s="1002" t="s">
        <v>116</v>
      </c>
      <c r="D544" s="1002"/>
      <c r="E544" s="1002"/>
      <c r="F544" s="1002"/>
      <c r="G544" s="1002"/>
      <c r="H544" s="1002"/>
      <c r="I544" s="1002"/>
      <c r="J544" s="1002"/>
      <c r="K544" s="66">
        <f>SUM(K542:K543)</f>
        <v>1.7000000000000002</v>
      </c>
      <c r="L544" s="67"/>
    </row>
    <row r="545" spans="2:12" hidden="1"/>
    <row r="546" spans="2:12" hidden="1">
      <c r="B546" s="58" t="str">
        <f>'[6]PLANILHA ORÇAMENTÁRIA'!D141</f>
        <v>14.5</v>
      </c>
      <c r="C546" s="1000" t="str">
        <f>'[6]PLANILHA ORÇAMENTÁRIA'!E141</f>
        <v>BARRA DE APOIO</v>
      </c>
      <c r="D546" s="1000"/>
      <c r="E546" s="1000"/>
      <c r="F546" s="1000"/>
      <c r="G546" s="1000"/>
      <c r="H546" s="1000"/>
      <c r="I546" s="1000"/>
      <c r="J546" s="1000"/>
      <c r="K546" s="59"/>
      <c r="L546" s="59"/>
    </row>
    <row r="547" spans="2:12" ht="15" hidden="1" customHeight="1">
      <c r="B547" s="60" t="str">
        <f>'[6]PLANILHA ORÇAMENTÁRIA'!D142</f>
        <v>14.5.1</v>
      </c>
      <c r="C547" s="1003" t="str">
        <f>'[6]PLANILHA ORÇAMENTÁRIA'!E142</f>
        <v>ESCAVAÇÃO MANUAL DE VALA COM PROFUNDIDADE MENOR OU IGUAL A 1,30 M</v>
      </c>
      <c r="D547" s="1003"/>
      <c r="E547" s="1003"/>
      <c r="F547" s="1003"/>
      <c r="G547" s="1003"/>
      <c r="H547" s="1003"/>
      <c r="I547" s="1003"/>
      <c r="J547" s="1003"/>
      <c r="K547" s="61" t="str">
        <f>'[6]PLANILHA ORÇAMENTÁRIA'!F142</f>
        <v>M3</v>
      </c>
      <c r="L547" s="62">
        <f>K550</f>
        <v>4.9500000000000002E-2</v>
      </c>
    </row>
    <row r="548" spans="2:12" hidden="1">
      <c r="B548" s="63"/>
      <c r="C548" s="1004" t="s">
        <v>20</v>
      </c>
      <c r="D548" s="1004"/>
      <c r="E548" s="1004"/>
      <c r="F548" s="64" t="s">
        <v>22</v>
      </c>
      <c r="G548" s="225" t="s">
        <v>111</v>
      </c>
      <c r="H548" s="64" t="s">
        <v>112</v>
      </c>
      <c r="I548" s="225" t="s">
        <v>113</v>
      </c>
      <c r="J548" s="225" t="s">
        <v>114</v>
      </c>
      <c r="K548" s="66" t="s">
        <v>25</v>
      </c>
      <c r="L548" s="67"/>
    </row>
    <row r="549" spans="2:12" hidden="1">
      <c r="B549" s="63"/>
      <c r="C549" s="1001" t="s">
        <v>174</v>
      </c>
      <c r="D549" s="1001"/>
      <c r="E549" s="1001"/>
      <c r="F549" s="68">
        <v>4</v>
      </c>
      <c r="G549" s="68">
        <v>0.55000000000000004</v>
      </c>
      <c r="H549" s="68">
        <v>0.15</v>
      </c>
      <c r="I549" s="68">
        <v>0.15</v>
      </c>
      <c r="J549" s="68"/>
      <c r="K549" s="69">
        <f>PRODUCT(F549:I549)</f>
        <v>4.9500000000000002E-2</v>
      </c>
      <c r="L549" s="67"/>
    </row>
    <row r="550" spans="2:12" hidden="1">
      <c r="B550" s="63"/>
      <c r="C550" s="1002" t="s">
        <v>116</v>
      </c>
      <c r="D550" s="1002"/>
      <c r="E550" s="1002"/>
      <c r="F550" s="1002"/>
      <c r="G550" s="1002"/>
      <c r="H550" s="1002"/>
      <c r="I550" s="1002"/>
      <c r="J550" s="1002"/>
      <c r="K550" s="70">
        <f>SUM(K549:K549)</f>
        <v>4.9500000000000002E-2</v>
      </c>
      <c r="L550" s="67"/>
    </row>
    <row r="551" spans="2:12" hidden="1">
      <c r="B551" s="63"/>
      <c r="C551" s="71"/>
      <c r="D551" s="71"/>
      <c r="E551" s="71"/>
      <c r="F551" s="71"/>
      <c r="G551" s="71"/>
      <c r="H551" s="71"/>
      <c r="I551" s="71"/>
      <c r="J551" s="71"/>
      <c r="K551" s="72"/>
      <c r="L551" s="67"/>
    </row>
    <row r="552" spans="2:12" ht="15" hidden="1" customHeight="1">
      <c r="B552" s="60" t="str">
        <f>'[6]PLANILHA ORÇAMENTÁRIA'!D143</f>
        <v>14.5.2</v>
      </c>
      <c r="C552" s="1003" t="str">
        <f>'[6]PLANILHA ORÇAMENTÁRIA'!E143</f>
        <v>LASTRO DE CONCRETO MAGRO, APLICADO EM PISOS OU RADIERS, ESPESSURA DE 5CM. AF_07_2016</v>
      </c>
      <c r="D552" s="1003"/>
      <c r="E552" s="1003"/>
      <c r="F552" s="1003"/>
      <c r="G552" s="1003"/>
      <c r="H552" s="1003"/>
      <c r="I552" s="1003"/>
      <c r="J552" s="1003"/>
      <c r="K552" s="61" t="str">
        <f>'[6]PLANILHA ORÇAMENTÁRIA'!F143</f>
        <v>M2</v>
      </c>
      <c r="L552" s="62">
        <f>K555</f>
        <v>0.09</v>
      </c>
    </row>
    <row r="553" spans="2:12" hidden="1">
      <c r="B553" s="63"/>
      <c r="C553" s="1004" t="s">
        <v>20</v>
      </c>
      <c r="D553" s="1004"/>
      <c r="E553" s="1004"/>
      <c r="F553" s="64" t="s">
        <v>22</v>
      </c>
      <c r="G553" s="225" t="s">
        <v>111</v>
      </c>
      <c r="H553" s="64" t="s">
        <v>112</v>
      </c>
      <c r="I553" s="225" t="s">
        <v>113</v>
      </c>
      <c r="J553" s="225" t="s">
        <v>114</v>
      </c>
      <c r="K553" s="66" t="s">
        <v>25</v>
      </c>
      <c r="L553" s="67"/>
    </row>
    <row r="554" spans="2:12" hidden="1">
      <c r="B554" s="63"/>
      <c r="C554" s="1001"/>
      <c r="D554" s="1001"/>
      <c r="E554" s="1001"/>
      <c r="F554" s="68">
        <v>4</v>
      </c>
      <c r="G554" s="68"/>
      <c r="H554" s="68">
        <v>0.15</v>
      </c>
      <c r="I554" s="68">
        <v>0.15</v>
      </c>
      <c r="J554" s="68"/>
      <c r="K554" s="69">
        <f>PRODUCT(F554:I554)</f>
        <v>0.09</v>
      </c>
      <c r="L554" s="67"/>
    </row>
    <row r="555" spans="2:12" hidden="1">
      <c r="B555" s="63"/>
      <c r="C555" s="1002" t="s">
        <v>116</v>
      </c>
      <c r="D555" s="1002"/>
      <c r="E555" s="1002"/>
      <c r="F555" s="1002"/>
      <c r="G555" s="1002"/>
      <c r="H555" s="1002"/>
      <c r="I555" s="1002"/>
      <c r="J555" s="1002"/>
      <c r="K555" s="70">
        <f>SUM(K554:K554)</f>
        <v>0.09</v>
      </c>
      <c r="L555" s="67"/>
    </row>
    <row r="556" spans="2:12" ht="17.25" hidden="1" customHeight="1">
      <c r="B556" s="63"/>
      <c r="C556" s="71"/>
      <c r="D556" s="71"/>
      <c r="E556" s="71"/>
      <c r="F556" s="71"/>
      <c r="G556" s="71"/>
      <c r="H556" s="71"/>
      <c r="I556" s="71"/>
      <c r="J556" s="71"/>
      <c r="K556" s="72"/>
      <c r="L556" s="67"/>
    </row>
    <row r="557" spans="2:12" ht="22.5" hidden="1" customHeight="1">
      <c r="B557" s="60" t="str">
        <f>'[6]PLANILHA ORÇAMENTÁRIA'!D144</f>
        <v>14.5.3</v>
      </c>
      <c r="C557" s="1003" t="str">
        <f>'[6]PLANILHA ORÇAMENTÁRIA'!E144</f>
        <v>CONCRETAGEM DE BLOCOS DE COROAMENTO E VIGAS BALDRAMES, FCK 30 MPA, COM USO DE BOMBA LANÇAMENTO, ADENSAMENTO E ACABAMENTO. AF_06/2017</v>
      </c>
      <c r="D557" s="1003"/>
      <c r="E557" s="1003"/>
      <c r="F557" s="1003"/>
      <c r="G557" s="1003"/>
      <c r="H557" s="1003"/>
      <c r="I557" s="1003"/>
      <c r="J557" s="1003"/>
      <c r="K557" s="61" t="str">
        <f>'[6]PLANILHA ORÇAMENTÁRIA'!F144</f>
        <v>M3</v>
      </c>
      <c r="L557" s="62">
        <f>K560</f>
        <v>0.03</v>
      </c>
    </row>
    <row r="558" spans="2:12" hidden="1">
      <c r="B558" s="63"/>
      <c r="C558" s="1004" t="s">
        <v>20</v>
      </c>
      <c r="D558" s="1004"/>
      <c r="E558" s="1004"/>
      <c r="F558" s="64" t="s">
        <v>22</v>
      </c>
      <c r="G558" s="225" t="s">
        <v>111</v>
      </c>
      <c r="H558" s="64" t="s">
        <v>112</v>
      </c>
      <c r="I558" s="225" t="s">
        <v>113</v>
      </c>
      <c r="J558" s="225" t="s">
        <v>114</v>
      </c>
      <c r="K558" s="66" t="s">
        <v>25</v>
      </c>
      <c r="L558" s="67"/>
    </row>
    <row r="559" spans="2:12" hidden="1">
      <c r="B559" s="63"/>
      <c r="C559" s="1001" t="s">
        <v>191</v>
      </c>
      <c r="D559" s="1001"/>
      <c r="E559" s="1001"/>
      <c r="F559" s="68">
        <v>4</v>
      </c>
      <c r="G559" s="68">
        <v>0.4</v>
      </c>
      <c r="H559" s="68">
        <v>0.15</v>
      </c>
      <c r="I559" s="68">
        <v>0.15</v>
      </c>
      <c r="J559" s="68"/>
      <c r="K559" s="226">
        <f>TRUNC(G559*H559*F559*I559,2)</f>
        <v>0.03</v>
      </c>
      <c r="L559" s="67"/>
    </row>
    <row r="560" spans="2:12" hidden="1">
      <c r="B560" s="63"/>
      <c r="C560" s="1002" t="s">
        <v>116</v>
      </c>
      <c r="D560" s="1002"/>
      <c r="E560" s="1002"/>
      <c r="F560" s="1002"/>
      <c r="G560" s="1002"/>
      <c r="H560" s="1002"/>
      <c r="I560" s="1002"/>
      <c r="J560" s="1002"/>
      <c r="K560" s="66">
        <f>SUM(K559:K559)</f>
        <v>0.03</v>
      </c>
      <c r="L560" s="67"/>
    </row>
    <row r="561" spans="2:12" ht="18" hidden="1" customHeight="1"/>
    <row r="562" spans="2:12" ht="15" hidden="1" customHeight="1">
      <c r="B562" s="60" t="str">
        <f>'[6]PLANILHA ORÇAMENTÁRIA'!D145</f>
        <v>14.5.4</v>
      </c>
      <c r="C562" s="1003" t="str">
        <f>'[6]PLANILHA ORÇAMENTÁRIA'!E145</f>
        <v>TUBO DE AÇO GALVANIZADO COM COSTURA 2" - FORNECIMENTO E INSTALACAO. - M</v>
      </c>
      <c r="D562" s="1003"/>
      <c r="E562" s="1003"/>
      <c r="F562" s="1003"/>
      <c r="G562" s="1003"/>
      <c r="H562" s="1003"/>
      <c r="I562" s="1003"/>
      <c r="J562" s="1003"/>
      <c r="K562" s="61" t="str">
        <f>'[6]PLANILHA ORÇAMENTÁRIA'!F145</f>
        <v>M</v>
      </c>
      <c r="L562" s="62">
        <f>K566</f>
        <v>14</v>
      </c>
    </row>
    <row r="563" spans="2:12" hidden="1">
      <c r="B563" s="63"/>
      <c r="C563" s="1004" t="s">
        <v>20</v>
      </c>
      <c r="D563" s="1004"/>
      <c r="E563" s="1004"/>
      <c r="F563" s="64" t="s">
        <v>22</v>
      </c>
      <c r="G563" s="225" t="s">
        <v>111</v>
      </c>
      <c r="H563" s="64" t="s">
        <v>112</v>
      </c>
      <c r="I563" s="225" t="s">
        <v>113</v>
      </c>
      <c r="J563" s="225" t="s">
        <v>114</v>
      </c>
      <c r="K563" s="66" t="s">
        <v>25</v>
      </c>
      <c r="L563" s="67"/>
    </row>
    <row r="564" spans="2:12" hidden="1">
      <c r="B564" s="63"/>
      <c r="C564" s="1001" t="s">
        <v>189</v>
      </c>
      <c r="D564" s="1001"/>
      <c r="E564" s="1001"/>
      <c r="F564" s="68">
        <v>4</v>
      </c>
      <c r="G564" s="68"/>
      <c r="H564" s="68"/>
      <c r="I564" s="68">
        <v>1.6</v>
      </c>
      <c r="J564" s="68"/>
      <c r="K564" s="226">
        <f>F564*I564</f>
        <v>6.4</v>
      </c>
      <c r="L564" s="67"/>
    </row>
    <row r="565" spans="2:12" hidden="1">
      <c r="B565" s="63"/>
      <c r="C565" s="1005" t="s">
        <v>190</v>
      </c>
      <c r="D565" s="1006"/>
      <c r="E565" s="1007"/>
      <c r="F565" s="68">
        <v>4</v>
      </c>
      <c r="G565" s="68"/>
      <c r="H565" s="68"/>
      <c r="I565" s="68">
        <v>1.9</v>
      </c>
      <c r="J565" s="68"/>
      <c r="K565" s="226">
        <f>F565*I565</f>
        <v>7.6</v>
      </c>
      <c r="L565" s="67"/>
    </row>
    <row r="566" spans="2:12" hidden="1">
      <c r="B566" s="63"/>
      <c r="C566" s="1002" t="s">
        <v>116</v>
      </c>
      <c r="D566" s="1002"/>
      <c r="E566" s="1002"/>
      <c r="F566" s="1002"/>
      <c r="G566" s="1002"/>
      <c r="H566" s="1002"/>
      <c r="I566" s="1002"/>
      <c r="J566" s="1002"/>
      <c r="K566" s="66">
        <f>SUM(K564:K565)</f>
        <v>14</v>
      </c>
      <c r="L566" s="67"/>
    </row>
    <row r="567" spans="2:12" hidden="1">
      <c r="B567" s="63"/>
      <c r="C567" s="71"/>
      <c r="D567" s="71"/>
      <c r="E567" s="71"/>
      <c r="F567" s="71"/>
      <c r="G567" s="71"/>
      <c r="H567" s="71"/>
      <c r="I567" s="71"/>
      <c r="J567" s="71"/>
      <c r="K567" s="73"/>
      <c r="L567" s="67"/>
    </row>
    <row r="568" spans="2:12" ht="15" hidden="1" customHeight="1">
      <c r="B568" s="60" t="str">
        <f>'[6]PLANILHA ORÇAMENTÁRIA'!D146</f>
        <v>14.5.5</v>
      </c>
      <c r="C568" s="1003" t="str">
        <f>'[6]PLANILHA ORÇAMENTÁRIA'!E146</f>
        <v>PINTURA ESMALTE ALTO BRILHO, DUAS DEMAOS, SOBRE SUPERFICIE METALICA</v>
      </c>
      <c r="D568" s="1003"/>
      <c r="E568" s="1003"/>
      <c r="F568" s="1003"/>
      <c r="G568" s="1003"/>
      <c r="H568" s="1003"/>
      <c r="I568" s="1003"/>
      <c r="J568" s="1003"/>
      <c r="K568" s="61" t="str">
        <f>'[6]PLANILHA ORÇAMENTÁRIA'!F146</f>
        <v>M2</v>
      </c>
      <c r="L568" s="62">
        <f>K572</f>
        <v>1.94</v>
      </c>
    </row>
    <row r="569" spans="2:12" hidden="1">
      <c r="B569" s="63"/>
      <c r="C569" s="1004" t="s">
        <v>20</v>
      </c>
      <c r="D569" s="1004"/>
      <c r="E569" s="1004"/>
      <c r="F569" s="64" t="s">
        <v>22</v>
      </c>
      <c r="G569" s="225" t="s">
        <v>111</v>
      </c>
      <c r="H569" s="64" t="s">
        <v>178</v>
      </c>
      <c r="I569" s="225" t="s">
        <v>113</v>
      </c>
      <c r="J569" s="225" t="s">
        <v>114</v>
      </c>
      <c r="K569" s="66" t="s">
        <v>25</v>
      </c>
      <c r="L569" s="67"/>
    </row>
    <row r="570" spans="2:12" hidden="1">
      <c r="B570" s="63"/>
      <c r="C570" s="1001" t="s">
        <v>189</v>
      </c>
      <c r="D570" s="1001"/>
      <c r="E570" s="1001"/>
      <c r="F570" s="68">
        <v>4</v>
      </c>
      <c r="G570" s="68"/>
      <c r="H570" s="75">
        <v>2.5000000000000001E-2</v>
      </c>
      <c r="I570" s="68">
        <v>1.2</v>
      </c>
      <c r="J570" s="68"/>
      <c r="K570" s="226">
        <f>TRUNC((2*3.14*H570*I570)*F570,2)</f>
        <v>0.75</v>
      </c>
      <c r="L570" s="67"/>
    </row>
    <row r="571" spans="2:12" hidden="1">
      <c r="B571" s="63"/>
      <c r="C571" s="1005" t="s">
        <v>190</v>
      </c>
      <c r="D571" s="1006"/>
      <c r="E571" s="1007"/>
      <c r="F571" s="68">
        <v>4</v>
      </c>
      <c r="G571" s="68"/>
      <c r="H571" s="75">
        <v>2.5000000000000001E-2</v>
      </c>
      <c r="I571" s="68">
        <v>1.9</v>
      </c>
      <c r="J571" s="68"/>
      <c r="K571" s="226">
        <f>TRUNC((2*3.14*H571*I571)*F571,2)</f>
        <v>1.19</v>
      </c>
      <c r="L571" s="67"/>
    </row>
    <row r="572" spans="2:12" hidden="1">
      <c r="B572" s="63"/>
      <c r="C572" s="1002" t="s">
        <v>116</v>
      </c>
      <c r="D572" s="1002"/>
      <c r="E572" s="1002"/>
      <c r="F572" s="1002"/>
      <c r="G572" s="1002"/>
      <c r="H572" s="1002"/>
      <c r="I572" s="1002"/>
      <c r="J572" s="1002"/>
      <c r="K572" s="66">
        <f>SUM(K570:K571)</f>
        <v>1.94</v>
      </c>
      <c r="L572" s="67"/>
    </row>
    <row r="573" spans="2:12" hidden="1"/>
    <row r="574" spans="2:12" hidden="1">
      <c r="B574" s="58" t="str">
        <f>'[6]PLANILHA ORÇAMENTÁRIA'!D147</f>
        <v>14.6</v>
      </c>
      <c r="C574" s="1000" t="str">
        <f>'[6]PLANILHA ORÇAMENTÁRIA'!E147</f>
        <v>BANCOS DE APOIO</v>
      </c>
      <c r="D574" s="1000"/>
      <c r="E574" s="1000"/>
      <c r="F574" s="1000"/>
      <c r="G574" s="1000"/>
      <c r="H574" s="1000"/>
      <c r="I574" s="1000"/>
      <c r="J574" s="1000"/>
      <c r="K574" s="59"/>
      <c r="L574" s="59"/>
    </row>
    <row r="575" spans="2:12" ht="15" hidden="1" customHeight="1">
      <c r="B575" s="60" t="str">
        <f>'[6]PLANILHA ORÇAMENTÁRIA'!D148</f>
        <v>14.6.1</v>
      </c>
      <c r="C575" s="1003" t="str">
        <f>'[6]PLANILHA ORÇAMENTÁRIA'!E148</f>
        <v>CONJUNTO DE BANCOS, TAMPO EM CONCRETO SIMPLES, DESEMPOLADA H=5OCM, 40CM E 30CM</v>
      </c>
      <c r="D575" s="1003"/>
      <c r="E575" s="1003"/>
      <c r="F575" s="1003"/>
      <c r="G575" s="1003"/>
      <c r="H575" s="1003"/>
      <c r="I575" s="1003"/>
      <c r="J575" s="1003"/>
      <c r="K575" s="61" t="str">
        <f>'[6]PLANILHA ORÇAMENTÁRIA'!F148</f>
        <v>CJ</v>
      </c>
      <c r="L575" s="62">
        <f>K578</f>
        <v>1</v>
      </c>
    </row>
    <row r="576" spans="2:12" hidden="1">
      <c r="B576" s="63"/>
      <c r="C576" s="1004" t="s">
        <v>20</v>
      </c>
      <c r="D576" s="1004"/>
      <c r="E576" s="1004"/>
      <c r="F576" s="64" t="s">
        <v>22</v>
      </c>
      <c r="G576" s="225" t="s">
        <v>111</v>
      </c>
      <c r="H576" s="64" t="s">
        <v>112</v>
      </c>
      <c r="I576" s="225" t="s">
        <v>113</v>
      </c>
      <c r="J576" s="225" t="s">
        <v>114</v>
      </c>
      <c r="K576" s="66" t="s">
        <v>25</v>
      </c>
      <c r="L576" s="67"/>
    </row>
    <row r="577" spans="2:12" hidden="1">
      <c r="B577" s="63"/>
      <c r="C577" s="1001" t="s">
        <v>192</v>
      </c>
      <c r="D577" s="1001"/>
      <c r="E577" s="1001"/>
      <c r="F577" s="68">
        <v>1</v>
      </c>
      <c r="G577" s="68"/>
      <c r="H577" s="68"/>
      <c r="I577" s="68"/>
      <c r="J577" s="68"/>
      <c r="K577" s="69">
        <f>PRODUCT(F577:I577)</f>
        <v>1</v>
      </c>
      <c r="L577" s="67"/>
    </row>
    <row r="578" spans="2:12" hidden="1">
      <c r="B578" s="63"/>
      <c r="C578" s="1002" t="s">
        <v>116</v>
      </c>
      <c r="D578" s="1002"/>
      <c r="E578" s="1002"/>
      <c r="F578" s="1002"/>
      <c r="G578" s="1002"/>
      <c r="H578" s="1002"/>
      <c r="I578" s="1002"/>
      <c r="J578" s="1002"/>
      <c r="K578" s="70">
        <f>SUM(K577:K577)</f>
        <v>1</v>
      </c>
      <c r="L578" s="67"/>
    </row>
    <row r="579" spans="2:12" ht="15" hidden="1" customHeight="1"/>
    <row r="580" spans="2:12" hidden="1">
      <c r="B580" s="58" t="str">
        <f>'[6]PLANILHA ORÇAMENTÁRIA'!D149</f>
        <v>14.7</v>
      </c>
      <c r="C580" s="1000" t="str">
        <f>'[6]PLANILHA ORÇAMENTÁRIA'!E149</f>
        <v>PRANCHAS PARA EXERCICIOS ABDOMINAIS</v>
      </c>
      <c r="D580" s="1000"/>
      <c r="E580" s="1000"/>
      <c r="F580" s="1000"/>
      <c r="G580" s="1000"/>
      <c r="H580" s="1000"/>
      <c r="I580" s="1000"/>
      <c r="J580" s="1000"/>
      <c r="K580" s="59"/>
      <c r="L580" s="59"/>
    </row>
    <row r="581" spans="2:12" ht="26.25" hidden="1" customHeight="1">
      <c r="B581" s="60" t="str">
        <f>'[6]PLANILHA ORÇAMENTÁRIA'!D150</f>
        <v>14.7.1</v>
      </c>
      <c r="C581" s="1003" t="str">
        <f>'[6]PLANILHA ORÇAMENTÁRIA'!E150</f>
        <v>CONJUNTO DE PRANCHAS P/ EXERCICIOS ABDOMINAIS, TAMPO EM CONCRETO SIMPLES, DESEMPOLADA H=80CM, H=5OCM E 40CM</v>
      </c>
      <c r="D581" s="1003"/>
      <c r="E581" s="1003"/>
      <c r="F581" s="1003"/>
      <c r="G581" s="1003"/>
      <c r="H581" s="1003"/>
      <c r="I581" s="1003"/>
      <c r="J581" s="1003"/>
      <c r="K581" s="61" t="str">
        <f>'[6]PLANILHA ORÇAMENTÁRIA'!F150</f>
        <v>CJ</v>
      </c>
      <c r="L581" s="62">
        <f>K584</f>
        <v>1</v>
      </c>
    </row>
    <row r="582" spans="2:12" hidden="1">
      <c r="B582" s="63"/>
      <c r="C582" s="1004" t="s">
        <v>20</v>
      </c>
      <c r="D582" s="1004"/>
      <c r="E582" s="1004"/>
      <c r="F582" s="64" t="s">
        <v>22</v>
      </c>
      <c r="G582" s="225" t="s">
        <v>111</v>
      </c>
      <c r="H582" s="64" t="s">
        <v>112</v>
      </c>
      <c r="I582" s="225" t="s">
        <v>113</v>
      </c>
      <c r="J582" s="225" t="s">
        <v>114</v>
      </c>
      <c r="K582" s="66" t="s">
        <v>25</v>
      </c>
      <c r="L582" s="67"/>
    </row>
    <row r="583" spans="2:12" hidden="1">
      <c r="B583" s="63"/>
      <c r="C583" s="1001" t="s">
        <v>193</v>
      </c>
      <c r="D583" s="1001"/>
      <c r="E583" s="1001"/>
      <c r="F583" s="68">
        <v>1</v>
      </c>
      <c r="G583" s="68"/>
      <c r="H583" s="68"/>
      <c r="I583" s="68"/>
      <c r="J583" s="68"/>
      <c r="K583" s="69">
        <f>PRODUCT(F583:I583)</f>
        <v>1</v>
      </c>
      <c r="L583" s="67"/>
    </row>
    <row r="584" spans="2:12" hidden="1">
      <c r="B584" s="63"/>
      <c r="C584" s="1002" t="s">
        <v>116</v>
      </c>
      <c r="D584" s="1002"/>
      <c r="E584" s="1002"/>
      <c r="F584" s="1002"/>
      <c r="G584" s="1002"/>
      <c r="H584" s="1002"/>
      <c r="I584" s="1002"/>
      <c r="J584" s="1002"/>
      <c r="K584" s="70">
        <f>SUM(K583:K583)</f>
        <v>1</v>
      </c>
      <c r="L584" s="67"/>
    </row>
    <row r="585" spans="2:12" hidden="1">
      <c r="B585" s="63"/>
      <c r="C585" s="71"/>
      <c r="D585" s="71"/>
      <c r="E585" s="71"/>
      <c r="F585" s="71"/>
      <c r="G585" s="71"/>
      <c r="H585" s="71"/>
      <c r="I585" s="71"/>
      <c r="J585" s="71"/>
      <c r="K585" s="72"/>
      <c r="L585" s="67"/>
    </row>
    <row r="586" spans="2:12" hidden="1">
      <c r="B586" s="63"/>
      <c r="C586" s="71"/>
      <c r="D586" s="71"/>
      <c r="E586" s="71"/>
      <c r="F586" s="71"/>
      <c r="G586" s="71"/>
      <c r="H586" s="71"/>
      <c r="I586" s="71"/>
      <c r="J586" s="71"/>
      <c r="K586" s="73"/>
      <c r="L586" s="67"/>
    </row>
    <row r="587" spans="2:12" ht="15" hidden="1" customHeight="1">
      <c r="B587" s="60" t="str">
        <f>'[6]PLANILHA ORÇAMENTÁRIA'!D153</f>
        <v>15.2</v>
      </c>
      <c r="C587" s="1003" t="str">
        <f>'[6]PLANILHA ORÇAMENTÁRIA'!E153</f>
        <v>BARRA DE APOIO RETA, EM ACO INOX POLIDO, COMPRIMENTO 60CM, DIAMETRO MINIMO 3CM</v>
      </c>
      <c r="D587" s="1003"/>
      <c r="E587" s="1003"/>
      <c r="F587" s="1003"/>
      <c r="G587" s="1003"/>
      <c r="H587" s="1003"/>
      <c r="I587" s="1003"/>
      <c r="J587" s="1003"/>
      <c r="K587" s="61" t="str">
        <f>'[6]PLANILHA ORÇAMENTÁRIA'!F153</f>
        <v>UND</v>
      </c>
      <c r="L587" s="62">
        <f>K591</f>
        <v>2</v>
      </c>
    </row>
    <row r="588" spans="2:12" hidden="1">
      <c r="B588" s="63"/>
      <c r="C588" s="1011" t="s">
        <v>20</v>
      </c>
      <c r="D588" s="1012"/>
      <c r="E588" s="1013"/>
      <c r="F588" s="64" t="s">
        <v>22</v>
      </c>
      <c r="G588" s="225" t="s">
        <v>111</v>
      </c>
      <c r="H588" s="225" t="s">
        <v>114</v>
      </c>
      <c r="I588" s="225" t="s">
        <v>113</v>
      </c>
      <c r="J588" s="225" t="s">
        <v>136</v>
      </c>
      <c r="K588" s="66" t="s">
        <v>25</v>
      </c>
      <c r="L588" s="67"/>
    </row>
    <row r="589" spans="2:12" ht="15" hidden="1" customHeight="1">
      <c r="B589" s="63"/>
      <c r="C589" s="1005" t="s">
        <v>170</v>
      </c>
      <c r="D589" s="1006"/>
      <c r="E589" s="1007"/>
      <c r="F589" s="68">
        <v>1</v>
      </c>
      <c r="G589" s="68"/>
      <c r="H589" s="68"/>
      <c r="I589" s="68"/>
      <c r="J589" s="68"/>
      <c r="K589" s="226">
        <f>F589</f>
        <v>1</v>
      </c>
      <c r="L589" s="67"/>
    </row>
    <row r="590" spans="2:12" ht="15" hidden="1" customHeight="1">
      <c r="B590" s="63"/>
      <c r="C590" s="1005" t="s">
        <v>194</v>
      </c>
      <c r="D590" s="1006"/>
      <c r="E590" s="1007"/>
      <c r="F590" s="68">
        <v>1</v>
      </c>
      <c r="G590" s="68"/>
      <c r="H590" s="68"/>
      <c r="I590" s="68"/>
      <c r="J590" s="68"/>
      <c r="K590" s="226">
        <f>F590</f>
        <v>1</v>
      </c>
      <c r="L590" s="67"/>
    </row>
    <row r="591" spans="2:12" hidden="1">
      <c r="B591" s="63"/>
      <c r="C591" s="1008" t="s">
        <v>116</v>
      </c>
      <c r="D591" s="1009"/>
      <c r="E591" s="1009"/>
      <c r="F591" s="1009"/>
      <c r="G591" s="1009"/>
      <c r="H591" s="1009"/>
      <c r="I591" s="1009"/>
      <c r="J591" s="1010"/>
      <c r="K591" s="66">
        <f>SUM(K589:K590)</f>
        <v>2</v>
      </c>
      <c r="L591" s="67"/>
    </row>
    <row r="592" spans="2:12" hidden="1">
      <c r="B592" s="63"/>
      <c r="C592" s="71"/>
      <c r="D592" s="71"/>
      <c r="E592" s="71"/>
      <c r="F592" s="71"/>
      <c r="G592" s="71"/>
      <c r="H592" s="71"/>
      <c r="I592" s="71"/>
      <c r="J592" s="71"/>
      <c r="K592" s="73"/>
      <c r="L592" s="67"/>
    </row>
    <row r="593" spans="2:12" ht="15" hidden="1" customHeight="1">
      <c r="B593" s="60" t="str">
        <f>'[6]PLANILHA ORÇAMENTÁRIA'!D154</f>
        <v>15.3</v>
      </c>
      <c r="C593" s="1003" t="str">
        <f>'[6]PLANILHA ORÇAMENTÁRIA'!E154</f>
        <v>PRATELEIRA EM CONCRETO ARMADO, LARGURA = 40CM, ESP= 5CM, REVESTIDA COM CERAMICA.</v>
      </c>
      <c r="D593" s="1003"/>
      <c r="E593" s="1003"/>
      <c r="F593" s="1003"/>
      <c r="G593" s="1003"/>
      <c r="H593" s="1003"/>
      <c r="I593" s="1003"/>
      <c r="J593" s="1003"/>
      <c r="K593" s="61" t="str">
        <f>'[6]PLANILHA ORÇAMENTÁRIA'!F154</f>
        <v>M</v>
      </c>
      <c r="L593" s="62">
        <f>K596</f>
        <v>12.6</v>
      </c>
    </row>
    <row r="594" spans="2:12" hidden="1">
      <c r="B594" s="63"/>
      <c r="C594" s="1011" t="s">
        <v>20</v>
      </c>
      <c r="D594" s="1012"/>
      <c r="E594" s="1013"/>
      <c r="F594" s="64" t="s">
        <v>22</v>
      </c>
      <c r="G594" s="225" t="s">
        <v>111</v>
      </c>
      <c r="H594" s="225" t="s">
        <v>114</v>
      </c>
      <c r="I594" s="225" t="s">
        <v>113</v>
      </c>
      <c r="J594" s="225" t="s">
        <v>136</v>
      </c>
      <c r="K594" s="66" t="s">
        <v>25</v>
      </c>
      <c r="L594" s="67"/>
    </row>
    <row r="595" spans="2:12" hidden="1">
      <c r="B595" s="63"/>
      <c r="C595" s="1005" t="s">
        <v>167</v>
      </c>
      <c r="D595" s="1006"/>
      <c r="E595" s="1007"/>
      <c r="F595" s="68">
        <v>3</v>
      </c>
      <c r="G595" s="68"/>
      <c r="H595" s="68"/>
      <c r="I595" s="68">
        <v>4.2</v>
      </c>
      <c r="J595" s="68"/>
      <c r="K595" s="226">
        <f>TRUNC((I595*F595),2)</f>
        <v>12.6</v>
      </c>
      <c r="L595" s="67"/>
    </row>
    <row r="596" spans="2:12" hidden="1">
      <c r="B596" s="63"/>
      <c r="C596" s="1008" t="s">
        <v>116</v>
      </c>
      <c r="D596" s="1009"/>
      <c r="E596" s="1009"/>
      <c r="F596" s="1009"/>
      <c r="G596" s="1009"/>
      <c r="H596" s="1009"/>
      <c r="I596" s="1009"/>
      <c r="J596" s="1010"/>
      <c r="K596" s="66">
        <f>SUM(K595:K595)</f>
        <v>12.6</v>
      </c>
      <c r="L596" s="67"/>
    </row>
    <row r="597" spans="2:12" hidden="1">
      <c r="B597" s="63"/>
      <c r="C597" s="71"/>
      <c r="D597" s="71"/>
      <c r="E597" s="71"/>
      <c r="F597" s="71"/>
      <c r="G597" s="71"/>
      <c r="H597" s="71"/>
      <c r="I597" s="71"/>
      <c r="J597" s="71"/>
      <c r="K597" s="73"/>
      <c r="L597" s="67"/>
    </row>
    <row r="598" spans="2:12">
      <c r="B598" s="63"/>
      <c r="C598" s="71"/>
      <c r="D598" s="71"/>
      <c r="E598" s="71"/>
      <c r="F598" s="71"/>
      <c r="G598" s="71"/>
      <c r="H598" s="71"/>
      <c r="I598" s="71"/>
      <c r="J598" s="71"/>
      <c r="K598" s="73"/>
      <c r="L598" s="67"/>
    </row>
    <row r="599" spans="2:12">
      <c r="B599" s="86" t="s">
        <v>196</v>
      </c>
      <c r="C599" s="997" t="s">
        <v>446</v>
      </c>
      <c r="D599" s="998"/>
      <c r="E599" s="998"/>
      <c r="F599" s="998"/>
      <c r="G599" s="998"/>
      <c r="H599" s="998"/>
      <c r="I599" s="998"/>
      <c r="J599" s="999"/>
      <c r="K599" s="97" t="s">
        <v>7</v>
      </c>
      <c r="L599" s="97">
        <f>K604</f>
        <v>22.6</v>
      </c>
    </row>
    <row r="600" spans="2:12">
      <c r="B600" s="86"/>
      <c r="C600" s="983" t="s">
        <v>20</v>
      </c>
      <c r="D600" s="983"/>
      <c r="E600" s="983"/>
      <c r="F600" s="87" t="s">
        <v>22</v>
      </c>
      <c r="G600" s="241" t="s">
        <v>111</v>
      </c>
      <c r="H600" s="87" t="s">
        <v>112</v>
      </c>
      <c r="I600" s="241" t="s">
        <v>113</v>
      </c>
      <c r="J600" s="241" t="s">
        <v>114</v>
      </c>
      <c r="K600" s="89" t="s">
        <v>25</v>
      </c>
      <c r="L600" s="90"/>
    </row>
    <row r="601" spans="2:12">
      <c r="B601" s="86"/>
      <c r="C601" s="984" t="s">
        <v>240</v>
      </c>
      <c r="D601" s="985"/>
      <c r="E601" s="986"/>
      <c r="F601" s="91">
        <v>1</v>
      </c>
      <c r="G601" s="91">
        <v>1</v>
      </c>
      <c r="H601" s="91">
        <v>2</v>
      </c>
      <c r="I601" s="91">
        <v>1.3</v>
      </c>
      <c r="J601" s="91">
        <v>0</v>
      </c>
      <c r="K601" s="243">
        <f>H601*I601</f>
        <v>2.6</v>
      </c>
      <c r="L601" s="90"/>
    </row>
    <row r="602" spans="2:12">
      <c r="B602" s="86"/>
      <c r="C602" s="984" t="s">
        <v>532</v>
      </c>
      <c r="D602" s="985"/>
      <c r="E602" s="986"/>
      <c r="F602" s="91">
        <v>1</v>
      </c>
      <c r="G602" s="91">
        <v>1</v>
      </c>
      <c r="H602" s="91">
        <v>2</v>
      </c>
      <c r="I602" s="91">
        <v>2</v>
      </c>
      <c r="J602" s="91">
        <v>0</v>
      </c>
      <c r="K602" s="243">
        <f>H602*I602</f>
        <v>4</v>
      </c>
      <c r="L602" s="90"/>
    </row>
    <row r="603" spans="2:12">
      <c r="B603" s="86"/>
      <c r="C603" s="984" t="s">
        <v>97</v>
      </c>
      <c r="D603" s="985"/>
      <c r="E603" s="986"/>
      <c r="F603" s="91">
        <v>1</v>
      </c>
      <c r="G603" s="91">
        <v>1</v>
      </c>
      <c r="H603" s="91">
        <v>4</v>
      </c>
      <c r="I603" s="91">
        <v>4</v>
      </c>
      <c r="J603" s="91">
        <v>0</v>
      </c>
      <c r="K603" s="243">
        <f>H603*I603</f>
        <v>16</v>
      </c>
      <c r="L603" s="90"/>
    </row>
    <row r="604" spans="2:12">
      <c r="B604" s="86"/>
      <c r="C604" s="987" t="s">
        <v>116</v>
      </c>
      <c r="D604" s="987"/>
      <c r="E604" s="987"/>
      <c r="F604" s="987"/>
      <c r="G604" s="987"/>
      <c r="H604" s="987"/>
      <c r="I604" s="987"/>
      <c r="J604" s="987"/>
      <c r="K604" s="89">
        <f>SUM(K601:K603)</f>
        <v>22.6</v>
      </c>
      <c r="L604" s="90"/>
    </row>
    <row r="605" spans="2:12">
      <c r="B605" s="86"/>
      <c r="C605" s="211"/>
      <c r="D605" s="211"/>
      <c r="E605" s="211"/>
      <c r="F605" s="211"/>
      <c r="G605" s="211"/>
      <c r="H605" s="211"/>
      <c r="I605" s="211"/>
      <c r="J605" s="211"/>
      <c r="K605" s="212"/>
      <c r="L605" s="90"/>
    </row>
    <row r="606" spans="2:12" s="880" customFormat="1">
      <c r="B606" s="896" t="s">
        <v>637</v>
      </c>
      <c r="C606" s="1129" t="str">
        <f>'ESCOLA PASCOAL'!C21</f>
        <v>DEMOLIÇÃO DE FORROS</v>
      </c>
      <c r="D606" s="1130"/>
      <c r="E606" s="1130"/>
      <c r="F606" s="1130"/>
      <c r="G606" s="1130"/>
      <c r="H606" s="1130"/>
      <c r="I606" s="1130"/>
      <c r="J606" s="1131"/>
      <c r="K606" s="871" t="s">
        <v>7</v>
      </c>
      <c r="L606" s="871">
        <f>K609</f>
        <v>10</v>
      </c>
    </row>
    <row r="607" spans="2:12">
      <c r="B607" s="86"/>
      <c r="C607" s="983" t="s">
        <v>20</v>
      </c>
      <c r="D607" s="983"/>
      <c r="E607" s="983"/>
      <c r="F607" s="87" t="s">
        <v>22</v>
      </c>
      <c r="G607" s="262" t="s">
        <v>111</v>
      </c>
      <c r="H607" s="87" t="s">
        <v>112</v>
      </c>
      <c r="I607" s="262" t="s">
        <v>113</v>
      </c>
      <c r="J607" s="262" t="s">
        <v>114</v>
      </c>
      <c r="K607" s="89" t="s">
        <v>25</v>
      </c>
      <c r="L607" s="90"/>
    </row>
    <row r="608" spans="2:12">
      <c r="B608" s="86"/>
      <c r="C608" s="976" t="s">
        <v>496</v>
      </c>
      <c r="D608" s="977"/>
      <c r="E608" s="978"/>
      <c r="F608" s="83">
        <v>1</v>
      </c>
      <c r="G608" s="83"/>
      <c r="H608" s="83">
        <v>2</v>
      </c>
      <c r="I608" s="83">
        <v>5</v>
      </c>
      <c r="J608" s="83">
        <v>0</v>
      </c>
      <c r="K608" s="265">
        <f>F608*H608*I608</f>
        <v>10</v>
      </c>
      <c r="L608" s="90"/>
    </row>
    <row r="609" spans="2:12">
      <c r="B609" s="86"/>
      <c r="C609" s="987" t="s">
        <v>116</v>
      </c>
      <c r="D609" s="987"/>
      <c r="E609" s="987"/>
      <c r="F609" s="987"/>
      <c r="G609" s="987"/>
      <c r="H609" s="987"/>
      <c r="I609" s="987"/>
      <c r="J609" s="987"/>
      <c r="K609" s="89">
        <f>SUM(K608:K608)</f>
        <v>10</v>
      </c>
      <c r="L609" s="90"/>
    </row>
    <row r="610" spans="2:12">
      <c r="B610" s="355"/>
      <c r="C610" s="211"/>
      <c r="D610" s="211"/>
      <c r="E610" s="211"/>
      <c r="F610" s="211"/>
      <c r="G610" s="211"/>
      <c r="H610" s="211"/>
      <c r="I610" s="211"/>
      <c r="J610" s="211"/>
      <c r="K610" s="212"/>
      <c r="L610" s="90"/>
    </row>
    <row r="611" spans="2:12">
      <c r="B611" s="76" t="s">
        <v>11</v>
      </c>
      <c r="C611" s="993" t="s">
        <v>34</v>
      </c>
      <c r="D611" s="993"/>
      <c r="E611" s="993"/>
      <c r="F611" s="993"/>
      <c r="G611" s="993"/>
      <c r="H611" s="993"/>
      <c r="I611" s="993"/>
      <c r="J611" s="993"/>
      <c r="K611" s="77"/>
      <c r="L611" s="77"/>
    </row>
    <row r="613" spans="2:12">
      <c r="B613" s="222" t="s">
        <v>12</v>
      </c>
      <c r="C613" s="989" t="str">
        <f>'ESCOLA PASCOAL'!C24</f>
        <v>APLICAÇÃO MANUAL DE PINTURA COM TINTA LÁTEX ACRÍLICA EM PAREDES, DUAS DEMÃOS. AF_06/2014</v>
      </c>
      <c r="D613" s="990"/>
      <c r="E613" s="990"/>
      <c r="F613" s="990"/>
      <c r="G613" s="990"/>
      <c r="H613" s="990"/>
      <c r="I613" s="990"/>
      <c r="J613" s="991"/>
      <c r="K613" s="97" t="s">
        <v>7</v>
      </c>
      <c r="L613" s="97">
        <f>K637</f>
        <v>456.5499999999999</v>
      </c>
    </row>
    <row r="614" spans="2:12">
      <c r="B614" s="222"/>
      <c r="C614" s="992" t="s">
        <v>20</v>
      </c>
      <c r="D614" s="992"/>
      <c r="E614" s="992"/>
      <c r="F614" s="79" t="s">
        <v>22</v>
      </c>
      <c r="G614" s="221" t="s">
        <v>111</v>
      </c>
      <c r="H614" s="79" t="s">
        <v>112</v>
      </c>
      <c r="I614" s="221" t="s">
        <v>113</v>
      </c>
      <c r="J614" s="221" t="s">
        <v>114</v>
      </c>
      <c r="K614" s="81" t="s">
        <v>25</v>
      </c>
      <c r="L614" s="82"/>
    </row>
    <row r="615" spans="2:12">
      <c r="B615" s="222"/>
      <c r="C615" s="976" t="s">
        <v>338</v>
      </c>
      <c r="D615" s="977"/>
      <c r="E615" s="978"/>
      <c r="F615" s="83">
        <v>2</v>
      </c>
      <c r="G615" s="83">
        <v>1.9</v>
      </c>
      <c r="H615" s="83">
        <v>8</v>
      </c>
      <c r="I615" s="83">
        <v>1</v>
      </c>
      <c r="J615" s="83">
        <v>9.68</v>
      </c>
      <c r="K615" s="84">
        <f>(I615*H615*G615*F615)-J615</f>
        <v>20.72</v>
      </c>
      <c r="L615" s="82"/>
    </row>
    <row r="616" spans="2:12">
      <c r="B616" s="222"/>
      <c r="C616" s="976" t="s">
        <v>338</v>
      </c>
      <c r="D616" s="977"/>
      <c r="E616" s="978"/>
      <c r="F616" s="83">
        <v>2</v>
      </c>
      <c r="G616" s="83">
        <v>1.9</v>
      </c>
      <c r="H616" s="83">
        <v>6</v>
      </c>
      <c r="I616" s="83">
        <v>1</v>
      </c>
      <c r="J616" s="83">
        <v>1.68</v>
      </c>
      <c r="K616" s="84">
        <f t="shared" ref="K616:K636" si="2">(I616*H616*G616*F616)-J616</f>
        <v>21.119999999999997</v>
      </c>
      <c r="L616" s="82"/>
    </row>
    <row r="617" spans="2:12">
      <c r="B617" s="222"/>
      <c r="C617" s="976" t="s">
        <v>461</v>
      </c>
      <c r="D617" s="977"/>
      <c r="E617" s="978"/>
      <c r="F617" s="83">
        <v>2</v>
      </c>
      <c r="G617" s="83">
        <v>1.9</v>
      </c>
      <c r="H617" s="83">
        <v>8</v>
      </c>
      <c r="I617" s="83">
        <v>1</v>
      </c>
      <c r="J617" s="83">
        <v>9.68</v>
      </c>
      <c r="K617" s="84">
        <f t="shared" si="2"/>
        <v>20.72</v>
      </c>
      <c r="L617" s="82"/>
    </row>
    <row r="618" spans="2:12">
      <c r="B618" s="222"/>
      <c r="C618" s="976" t="s">
        <v>461</v>
      </c>
      <c r="D618" s="977"/>
      <c r="E618" s="978"/>
      <c r="F618" s="83">
        <v>2</v>
      </c>
      <c r="G618" s="83">
        <v>1.9</v>
      </c>
      <c r="H618" s="83">
        <v>6</v>
      </c>
      <c r="I618" s="83">
        <v>1</v>
      </c>
      <c r="J618" s="83">
        <v>1.68</v>
      </c>
      <c r="K618" s="84">
        <f t="shared" si="2"/>
        <v>21.119999999999997</v>
      </c>
      <c r="L618" s="82"/>
    </row>
    <row r="619" spans="2:12">
      <c r="B619" s="222"/>
      <c r="C619" s="976" t="s">
        <v>563</v>
      </c>
      <c r="D619" s="977"/>
      <c r="E619" s="978"/>
      <c r="F619" s="83">
        <v>2</v>
      </c>
      <c r="G619" s="83">
        <v>1.9</v>
      </c>
      <c r="H619" s="83">
        <v>2.75</v>
      </c>
      <c r="I619" s="83">
        <v>1</v>
      </c>
      <c r="J619" s="83">
        <v>1.68</v>
      </c>
      <c r="K619" s="84">
        <f t="shared" si="2"/>
        <v>8.77</v>
      </c>
      <c r="L619" s="82"/>
    </row>
    <row r="620" spans="2:12">
      <c r="B620" s="222"/>
      <c r="C620" s="976" t="s">
        <v>563</v>
      </c>
      <c r="D620" s="977"/>
      <c r="E620" s="978"/>
      <c r="F620" s="83">
        <v>2</v>
      </c>
      <c r="G620" s="83">
        <v>1.9</v>
      </c>
      <c r="H620" s="83">
        <v>5.55</v>
      </c>
      <c r="I620" s="83">
        <v>1</v>
      </c>
      <c r="J620" s="83">
        <v>1.68</v>
      </c>
      <c r="K620" s="84">
        <f t="shared" si="2"/>
        <v>19.41</v>
      </c>
      <c r="L620" s="82"/>
    </row>
    <row r="621" spans="2:12">
      <c r="B621" s="222"/>
      <c r="C621" s="976" t="s">
        <v>564</v>
      </c>
      <c r="D621" s="977"/>
      <c r="E621" s="978"/>
      <c r="F621" s="83">
        <v>2</v>
      </c>
      <c r="G621" s="83">
        <v>1.9</v>
      </c>
      <c r="H621" s="83">
        <v>2.95</v>
      </c>
      <c r="I621" s="83">
        <v>1</v>
      </c>
      <c r="J621" s="83">
        <v>3.36</v>
      </c>
      <c r="K621" s="84">
        <f t="shared" si="2"/>
        <v>7.8500000000000014</v>
      </c>
      <c r="L621" s="82"/>
    </row>
    <row r="622" spans="2:12">
      <c r="B622" s="222"/>
      <c r="C622" s="976" t="s">
        <v>564</v>
      </c>
      <c r="D622" s="977"/>
      <c r="E622" s="978"/>
      <c r="F622" s="83">
        <v>2</v>
      </c>
      <c r="G622" s="83">
        <v>1.9</v>
      </c>
      <c r="H622" s="83">
        <v>5.55</v>
      </c>
      <c r="I622" s="83">
        <v>1</v>
      </c>
      <c r="J622" s="83">
        <v>0</v>
      </c>
      <c r="K622" s="84">
        <f t="shared" si="2"/>
        <v>21.09</v>
      </c>
      <c r="L622" s="82"/>
    </row>
    <row r="623" spans="2:12">
      <c r="B623" s="222"/>
      <c r="C623" s="976" t="s">
        <v>564</v>
      </c>
      <c r="D623" s="977"/>
      <c r="E623" s="978"/>
      <c r="F623" s="83">
        <v>2</v>
      </c>
      <c r="G623" s="83">
        <v>1.9</v>
      </c>
      <c r="H623" s="83">
        <v>2.2999999999999998</v>
      </c>
      <c r="I623" s="83">
        <v>1</v>
      </c>
      <c r="J623" s="83">
        <v>0</v>
      </c>
      <c r="K623" s="84">
        <f t="shared" si="2"/>
        <v>8.7399999999999984</v>
      </c>
      <c r="L623" s="82"/>
    </row>
    <row r="624" spans="2:12">
      <c r="B624" s="222"/>
      <c r="C624" s="976" t="s">
        <v>564</v>
      </c>
      <c r="D624" s="977"/>
      <c r="E624" s="978"/>
      <c r="F624" s="83">
        <v>2</v>
      </c>
      <c r="G624" s="83">
        <v>1.9</v>
      </c>
      <c r="H624" s="83">
        <v>5.55</v>
      </c>
      <c r="I624" s="83">
        <v>1</v>
      </c>
      <c r="J624" s="83">
        <v>0</v>
      </c>
      <c r="K624" s="84">
        <f t="shared" si="2"/>
        <v>21.09</v>
      </c>
      <c r="L624" s="82"/>
    </row>
    <row r="625" spans="2:12">
      <c r="B625" s="222"/>
      <c r="C625" s="976" t="s">
        <v>236</v>
      </c>
      <c r="D625" s="977"/>
      <c r="E625" s="978"/>
      <c r="F625" s="83">
        <v>2</v>
      </c>
      <c r="G625" s="83">
        <v>1.9</v>
      </c>
      <c r="H625" s="83">
        <v>3.9</v>
      </c>
      <c r="I625" s="83">
        <v>1</v>
      </c>
      <c r="J625" s="83">
        <v>1.68</v>
      </c>
      <c r="K625" s="84">
        <f t="shared" si="2"/>
        <v>13.139999999999999</v>
      </c>
      <c r="L625" s="82"/>
    </row>
    <row r="626" spans="2:12">
      <c r="B626" s="222"/>
      <c r="C626" s="976" t="s">
        <v>236</v>
      </c>
      <c r="D626" s="977"/>
      <c r="E626" s="978"/>
      <c r="F626" s="83">
        <v>2</v>
      </c>
      <c r="G626" s="83">
        <v>1.9</v>
      </c>
      <c r="H626" s="83">
        <v>3.85</v>
      </c>
      <c r="I626" s="83">
        <v>1</v>
      </c>
      <c r="J626" s="83">
        <v>0</v>
      </c>
      <c r="K626" s="84">
        <f t="shared" si="2"/>
        <v>14.629999999999999</v>
      </c>
      <c r="L626" s="82"/>
    </row>
    <row r="627" spans="2:12">
      <c r="B627" s="222"/>
      <c r="C627" s="976" t="s">
        <v>496</v>
      </c>
      <c r="D627" s="977"/>
      <c r="E627" s="978"/>
      <c r="F627" s="83">
        <v>2</v>
      </c>
      <c r="G627" s="83">
        <v>1.9</v>
      </c>
      <c r="H627" s="83">
        <v>4.55</v>
      </c>
      <c r="I627" s="83">
        <v>1</v>
      </c>
      <c r="J627" s="83">
        <v>0</v>
      </c>
      <c r="K627" s="84">
        <f t="shared" si="2"/>
        <v>17.29</v>
      </c>
      <c r="L627" s="82"/>
    </row>
    <row r="628" spans="2:12">
      <c r="B628" s="222"/>
      <c r="C628" s="976" t="s">
        <v>496</v>
      </c>
      <c r="D628" s="977"/>
      <c r="E628" s="978"/>
      <c r="F628" s="83">
        <v>2</v>
      </c>
      <c r="G628" s="83">
        <v>1.9</v>
      </c>
      <c r="H628" s="83">
        <v>7.85</v>
      </c>
      <c r="I628" s="83">
        <v>1</v>
      </c>
      <c r="J628" s="83">
        <v>4.08</v>
      </c>
      <c r="K628" s="84">
        <f t="shared" si="2"/>
        <v>25.75</v>
      </c>
      <c r="L628" s="82"/>
    </row>
    <row r="629" spans="2:12">
      <c r="B629" s="222"/>
      <c r="C629" s="976" t="s">
        <v>498</v>
      </c>
      <c r="D629" s="977"/>
      <c r="E629" s="978"/>
      <c r="F629" s="83">
        <v>2</v>
      </c>
      <c r="G629" s="83">
        <v>1.9</v>
      </c>
      <c r="H629" s="83">
        <v>4</v>
      </c>
      <c r="I629" s="83">
        <v>1</v>
      </c>
      <c r="J629" s="83">
        <v>0</v>
      </c>
      <c r="K629" s="84">
        <f t="shared" si="2"/>
        <v>15.2</v>
      </c>
      <c r="L629" s="82"/>
    </row>
    <row r="630" spans="2:12">
      <c r="B630" s="222"/>
      <c r="C630" s="976" t="s">
        <v>498</v>
      </c>
      <c r="D630" s="977"/>
      <c r="E630" s="978"/>
      <c r="F630" s="83">
        <v>2</v>
      </c>
      <c r="G630" s="83">
        <v>1.9</v>
      </c>
      <c r="H630" s="83">
        <v>4.55</v>
      </c>
      <c r="I630" s="83">
        <v>1</v>
      </c>
      <c r="J630" s="83">
        <f>SUM(1.2+1.68+0.64)</f>
        <v>3.52</v>
      </c>
      <c r="K630" s="84">
        <f t="shared" si="2"/>
        <v>13.77</v>
      </c>
      <c r="L630" s="82"/>
    </row>
    <row r="631" spans="2:12">
      <c r="B631" s="222"/>
      <c r="C631" s="976" t="s">
        <v>499</v>
      </c>
      <c r="D631" s="977"/>
      <c r="E631" s="978"/>
      <c r="F631" s="83">
        <v>2</v>
      </c>
      <c r="G631" s="83">
        <v>1.9</v>
      </c>
      <c r="H631" s="83">
        <v>4.5999999999999996</v>
      </c>
      <c r="I631" s="83">
        <v>1</v>
      </c>
      <c r="J631" s="83">
        <v>0</v>
      </c>
      <c r="K631" s="84">
        <f t="shared" si="2"/>
        <v>17.479999999999997</v>
      </c>
      <c r="L631" s="82"/>
    </row>
    <row r="632" spans="2:12">
      <c r="B632" s="222"/>
      <c r="C632" s="976" t="s">
        <v>499</v>
      </c>
      <c r="D632" s="977"/>
      <c r="E632" s="978"/>
      <c r="F632" s="83">
        <v>2</v>
      </c>
      <c r="G632" s="83">
        <v>1.9</v>
      </c>
      <c r="H632" s="83">
        <v>7.9</v>
      </c>
      <c r="I632" s="83">
        <v>1</v>
      </c>
      <c r="J632" s="83">
        <v>1.68</v>
      </c>
      <c r="K632" s="84">
        <f t="shared" si="2"/>
        <v>28.34</v>
      </c>
      <c r="L632" s="82"/>
    </row>
    <row r="633" spans="2:12">
      <c r="B633" s="222"/>
      <c r="C633" s="976" t="s">
        <v>565</v>
      </c>
      <c r="D633" s="977"/>
      <c r="E633" s="978"/>
      <c r="F633" s="83">
        <v>4</v>
      </c>
      <c r="G633" s="83">
        <v>1.9</v>
      </c>
      <c r="H633" s="83">
        <v>7.2</v>
      </c>
      <c r="I633" s="83">
        <v>1</v>
      </c>
      <c r="J633" s="83">
        <v>0</v>
      </c>
      <c r="K633" s="84">
        <f t="shared" si="2"/>
        <v>54.72</v>
      </c>
      <c r="L633" s="82"/>
    </row>
    <row r="634" spans="2:12">
      <c r="B634" s="222"/>
      <c r="C634" s="976" t="s">
        <v>565</v>
      </c>
      <c r="D634" s="977"/>
      <c r="E634" s="978"/>
      <c r="F634" s="83">
        <v>4</v>
      </c>
      <c r="G634" s="83">
        <v>1.9</v>
      </c>
      <c r="H634" s="83">
        <v>5</v>
      </c>
      <c r="I634" s="83">
        <v>1</v>
      </c>
      <c r="J634" s="83">
        <v>1.68</v>
      </c>
      <c r="K634" s="84">
        <f t="shared" si="2"/>
        <v>36.32</v>
      </c>
      <c r="L634" s="82"/>
    </row>
    <row r="635" spans="2:12">
      <c r="B635" s="222"/>
      <c r="C635" s="976" t="s">
        <v>97</v>
      </c>
      <c r="D635" s="977"/>
      <c r="E635" s="978"/>
      <c r="F635" s="83">
        <v>2</v>
      </c>
      <c r="G635" s="83">
        <v>2.8</v>
      </c>
      <c r="H635" s="83">
        <v>4.4000000000000004</v>
      </c>
      <c r="I635" s="83">
        <v>1</v>
      </c>
      <c r="J635" s="83">
        <v>0</v>
      </c>
      <c r="K635" s="84">
        <f t="shared" si="2"/>
        <v>24.64</v>
      </c>
      <c r="L635" s="82"/>
    </row>
    <row r="636" spans="2:12">
      <c r="B636" s="222"/>
      <c r="C636" s="976" t="s">
        <v>97</v>
      </c>
      <c r="D636" s="977"/>
      <c r="E636" s="978"/>
      <c r="F636" s="83">
        <v>2</v>
      </c>
      <c r="G636" s="83">
        <v>2.8</v>
      </c>
      <c r="H636" s="83">
        <v>4.4000000000000004</v>
      </c>
      <c r="I636" s="83">
        <v>1</v>
      </c>
      <c r="J636" s="83">
        <v>0</v>
      </c>
      <c r="K636" s="84">
        <f t="shared" si="2"/>
        <v>24.64</v>
      </c>
      <c r="L636" s="82"/>
    </row>
    <row r="637" spans="2:12">
      <c r="B637" s="222"/>
      <c r="C637" s="979" t="s">
        <v>116</v>
      </c>
      <c r="D637" s="979"/>
      <c r="E637" s="979"/>
      <c r="F637" s="979"/>
      <c r="G637" s="979"/>
      <c r="H637" s="979"/>
      <c r="I637" s="979"/>
      <c r="J637" s="979"/>
      <c r="K637" s="81">
        <f>SUM(K615:K636)</f>
        <v>456.5499999999999</v>
      </c>
      <c r="L637" s="82"/>
    </row>
    <row r="639" spans="2:12" ht="25.5" customHeight="1">
      <c r="B639" s="222" t="s">
        <v>435</v>
      </c>
      <c r="C639" s="989" t="str">
        <f>'ESCOLA PASCOAL'!C25</f>
        <v>APLICAÇÃO MANUAL DE TINTA LÁTEX ACRÍLICA EM PAREDE EXTERNAS DE CASAS, DUAS DEMÃOS. AF_11/2016</v>
      </c>
      <c r="D639" s="990"/>
      <c r="E639" s="990"/>
      <c r="F639" s="990"/>
      <c r="G639" s="990"/>
      <c r="H639" s="990"/>
      <c r="I639" s="990"/>
      <c r="J639" s="991"/>
      <c r="K639" s="97" t="s">
        <v>7</v>
      </c>
      <c r="L639" s="97">
        <f>K663</f>
        <v>923.91000000000031</v>
      </c>
    </row>
    <row r="640" spans="2:12">
      <c r="B640" s="222"/>
      <c r="C640" s="992" t="s">
        <v>20</v>
      </c>
      <c r="D640" s="992"/>
      <c r="E640" s="992"/>
      <c r="F640" s="79" t="s">
        <v>22</v>
      </c>
      <c r="G640" s="221" t="s">
        <v>111</v>
      </c>
      <c r="H640" s="79" t="s">
        <v>112</v>
      </c>
      <c r="I640" s="221" t="s">
        <v>113</v>
      </c>
      <c r="J640" s="221" t="s">
        <v>114</v>
      </c>
      <c r="K640" s="81" t="s">
        <v>25</v>
      </c>
      <c r="L640" s="82"/>
    </row>
    <row r="641" spans="2:12">
      <c r="B641" s="222"/>
      <c r="C641" s="976" t="s">
        <v>561</v>
      </c>
      <c r="D641" s="977"/>
      <c r="E641" s="978"/>
      <c r="F641" s="83">
        <v>2</v>
      </c>
      <c r="G641" s="83">
        <v>2.1</v>
      </c>
      <c r="H641" s="83">
        <v>1</v>
      </c>
      <c r="I641" s="83">
        <v>36.799999999999997</v>
      </c>
      <c r="J641" s="83">
        <f>0.95*2.1</f>
        <v>1.9949999999999999</v>
      </c>
      <c r="K641" s="84">
        <f>(H641*I641*G641*F641)-J641</f>
        <v>152.565</v>
      </c>
      <c r="L641" s="82"/>
    </row>
    <row r="642" spans="2:12">
      <c r="B642" s="222"/>
      <c r="C642" s="976" t="s">
        <v>562</v>
      </c>
      <c r="D642" s="977"/>
      <c r="E642" s="978"/>
      <c r="F642" s="83">
        <v>1</v>
      </c>
      <c r="G642" s="83">
        <v>2.5</v>
      </c>
      <c r="H642" s="83">
        <v>1</v>
      </c>
      <c r="I642" s="83">
        <f>SUM(32.2+19.35+4.85+12.3+4.85+6.85+2.35+1.3+4+4.2+4.15+1+1.4+1.6+3.45+14.85+6.5+5+8.3+5+10.45+7.5+10.45+7.5+22.5+4.55+4.7+22.55+31.78)</f>
        <v>265.48</v>
      </c>
      <c r="J642" s="83">
        <f>SUM(24+4.8+0.6+0.32+20.16+3.78+1.89)</f>
        <v>55.550000000000004</v>
      </c>
      <c r="K642" s="84">
        <f t="shared" ref="K642:K662" si="3">(H642*I642*G642*F642)-J642</f>
        <v>608.15000000000009</v>
      </c>
      <c r="L642" s="82"/>
    </row>
    <row r="643" spans="2:12">
      <c r="B643" s="222"/>
      <c r="C643" s="976" t="s">
        <v>338</v>
      </c>
      <c r="D643" s="977"/>
      <c r="E643" s="978"/>
      <c r="F643" s="83">
        <v>1</v>
      </c>
      <c r="G643" s="83">
        <v>0.5</v>
      </c>
      <c r="H643" s="83">
        <v>8</v>
      </c>
      <c r="I643" s="83">
        <v>1</v>
      </c>
      <c r="J643" s="83">
        <v>0</v>
      </c>
      <c r="K643" s="84">
        <f t="shared" si="3"/>
        <v>4</v>
      </c>
      <c r="L643" s="82"/>
    </row>
    <row r="644" spans="2:12">
      <c r="B644" s="222"/>
      <c r="C644" s="976" t="s">
        <v>338</v>
      </c>
      <c r="D644" s="977"/>
      <c r="E644" s="978"/>
      <c r="F644" s="83">
        <v>1</v>
      </c>
      <c r="G644" s="83">
        <v>0.75</v>
      </c>
      <c r="H644" s="83">
        <v>6</v>
      </c>
      <c r="I644" s="83">
        <v>1</v>
      </c>
      <c r="J644" s="83">
        <v>0</v>
      </c>
      <c r="K644" s="84">
        <f t="shared" si="3"/>
        <v>4.5</v>
      </c>
      <c r="L644" s="82"/>
    </row>
    <row r="645" spans="2:12">
      <c r="B645" s="222"/>
      <c r="C645" s="976" t="s">
        <v>461</v>
      </c>
      <c r="D645" s="977"/>
      <c r="E645" s="978"/>
      <c r="F645" s="83">
        <v>1</v>
      </c>
      <c r="G645" s="83">
        <v>1.5</v>
      </c>
      <c r="H645" s="83">
        <v>8</v>
      </c>
      <c r="I645" s="83">
        <v>1</v>
      </c>
      <c r="J645" s="83">
        <v>0</v>
      </c>
      <c r="K645" s="84">
        <f t="shared" si="3"/>
        <v>12</v>
      </c>
      <c r="L645" s="82"/>
    </row>
    <row r="646" spans="2:12" ht="18" customHeight="1">
      <c r="B646" s="222"/>
      <c r="C646" s="976" t="s">
        <v>461</v>
      </c>
      <c r="D646" s="977"/>
      <c r="E646" s="978"/>
      <c r="F646" s="83">
        <v>1</v>
      </c>
      <c r="G646" s="83">
        <v>1.5</v>
      </c>
      <c r="H646" s="83">
        <v>6</v>
      </c>
      <c r="I646" s="83">
        <v>1</v>
      </c>
      <c r="J646" s="83">
        <v>0</v>
      </c>
      <c r="K646" s="84">
        <f t="shared" si="3"/>
        <v>9</v>
      </c>
      <c r="L646" s="82"/>
    </row>
    <row r="647" spans="2:12" ht="14.25" customHeight="1">
      <c r="B647" s="222"/>
      <c r="C647" s="976" t="s">
        <v>563</v>
      </c>
      <c r="D647" s="977"/>
      <c r="E647" s="978"/>
      <c r="F647" s="83">
        <v>1</v>
      </c>
      <c r="G647" s="83">
        <v>1.5</v>
      </c>
      <c r="H647" s="83">
        <v>2.75</v>
      </c>
      <c r="I647" s="83">
        <v>1</v>
      </c>
      <c r="J647" s="83">
        <v>0</v>
      </c>
      <c r="K647" s="84">
        <f t="shared" si="3"/>
        <v>4.125</v>
      </c>
      <c r="L647" s="82"/>
    </row>
    <row r="648" spans="2:12">
      <c r="B648" s="222"/>
      <c r="C648" s="976" t="s">
        <v>563</v>
      </c>
      <c r="D648" s="977"/>
      <c r="E648" s="978"/>
      <c r="F648" s="83">
        <v>1</v>
      </c>
      <c r="G648" s="83">
        <v>1.5</v>
      </c>
      <c r="H648" s="83">
        <v>5.55</v>
      </c>
      <c r="I648" s="83">
        <v>1</v>
      </c>
      <c r="J648" s="83">
        <v>0</v>
      </c>
      <c r="K648" s="84">
        <f t="shared" si="3"/>
        <v>8.3249999999999993</v>
      </c>
      <c r="L648" s="82"/>
    </row>
    <row r="649" spans="2:12">
      <c r="B649" s="222"/>
      <c r="C649" s="976" t="s">
        <v>564</v>
      </c>
      <c r="D649" s="977"/>
      <c r="E649" s="978"/>
      <c r="F649" s="83">
        <v>1</v>
      </c>
      <c r="G649" s="83">
        <v>1.5</v>
      </c>
      <c r="H649" s="83">
        <v>2.95</v>
      </c>
      <c r="I649" s="83">
        <v>1</v>
      </c>
      <c r="J649" s="83">
        <v>0</v>
      </c>
      <c r="K649" s="84">
        <f t="shared" si="3"/>
        <v>4.4250000000000007</v>
      </c>
      <c r="L649" s="82"/>
    </row>
    <row r="650" spans="2:12">
      <c r="B650" s="222"/>
      <c r="C650" s="976" t="s">
        <v>564</v>
      </c>
      <c r="D650" s="977"/>
      <c r="E650" s="978"/>
      <c r="F650" s="83">
        <v>1</v>
      </c>
      <c r="G650" s="83">
        <v>1.5</v>
      </c>
      <c r="H650" s="83">
        <v>5.55</v>
      </c>
      <c r="I650" s="83">
        <v>1</v>
      </c>
      <c r="J650" s="83">
        <v>0</v>
      </c>
      <c r="K650" s="84">
        <f t="shared" si="3"/>
        <v>8.3249999999999993</v>
      </c>
      <c r="L650" s="82"/>
    </row>
    <row r="651" spans="2:12">
      <c r="B651" s="222"/>
      <c r="C651" s="976" t="s">
        <v>564</v>
      </c>
      <c r="D651" s="977"/>
      <c r="E651" s="978"/>
      <c r="F651" s="83">
        <v>1</v>
      </c>
      <c r="G651" s="83">
        <v>1.5</v>
      </c>
      <c r="H651" s="83">
        <v>2.2999999999999998</v>
      </c>
      <c r="I651" s="83">
        <v>1</v>
      </c>
      <c r="J651" s="83">
        <v>0</v>
      </c>
      <c r="K651" s="84">
        <f t="shared" si="3"/>
        <v>3.4499999999999997</v>
      </c>
      <c r="L651" s="82"/>
    </row>
    <row r="652" spans="2:12">
      <c r="B652" s="222"/>
      <c r="C652" s="976" t="s">
        <v>564</v>
      </c>
      <c r="D652" s="977"/>
      <c r="E652" s="978"/>
      <c r="F652" s="83">
        <v>1</v>
      </c>
      <c r="G652" s="83">
        <v>1.5</v>
      </c>
      <c r="H652" s="83">
        <v>5.55</v>
      </c>
      <c r="I652" s="83">
        <v>1</v>
      </c>
      <c r="J652" s="83">
        <v>0</v>
      </c>
      <c r="K652" s="84">
        <f t="shared" si="3"/>
        <v>8.3249999999999993</v>
      </c>
      <c r="L652" s="82"/>
    </row>
    <row r="653" spans="2:12">
      <c r="B653" s="222"/>
      <c r="C653" s="976" t="s">
        <v>236</v>
      </c>
      <c r="D653" s="977"/>
      <c r="E653" s="978"/>
      <c r="F653" s="83">
        <v>1</v>
      </c>
      <c r="G653" s="83">
        <v>1.5</v>
      </c>
      <c r="H653" s="83">
        <v>3.9</v>
      </c>
      <c r="I653" s="83">
        <v>1</v>
      </c>
      <c r="J653" s="83">
        <v>1.68</v>
      </c>
      <c r="K653" s="84">
        <f t="shared" si="3"/>
        <v>4.17</v>
      </c>
      <c r="L653" s="82"/>
    </row>
    <row r="654" spans="2:12">
      <c r="B654" s="222"/>
      <c r="C654" s="976" t="s">
        <v>236</v>
      </c>
      <c r="D654" s="977"/>
      <c r="E654" s="978"/>
      <c r="F654" s="83">
        <v>1</v>
      </c>
      <c r="G654" s="83">
        <v>1.5</v>
      </c>
      <c r="H654" s="83">
        <v>3.85</v>
      </c>
      <c r="I654" s="83">
        <v>1</v>
      </c>
      <c r="J654" s="83">
        <v>0</v>
      </c>
      <c r="K654" s="84">
        <f t="shared" si="3"/>
        <v>5.7750000000000004</v>
      </c>
      <c r="L654" s="82"/>
    </row>
    <row r="655" spans="2:12">
      <c r="B655" s="222"/>
      <c r="C655" s="976" t="s">
        <v>496</v>
      </c>
      <c r="D655" s="977"/>
      <c r="E655" s="978"/>
      <c r="F655" s="83">
        <v>1</v>
      </c>
      <c r="G655" s="83">
        <v>1.5</v>
      </c>
      <c r="H655" s="83">
        <v>4.55</v>
      </c>
      <c r="I655" s="83">
        <v>1</v>
      </c>
      <c r="J655" s="83">
        <v>0</v>
      </c>
      <c r="K655" s="84">
        <f t="shared" si="3"/>
        <v>6.8249999999999993</v>
      </c>
      <c r="L655" s="82"/>
    </row>
    <row r="656" spans="2:12">
      <c r="B656" s="222"/>
      <c r="C656" s="976" t="s">
        <v>496</v>
      </c>
      <c r="D656" s="977"/>
      <c r="E656" s="978"/>
      <c r="F656" s="83">
        <v>1</v>
      </c>
      <c r="G656" s="83">
        <v>1.5</v>
      </c>
      <c r="H656" s="83">
        <v>7.85</v>
      </c>
      <c r="I656" s="83">
        <v>1</v>
      </c>
      <c r="J656" s="83">
        <v>0</v>
      </c>
      <c r="K656" s="84">
        <f t="shared" si="3"/>
        <v>11.774999999999999</v>
      </c>
      <c r="L656" s="82"/>
    </row>
    <row r="657" spans="2:12">
      <c r="B657" s="222"/>
      <c r="C657" s="976" t="s">
        <v>498</v>
      </c>
      <c r="D657" s="977"/>
      <c r="E657" s="978"/>
      <c r="F657" s="83">
        <v>1</v>
      </c>
      <c r="G657" s="83">
        <v>1.5</v>
      </c>
      <c r="H657" s="83">
        <v>4</v>
      </c>
      <c r="I657" s="83">
        <v>1</v>
      </c>
      <c r="J657" s="83">
        <v>0</v>
      </c>
      <c r="K657" s="84">
        <f t="shared" si="3"/>
        <v>6</v>
      </c>
      <c r="L657" s="82"/>
    </row>
    <row r="658" spans="2:12">
      <c r="B658" s="222"/>
      <c r="C658" s="976" t="s">
        <v>498</v>
      </c>
      <c r="D658" s="977"/>
      <c r="E658" s="978"/>
      <c r="F658" s="83">
        <v>1</v>
      </c>
      <c r="G658" s="83">
        <v>1.5</v>
      </c>
      <c r="H658" s="83">
        <v>4.55</v>
      </c>
      <c r="I658" s="83">
        <v>1</v>
      </c>
      <c r="J658" s="83">
        <v>0</v>
      </c>
      <c r="K658" s="84">
        <f t="shared" si="3"/>
        <v>6.8249999999999993</v>
      </c>
      <c r="L658" s="82"/>
    </row>
    <row r="659" spans="2:12">
      <c r="B659" s="222"/>
      <c r="C659" s="976" t="s">
        <v>499</v>
      </c>
      <c r="D659" s="977"/>
      <c r="E659" s="978"/>
      <c r="F659" s="83">
        <v>1</v>
      </c>
      <c r="G659" s="83">
        <v>1.5</v>
      </c>
      <c r="H659" s="83">
        <v>4.5999999999999996</v>
      </c>
      <c r="I659" s="83">
        <v>1</v>
      </c>
      <c r="J659" s="83">
        <v>0</v>
      </c>
      <c r="K659" s="84">
        <f t="shared" si="3"/>
        <v>6.8999999999999995</v>
      </c>
      <c r="L659" s="82"/>
    </row>
    <row r="660" spans="2:12">
      <c r="B660" s="222"/>
      <c r="C660" s="976" t="s">
        <v>499</v>
      </c>
      <c r="D660" s="977"/>
      <c r="E660" s="978"/>
      <c r="F660" s="83">
        <v>1</v>
      </c>
      <c r="G660" s="83">
        <v>1.5</v>
      </c>
      <c r="H660" s="83">
        <v>7.9</v>
      </c>
      <c r="I660" s="83">
        <v>1</v>
      </c>
      <c r="J660" s="83">
        <v>0</v>
      </c>
      <c r="K660" s="84">
        <f t="shared" si="3"/>
        <v>11.850000000000001</v>
      </c>
      <c r="L660" s="82"/>
    </row>
    <row r="661" spans="2:12">
      <c r="B661" s="222"/>
      <c r="C661" s="976" t="s">
        <v>565</v>
      </c>
      <c r="D661" s="977"/>
      <c r="E661" s="978"/>
      <c r="F661" s="83">
        <v>2</v>
      </c>
      <c r="G661" s="83">
        <v>1.5</v>
      </c>
      <c r="H661" s="83">
        <v>7.2</v>
      </c>
      <c r="I661" s="83">
        <v>1</v>
      </c>
      <c r="J661" s="83">
        <v>0</v>
      </c>
      <c r="K661" s="84">
        <f t="shared" si="3"/>
        <v>21.6</v>
      </c>
      <c r="L661" s="82"/>
    </row>
    <row r="662" spans="2:12">
      <c r="B662" s="222"/>
      <c r="C662" s="976" t="s">
        <v>565</v>
      </c>
      <c r="D662" s="977"/>
      <c r="E662" s="978"/>
      <c r="F662" s="83">
        <v>2</v>
      </c>
      <c r="G662" s="83">
        <v>1.5</v>
      </c>
      <c r="H662" s="83">
        <v>5</v>
      </c>
      <c r="I662" s="83">
        <v>1</v>
      </c>
      <c r="J662" s="83">
        <v>0</v>
      </c>
      <c r="K662" s="84">
        <f t="shared" si="3"/>
        <v>15</v>
      </c>
      <c r="L662" s="82"/>
    </row>
    <row r="663" spans="2:12">
      <c r="B663" s="222"/>
      <c r="C663" s="979" t="s">
        <v>116</v>
      </c>
      <c r="D663" s="979"/>
      <c r="E663" s="979"/>
      <c r="F663" s="979"/>
      <c r="G663" s="979"/>
      <c r="H663" s="979"/>
      <c r="I663" s="979"/>
      <c r="J663" s="979"/>
      <c r="K663" s="81">
        <f>SUM(K641:K662)</f>
        <v>923.91000000000031</v>
      </c>
      <c r="L663" s="82"/>
    </row>
    <row r="664" spans="2:12">
      <c r="B664" s="351"/>
      <c r="C664" s="180"/>
      <c r="D664" s="180"/>
      <c r="E664" s="180"/>
      <c r="F664" s="180"/>
      <c r="G664" s="180"/>
      <c r="H664" s="180"/>
      <c r="I664" s="180"/>
      <c r="J664" s="180"/>
      <c r="K664" s="181"/>
      <c r="L664" s="82"/>
    </row>
    <row r="665" spans="2:12" ht="30" customHeight="1">
      <c r="B665" s="351" t="s">
        <v>436</v>
      </c>
      <c r="C665" s="989" t="s">
        <v>666</v>
      </c>
      <c r="D665" s="990"/>
      <c r="E665" s="990"/>
      <c r="F665" s="990"/>
      <c r="G665" s="990"/>
      <c r="H665" s="990"/>
      <c r="I665" s="990"/>
      <c r="J665" s="991"/>
      <c r="K665" s="97" t="s">
        <v>7</v>
      </c>
      <c r="L665" s="97">
        <f>K689</f>
        <v>461.95500000000015</v>
      </c>
    </row>
    <row r="666" spans="2:12">
      <c r="B666" s="351"/>
      <c r="C666" s="992" t="s">
        <v>20</v>
      </c>
      <c r="D666" s="992"/>
      <c r="E666" s="992"/>
      <c r="F666" s="79" t="s">
        <v>22</v>
      </c>
      <c r="G666" s="350" t="s">
        <v>111</v>
      </c>
      <c r="H666" s="79" t="s">
        <v>112</v>
      </c>
      <c r="I666" s="350" t="s">
        <v>113</v>
      </c>
      <c r="J666" s="350" t="s">
        <v>114</v>
      </c>
      <c r="K666" s="81" t="s">
        <v>25</v>
      </c>
      <c r="L666" s="82"/>
    </row>
    <row r="667" spans="2:12">
      <c r="B667" s="351"/>
      <c r="C667" s="976" t="s">
        <v>561</v>
      </c>
      <c r="D667" s="977"/>
      <c r="E667" s="978"/>
      <c r="F667" s="83">
        <v>2</v>
      </c>
      <c r="G667" s="83">
        <v>2.1</v>
      </c>
      <c r="H667" s="83">
        <v>1</v>
      </c>
      <c r="I667" s="83">
        <v>36.799999999999997</v>
      </c>
      <c r="J667" s="83">
        <f>0.95*2.1</f>
        <v>1.9949999999999999</v>
      </c>
      <c r="K667" s="84">
        <f>(H667*I667*G667*F667)-J667</f>
        <v>152.565</v>
      </c>
      <c r="L667" s="82"/>
    </row>
    <row r="668" spans="2:12">
      <c r="B668" s="351"/>
      <c r="C668" s="976" t="s">
        <v>562</v>
      </c>
      <c r="D668" s="977"/>
      <c r="E668" s="978"/>
      <c r="F668" s="83">
        <v>1</v>
      </c>
      <c r="G668" s="83">
        <v>2.5</v>
      </c>
      <c r="H668" s="83">
        <v>1</v>
      </c>
      <c r="I668" s="83">
        <f>SUM(32.2+19.35+4.85+12.3+4.85+6.85+2.35+1.3+4+4.2+4.15+1+1.4+1.6+3.45+14.85+6.5+5+8.3+5+10.45+7.5+10.45+7.5+22.5+4.55+4.7+22.55+31.78)</f>
        <v>265.48</v>
      </c>
      <c r="J668" s="83">
        <f>SUM(24+4.8+0.6+0.32+20.16+3.78+1.89)</f>
        <v>55.550000000000004</v>
      </c>
      <c r="K668" s="84">
        <f t="shared" ref="K668:K688" si="4">(H668*I668*G668*F668)-J668</f>
        <v>608.15000000000009</v>
      </c>
      <c r="L668" s="82"/>
    </row>
    <row r="669" spans="2:12">
      <c r="B669" s="351"/>
      <c r="C669" s="976" t="s">
        <v>338</v>
      </c>
      <c r="D669" s="977"/>
      <c r="E669" s="978"/>
      <c r="F669" s="83">
        <v>1</v>
      </c>
      <c r="G669" s="83">
        <v>0.5</v>
      </c>
      <c r="H669" s="83">
        <v>8</v>
      </c>
      <c r="I669" s="83">
        <v>1</v>
      </c>
      <c r="J669" s="83">
        <v>0</v>
      </c>
      <c r="K669" s="84">
        <f t="shared" si="4"/>
        <v>4</v>
      </c>
      <c r="L669" s="82"/>
    </row>
    <row r="670" spans="2:12">
      <c r="B670" s="351"/>
      <c r="C670" s="976" t="s">
        <v>338</v>
      </c>
      <c r="D670" s="977"/>
      <c r="E670" s="978"/>
      <c r="F670" s="83">
        <v>1</v>
      </c>
      <c r="G670" s="83">
        <v>0.75</v>
      </c>
      <c r="H670" s="83">
        <v>6</v>
      </c>
      <c r="I670" s="83">
        <v>1</v>
      </c>
      <c r="J670" s="83">
        <v>0</v>
      </c>
      <c r="K670" s="84">
        <f t="shared" si="4"/>
        <v>4.5</v>
      </c>
      <c r="L670" s="82"/>
    </row>
    <row r="671" spans="2:12">
      <c r="B671" s="351"/>
      <c r="C671" s="976" t="s">
        <v>461</v>
      </c>
      <c r="D671" s="977"/>
      <c r="E671" s="978"/>
      <c r="F671" s="83">
        <v>1</v>
      </c>
      <c r="G671" s="83">
        <v>1.5</v>
      </c>
      <c r="H671" s="83">
        <v>8</v>
      </c>
      <c r="I671" s="83">
        <v>1</v>
      </c>
      <c r="J671" s="83">
        <v>0</v>
      </c>
      <c r="K671" s="84">
        <f t="shared" si="4"/>
        <v>12</v>
      </c>
      <c r="L671" s="82"/>
    </row>
    <row r="672" spans="2:12">
      <c r="B672" s="351"/>
      <c r="C672" s="976" t="s">
        <v>461</v>
      </c>
      <c r="D672" s="977"/>
      <c r="E672" s="978"/>
      <c r="F672" s="83">
        <v>1</v>
      </c>
      <c r="G672" s="83">
        <v>1.5</v>
      </c>
      <c r="H672" s="83">
        <v>6</v>
      </c>
      <c r="I672" s="83">
        <v>1</v>
      </c>
      <c r="J672" s="83">
        <v>0</v>
      </c>
      <c r="K672" s="84">
        <f t="shared" si="4"/>
        <v>9</v>
      </c>
      <c r="L672" s="82"/>
    </row>
    <row r="673" spans="2:12">
      <c r="B673" s="351"/>
      <c r="C673" s="976" t="s">
        <v>563</v>
      </c>
      <c r="D673" s="977"/>
      <c r="E673" s="978"/>
      <c r="F673" s="83">
        <v>1</v>
      </c>
      <c r="G673" s="83">
        <v>1.5</v>
      </c>
      <c r="H673" s="83">
        <v>2.75</v>
      </c>
      <c r="I673" s="83">
        <v>1</v>
      </c>
      <c r="J673" s="83">
        <v>0</v>
      </c>
      <c r="K673" s="84">
        <f t="shared" si="4"/>
        <v>4.125</v>
      </c>
      <c r="L673" s="82"/>
    </row>
    <row r="674" spans="2:12">
      <c r="B674" s="351"/>
      <c r="C674" s="976" t="s">
        <v>563</v>
      </c>
      <c r="D674" s="977"/>
      <c r="E674" s="978"/>
      <c r="F674" s="83">
        <v>1</v>
      </c>
      <c r="G674" s="83">
        <v>1.5</v>
      </c>
      <c r="H674" s="83">
        <v>5.55</v>
      </c>
      <c r="I674" s="83">
        <v>1</v>
      </c>
      <c r="J674" s="83">
        <v>0</v>
      </c>
      <c r="K674" s="84">
        <f t="shared" si="4"/>
        <v>8.3249999999999993</v>
      </c>
      <c r="L674" s="82"/>
    </row>
    <row r="675" spans="2:12">
      <c r="B675" s="351"/>
      <c r="C675" s="976" t="s">
        <v>564</v>
      </c>
      <c r="D675" s="977"/>
      <c r="E675" s="978"/>
      <c r="F675" s="83">
        <v>1</v>
      </c>
      <c r="G675" s="83">
        <v>1.5</v>
      </c>
      <c r="H675" s="83">
        <v>2.95</v>
      </c>
      <c r="I675" s="83">
        <v>1</v>
      </c>
      <c r="J675" s="83">
        <v>0</v>
      </c>
      <c r="K675" s="84">
        <f t="shared" si="4"/>
        <v>4.4250000000000007</v>
      </c>
      <c r="L675" s="82"/>
    </row>
    <row r="676" spans="2:12">
      <c r="B676" s="351"/>
      <c r="C676" s="976" t="s">
        <v>564</v>
      </c>
      <c r="D676" s="977"/>
      <c r="E676" s="978"/>
      <c r="F676" s="83">
        <v>1</v>
      </c>
      <c r="G676" s="83">
        <v>1.5</v>
      </c>
      <c r="H676" s="83">
        <v>5.55</v>
      </c>
      <c r="I676" s="83">
        <v>1</v>
      </c>
      <c r="J676" s="83">
        <v>0</v>
      </c>
      <c r="K676" s="84">
        <f t="shared" si="4"/>
        <v>8.3249999999999993</v>
      </c>
      <c r="L676" s="82"/>
    </row>
    <row r="677" spans="2:12">
      <c r="B677" s="351"/>
      <c r="C677" s="976" t="s">
        <v>564</v>
      </c>
      <c r="D677" s="977"/>
      <c r="E677" s="978"/>
      <c r="F677" s="83">
        <v>1</v>
      </c>
      <c r="G677" s="83">
        <v>1.5</v>
      </c>
      <c r="H677" s="83">
        <v>2.2999999999999998</v>
      </c>
      <c r="I677" s="83">
        <v>1</v>
      </c>
      <c r="J677" s="83">
        <v>0</v>
      </c>
      <c r="K677" s="84">
        <f t="shared" si="4"/>
        <v>3.4499999999999997</v>
      </c>
      <c r="L677" s="82"/>
    </row>
    <row r="678" spans="2:12">
      <c r="B678" s="351"/>
      <c r="C678" s="976" t="s">
        <v>564</v>
      </c>
      <c r="D678" s="977"/>
      <c r="E678" s="978"/>
      <c r="F678" s="83">
        <v>1</v>
      </c>
      <c r="G678" s="83">
        <v>1.5</v>
      </c>
      <c r="H678" s="83">
        <v>5.55</v>
      </c>
      <c r="I678" s="83">
        <v>1</v>
      </c>
      <c r="J678" s="83">
        <v>0</v>
      </c>
      <c r="K678" s="84">
        <f t="shared" si="4"/>
        <v>8.3249999999999993</v>
      </c>
      <c r="L678" s="82"/>
    </row>
    <row r="679" spans="2:12">
      <c r="B679" s="351"/>
      <c r="C679" s="976" t="s">
        <v>236</v>
      </c>
      <c r="D679" s="977"/>
      <c r="E679" s="978"/>
      <c r="F679" s="83">
        <v>1</v>
      </c>
      <c r="G679" s="83">
        <v>1.5</v>
      </c>
      <c r="H679" s="83">
        <v>3.9</v>
      </c>
      <c r="I679" s="83">
        <v>1</v>
      </c>
      <c r="J679" s="83">
        <v>1.68</v>
      </c>
      <c r="K679" s="84">
        <f t="shared" si="4"/>
        <v>4.17</v>
      </c>
      <c r="L679" s="82"/>
    </row>
    <row r="680" spans="2:12">
      <c r="B680" s="351"/>
      <c r="C680" s="976" t="s">
        <v>236</v>
      </c>
      <c r="D680" s="977"/>
      <c r="E680" s="978"/>
      <c r="F680" s="83">
        <v>1</v>
      </c>
      <c r="G680" s="83">
        <v>1.5</v>
      </c>
      <c r="H680" s="83">
        <v>3.85</v>
      </c>
      <c r="I680" s="83">
        <v>1</v>
      </c>
      <c r="J680" s="83">
        <v>0</v>
      </c>
      <c r="K680" s="84">
        <f t="shared" si="4"/>
        <v>5.7750000000000004</v>
      </c>
      <c r="L680" s="82"/>
    </row>
    <row r="681" spans="2:12">
      <c r="B681" s="351"/>
      <c r="C681" s="976" t="s">
        <v>496</v>
      </c>
      <c r="D681" s="977"/>
      <c r="E681" s="978"/>
      <c r="F681" s="83">
        <v>1</v>
      </c>
      <c r="G681" s="83">
        <v>1.5</v>
      </c>
      <c r="H681" s="83">
        <v>4.55</v>
      </c>
      <c r="I681" s="83">
        <v>1</v>
      </c>
      <c r="J681" s="83">
        <v>0</v>
      </c>
      <c r="K681" s="84">
        <f t="shared" si="4"/>
        <v>6.8249999999999993</v>
      </c>
      <c r="L681" s="82"/>
    </row>
    <row r="682" spans="2:12">
      <c r="B682" s="351"/>
      <c r="C682" s="976" t="s">
        <v>496</v>
      </c>
      <c r="D682" s="977"/>
      <c r="E682" s="978"/>
      <c r="F682" s="83">
        <v>1</v>
      </c>
      <c r="G682" s="83">
        <v>1.5</v>
      </c>
      <c r="H682" s="83">
        <v>7.85</v>
      </c>
      <c r="I682" s="83">
        <v>1</v>
      </c>
      <c r="J682" s="83">
        <v>0</v>
      </c>
      <c r="K682" s="84">
        <f t="shared" si="4"/>
        <v>11.774999999999999</v>
      </c>
      <c r="L682" s="82"/>
    </row>
    <row r="683" spans="2:12">
      <c r="B683" s="351"/>
      <c r="C683" s="976" t="s">
        <v>498</v>
      </c>
      <c r="D683" s="977"/>
      <c r="E683" s="978"/>
      <c r="F683" s="83">
        <v>1</v>
      </c>
      <c r="G683" s="83">
        <v>1.5</v>
      </c>
      <c r="H683" s="83">
        <v>4</v>
      </c>
      <c r="I683" s="83">
        <v>1</v>
      </c>
      <c r="J683" s="83">
        <v>0</v>
      </c>
      <c r="K683" s="84">
        <f t="shared" si="4"/>
        <v>6</v>
      </c>
      <c r="L683" s="82"/>
    </row>
    <row r="684" spans="2:12">
      <c r="B684" s="351"/>
      <c r="C684" s="976" t="s">
        <v>498</v>
      </c>
      <c r="D684" s="977"/>
      <c r="E684" s="978"/>
      <c r="F684" s="83">
        <v>1</v>
      </c>
      <c r="G684" s="83">
        <v>1.5</v>
      </c>
      <c r="H684" s="83">
        <v>4.55</v>
      </c>
      <c r="I684" s="83">
        <v>1</v>
      </c>
      <c r="J684" s="83">
        <v>0</v>
      </c>
      <c r="K684" s="84">
        <f t="shared" si="4"/>
        <v>6.8249999999999993</v>
      </c>
      <c r="L684" s="82"/>
    </row>
    <row r="685" spans="2:12">
      <c r="B685" s="351"/>
      <c r="C685" s="976" t="s">
        <v>499</v>
      </c>
      <c r="D685" s="977"/>
      <c r="E685" s="978"/>
      <c r="F685" s="83">
        <v>1</v>
      </c>
      <c r="G685" s="83">
        <v>1.5</v>
      </c>
      <c r="H685" s="83">
        <v>4.5999999999999996</v>
      </c>
      <c r="I685" s="83">
        <v>1</v>
      </c>
      <c r="J685" s="83">
        <v>0</v>
      </c>
      <c r="K685" s="84">
        <f t="shared" si="4"/>
        <v>6.8999999999999995</v>
      </c>
      <c r="L685" s="82"/>
    </row>
    <row r="686" spans="2:12">
      <c r="B686" s="351"/>
      <c r="C686" s="976" t="s">
        <v>499</v>
      </c>
      <c r="D686" s="977"/>
      <c r="E686" s="978"/>
      <c r="F686" s="83">
        <v>1</v>
      </c>
      <c r="G686" s="83">
        <v>1.5</v>
      </c>
      <c r="H686" s="83">
        <v>7.9</v>
      </c>
      <c r="I686" s="83">
        <v>1</v>
      </c>
      <c r="J686" s="83">
        <v>0</v>
      </c>
      <c r="K686" s="84">
        <f t="shared" si="4"/>
        <v>11.850000000000001</v>
      </c>
      <c r="L686" s="82"/>
    </row>
    <row r="687" spans="2:12">
      <c r="B687" s="351"/>
      <c r="C687" s="976" t="s">
        <v>565</v>
      </c>
      <c r="D687" s="977"/>
      <c r="E687" s="978"/>
      <c r="F687" s="83">
        <v>2</v>
      </c>
      <c r="G687" s="83">
        <v>1.5</v>
      </c>
      <c r="H687" s="83">
        <v>7.2</v>
      </c>
      <c r="I687" s="83">
        <v>1</v>
      </c>
      <c r="J687" s="83">
        <v>0</v>
      </c>
      <c r="K687" s="84">
        <f t="shared" si="4"/>
        <v>21.6</v>
      </c>
      <c r="L687" s="82"/>
    </row>
    <row r="688" spans="2:12">
      <c r="B688" s="351"/>
      <c r="C688" s="976" t="s">
        <v>565</v>
      </c>
      <c r="D688" s="977"/>
      <c r="E688" s="978"/>
      <c r="F688" s="83">
        <v>2</v>
      </c>
      <c r="G688" s="83">
        <v>1.5</v>
      </c>
      <c r="H688" s="83">
        <v>5</v>
      </c>
      <c r="I688" s="83">
        <v>1</v>
      </c>
      <c r="J688" s="83">
        <v>0</v>
      </c>
      <c r="K688" s="84">
        <f t="shared" si="4"/>
        <v>15</v>
      </c>
      <c r="L688" s="82"/>
    </row>
    <row r="689" spans="2:12">
      <c r="B689" s="351"/>
      <c r="C689" s="979" t="s">
        <v>116</v>
      </c>
      <c r="D689" s="979"/>
      <c r="E689" s="979"/>
      <c r="F689" s="979"/>
      <c r="G689" s="979"/>
      <c r="H689" s="979"/>
      <c r="I689" s="979"/>
      <c r="J689" s="979"/>
      <c r="K689" s="81">
        <f>SUM(K667:K688)/2</f>
        <v>461.95500000000015</v>
      </c>
      <c r="L689" s="82"/>
    </row>
    <row r="690" spans="2:12">
      <c r="B690" s="351"/>
      <c r="C690" s="180"/>
      <c r="D690" s="180"/>
      <c r="E690" s="180"/>
      <c r="F690" s="180"/>
      <c r="G690" s="180"/>
      <c r="H690" s="180"/>
      <c r="I690" s="180"/>
      <c r="J690" s="180"/>
      <c r="K690" s="181"/>
      <c r="L690" s="82"/>
    </row>
    <row r="691" spans="2:12">
      <c r="B691" s="351" t="s">
        <v>437</v>
      </c>
      <c r="C691" s="989" t="s">
        <v>40</v>
      </c>
      <c r="D691" s="990"/>
      <c r="E691" s="990"/>
      <c r="F691" s="990"/>
      <c r="G691" s="990"/>
      <c r="H691" s="990"/>
      <c r="I691" s="990"/>
      <c r="J691" s="991"/>
      <c r="K691" s="97" t="s">
        <v>7</v>
      </c>
      <c r="L691" s="97">
        <f>K694</f>
        <v>16.372499999999999</v>
      </c>
    </row>
    <row r="692" spans="2:12">
      <c r="B692" s="351"/>
      <c r="C692" s="992" t="s">
        <v>20</v>
      </c>
      <c r="D692" s="992"/>
      <c r="E692" s="992"/>
      <c r="F692" s="79" t="s">
        <v>22</v>
      </c>
      <c r="G692" s="350" t="s">
        <v>111</v>
      </c>
      <c r="H692" s="79" t="s">
        <v>112</v>
      </c>
      <c r="I692" s="350" t="s">
        <v>113</v>
      </c>
      <c r="J692" s="350" t="s">
        <v>114</v>
      </c>
      <c r="K692" s="81" t="s">
        <v>25</v>
      </c>
      <c r="L692" s="82"/>
    </row>
    <row r="693" spans="2:12" ht="23.25" customHeight="1">
      <c r="B693" s="351"/>
      <c r="C693" s="976" t="s">
        <v>698</v>
      </c>
      <c r="D693" s="977"/>
      <c r="E693" s="978"/>
      <c r="F693" s="83">
        <v>1</v>
      </c>
      <c r="G693" s="83">
        <v>1</v>
      </c>
      <c r="H693" s="83">
        <v>2.95</v>
      </c>
      <c r="I693" s="83">
        <v>5.55</v>
      </c>
      <c r="J693" s="83">
        <v>0</v>
      </c>
      <c r="K693" s="84">
        <f>H693*I693</f>
        <v>16.372499999999999</v>
      </c>
      <c r="L693" s="82"/>
    </row>
    <row r="694" spans="2:12">
      <c r="B694" s="351"/>
      <c r="C694" s="1121" t="s">
        <v>116</v>
      </c>
      <c r="D694" s="1122"/>
      <c r="E694" s="1122"/>
      <c r="F694" s="1122"/>
      <c r="G694" s="1122"/>
      <c r="H694" s="1122"/>
      <c r="I694" s="1122"/>
      <c r="J694" s="1123"/>
      <c r="K694" s="81">
        <f>SUM(K693:K693)</f>
        <v>16.372499999999999</v>
      </c>
      <c r="L694" s="82"/>
    </row>
    <row r="695" spans="2:12">
      <c r="B695" s="351"/>
      <c r="C695" s="180"/>
      <c r="D695" s="180"/>
      <c r="E695" s="180"/>
      <c r="F695" s="180"/>
      <c r="G695" s="180"/>
      <c r="H695" s="180"/>
      <c r="I695" s="180"/>
      <c r="J695" s="180"/>
      <c r="K695" s="181"/>
      <c r="L695" s="82"/>
    </row>
    <row r="696" spans="2:12">
      <c r="B696" s="82"/>
      <c r="C696" s="82"/>
      <c r="D696" s="82"/>
      <c r="E696" s="82"/>
      <c r="F696" s="82"/>
      <c r="G696" s="82"/>
      <c r="H696" s="82"/>
      <c r="I696" s="82"/>
      <c r="J696" s="82"/>
      <c r="K696" s="82"/>
      <c r="L696" s="82"/>
    </row>
    <row r="697" spans="2:12" ht="29.25" customHeight="1">
      <c r="B697" s="222" t="s">
        <v>438</v>
      </c>
      <c r="C697" s="989" t="str">
        <f>'ESCOLA PASCOAL'!C28</f>
        <v>PINTURA COM TINTA ALQUÍDICA DE ACABAMENTO (ESMALTE SINTÉTICO BRILHANTE) APLICADA A ROLO OU PINCEL SOBRE PERFIL METÁLICO EXECUTADO EM FÁBRICA (POR DEMÃO). AF_01/2020</v>
      </c>
      <c r="D697" s="990"/>
      <c r="E697" s="990"/>
      <c r="F697" s="990"/>
      <c r="G697" s="990"/>
      <c r="H697" s="990"/>
      <c r="I697" s="990"/>
      <c r="J697" s="991"/>
      <c r="K697" s="97" t="s">
        <v>7</v>
      </c>
      <c r="L697" s="97">
        <f>K701</f>
        <v>29.827499999999997</v>
      </c>
    </row>
    <row r="698" spans="2:12">
      <c r="B698" s="222"/>
      <c r="C698" s="992" t="s">
        <v>20</v>
      </c>
      <c r="D698" s="992"/>
      <c r="E698" s="992"/>
      <c r="F698" s="79" t="s">
        <v>22</v>
      </c>
      <c r="G698" s="221" t="s">
        <v>111</v>
      </c>
      <c r="H698" s="79" t="s">
        <v>112</v>
      </c>
      <c r="I698" s="221" t="s">
        <v>113</v>
      </c>
      <c r="J698" s="221" t="s">
        <v>114</v>
      </c>
      <c r="K698" s="81" t="s">
        <v>25</v>
      </c>
      <c r="L698" s="82"/>
    </row>
    <row r="699" spans="2:12">
      <c r="B699" s="222"/>
      <c r="C699" s="976" t="s">
        <v>563</v>
      </c>
      <c r="D699" s="977"/>
      <c r="E699" s="978"/>
      <c r="F699" s="83">
        <v>1</v>
      </c>
      <c r="G699" s="83">
        <v>1</v>
      </c>
      <c r="H699" s="83">
        <v>2.95</v>
      </c>
      <c r="I699" s="83">
        <v>5.55</v>
      </c>
      <c r="J699" s="83">
        <v>0</v>
      </c>
      <c r="K699" s="84">
        <f>H699*I699</f>
        <v>16.372499999999999</v>
      </c>
      <c r="L699" s="82"/>
    </row>
    <row r="700" spans="2:12">
      <c r="B700" s="222"/>
      <c r="C700" s="976" t="s">
        <v>563</v>
      </c>
      <c r="D700" s="977"/>
      <c r="E700" s="978"/>
      <c r="F700" s="83">
        <v>1</v>
      </c>
      <c r="G700" s="83">
        <v>1</v>
      </c>
      <c r="H700" s="83">
        <v>2.2999999999999998</v>
      </c>
      <c r="I700" s="83">
        <v>5.85</v>
      </c>
      <c r="J700" s="83">
        <v>0</v>
      </c>
      <c r="K700" s="84">
        <f>H700*I700</f>
        <v>13.454999999999998</v>
      </c>
      <c r="L700" s="82"/>
    </row>
    <row r="701" spans="2:12">
      <c r="B701" s="222"/>
      <c r="C701" s="1121" t="s">
        <v>116</v>
      </c>
      <c r="D701" s="1122"/>
      <c r="E701" s="1122"/>
      <c r="F701" s="1122"/>
      <c r="G701" s="1122"/>
      <c r="H701" s="1122"/>
      <c r="I701" s="1122"/>
      <c r="J701" s="1123"/>
      <c r="K701" s="81">
        <f>SUM(K699:K700)</f>
        <v>29.827499999999997</v>
      </c>
      <c r="L701" s="82"/>
    </row>
    <row r="703" spans="2:12">
      <c r="B703" s="222" t="s">
        <v>588</v>
      </c>
      <c r="C703" s="989" t="str">
        <f>'ESCOLA PASCOAL'!C29</f>
        <v>PREPARO DE SUPERFICIE COM LIXAMENO DE PAREDES E TETOS</v>
      </c>
      <c r="D703" s="990"/>
      <c r="E703" s="990"/>
      <c r="F703" s="990"/>
      <c r="G703" s="990"/>
      <c r="H703" s="990"/>
      <c r="I703" s="990"/>
      <c r="J703" s="991"/>
      <c r="K703" s="97" t="s">
        <v>7</v>
      </c>
      <c r="L703" s="97">
        <f>SUM(L697,L691,L665,L639,L613)</f>
        <v>1888.6150000000005</v>
      </c>
    </row>
    <row r="704" spans="2:12">
      <c r="B704" s="222"/>
      <c r="C704" s="992" t="s">
        <v>20</v>
      </c>
      <c r="D704" s="992"/>
      <c r="E704" s="992"/>
      <c r="F704" s="79" t="s">
        <v>22</v>
      </c>
      <c r="G704" s="221" t="s">
        <v>111</v>
      </c>
      <c r="H704" s="79" t="s">
        <v>112</v>
      </c>
      <c r="I704" s="221" t="s">
        <v>113</v>
      </c>
      <c r="J704" s="221" t="s">
        <v>114</v>
      </c>
      <c r="K704" s="81" t="s">
        <v>25</v>
      </c>
      <c r="L704" s="82"/>
    </row>
    <row r="705" spans="2:12">
      <c r="B705" s="222"/>
      <c r="C705" s="976" t="s">
        <v>458</v>
      </c>
      <c r="D705" s="977"/>
      <c r="E705" s="978"/>
      <c r="F705" s="83">
        <v>1</v>
      </c>
      <c r="G705" s="83">
        <v>1</v>
      </c>
      <c r="H705" s="83">
        <v>2</v>
      </c>
      <c r="I705" s="83">
        <v>10</v>
      </c>
      <c r="J705" s="83">
        <v>0</v>
      </c>
      <c r="K705" s="84">
        <f>(F705*G705*H705*I705)-J705</f>
        <v>20</v>
      </c>
      <c r="L705" s="82"/>
    </row>
    <row r="706" spans="2:12">
      <c r="B706" s="222"/>
      <c r="C706" s="979" t="s">
        <v>116</v>
      </c>
      <c r="D706" s="979"/>
      <c r="E706" s="979"/>
      <c r="F706" s="979"/>
      <c r="G706" s="979"/>
      <c r="H706" s="979"/>
      <c r="I706" s="979"/>
      <c r="J706" s="979"/>
      <c r="K706" s="81">
        <f>SUM(K705:K705)</f>
        <v>20</v>
      </c>
      <c r="L706" s="82"/>
    </row>
    <row r="707" spans="2:12">
      <c r="B707" s="222"/>
      <c r="C707" s="180"/>
      <c r="D707" s="180"/>
      <c r="E707" s="180"/>
      <c r="F707" s="180"/>
      <c r="G707" s="180"/>
      <c r="H707" s="180"/>
      <c r="I707" s="180"/>
      <c r="J707" s="180"/>
      <c r="K707" s="181"/>
      <c r="L707" s="82"/>
    </row>
    <row r="708" spans="2:12" ht="30.75" customHeight="1">
      <c r="B708" s="222" t="s">
        <v>696</v>
      </c>
      <c r="C708" s="989" t="str">
        <f>'ESCOLA PASCOAL'!C30</f>
        <v>PINTURA TINTA DE ACABAMENTO (PIGMENTADA) ESMALTE SINTÉTICO FOSCO EM MADEIRA, 2 DEMÃOS. AF_01/2021</v>
      </c>
      <c r="D708" s="990"/>
      <c r="E708" s="990"/>
      <c r="F708" s="990"/>
      <c r="G708" s="990"/>
      <c r="H708" s="990"/>
      <c r="I708" s="990"/>
      <c r="J708" s="991"/>
      <c r="K708" s="97" t="s">
        <v>7</v>
      </c>
      <c r="L708" s="97">
        <f>K711</f>
        <v>84</v>
      </c>
    </row>
    <row r="709" spans="2:12">
      <c r="B709" s="222"/>
      <c r="C709" s="992" t="s">
        <v>20</v>
      </c>
      <c r="D709" s="992"/>
      <c r="E709" s="992"/>
      <c r="F709" s="79" t="s">
        <v>22</v>
      </c>
      <c r="G709" s="221" t="s">
        <v>111</v>
      </c>
      <c r="H709" s="79" t="s">
        <v>112</v>
      </c>
      <c r="I709" s="221" t="s">
        <v>113</v>
      </c>
      <c r="J709" s="221" t="s">
        <v>114</v>
      </c>
      <c r="K709" s="81" t="s">
        <v>25</v>
      </c>
      <c r="L709" s="82"/>
    </row>
    <row r="710" spans="2:12">
      <c r="B710" s="222"/>
      <c r="C710" s="976" t="s">
        <v>476</v>
      </c>
      <c r="D710" s="977"/>
      <c r="E710" s="978"/>
      <c r="F710" s="83"/>
      <c r="G710" s="83"/>
      <c r="H710" s="83"/>
      <c r="I710" s="83"/>
      <c r="J710" s="83"/>
      <c r="K710" s="84">
        <v>84</v>
      </c>
      <c r="L710" s="82"/>
    </row>
    <row r="711" spans="2:12">
      <c r="B711" s="222"/>
      <c r="C711" s="979" t="s">
        <v>116</v>
      </c>
      <c r="D711" s="979"/>
      <c r="E711" s="979"/>
      <c r="F711" s="979"/>
      <c r="G711" s="979"/>
      <c r="H711" s="979"/>
      <c r="I711" s="979"/>
      <c r="J711" s="979"/>
      <c r="K711" s="81">
        <f>K710</f>
        <v>84</v>
      </c>
      <c r="L711" s="82"/>
    </row>
    <row r="712" spans="2:12">
      <c r="B712" s="343"/>
      <c r="C712" s="180"/>
      <c r="D712" s="180"/>
      <c r="E712" s="180"/>
      <c r="F712" s="180"/>
      <c r="G712" s="180"/>
      <c r="H712" s="180"/>
      <c r="I712" s="180"/>
      <c r="J712" s="180"/>
      <c r="K712" s="181"/>
      <c r="L712" s="82"/>
    </row>
    <row r="713" spans="2:12">
      <c r="B713" s="76" t="s">
        <v>13</v>
      </c>
      <c r="C713" s="993" t="s">
        <v>43</v>
      </c>
      <c r="D713" s="993"/>
      <c r="E713" s="993"/>
      <c r="F713" s="993"/>
      <c r="G713" s="993"/>
      <c r="H713" s="993"/>
      <c r="I713" s="993"/>
      <c r="J713" s="993"/>
      <c r="K713" s="77"/>
      <c r="L713" s="77"/>
    </row>
    <row r="714" spans="2:12">
      <c r="B714" s="351"/>
      <c r="C714" s="180"/>
      <c r="D714" s="180"/>
      <c r="E714" s="180"/>
      <c r="F714" s="180"/>
      <c r="G714" s="180"/>
      <c r="H714" s="180"/>
      <c r="I714" s="180"/>
      <c r="J714" s="180"/>
      <c r="K714" s="181"/>
      <c r="L714" s="82"/>
    </row>
    <row r="715" spans="2:12" ht="26.25" customHeight="1">
      <c r="B715" s="222" t="s">
        <v>14</v>
      </c>
      <c r="C715" s="989" t="s">
        <v>46</v>
      </c>
      <c r="D715" s="990"/>
      <c r="E715" s="990"/>
      <c r="F715" s="990"/>
      <c r="G715" s="990"/>
      <c r="H715" s="990"/>
      <c r="I715" s="990"/>
      <c r="J715" s="991"/>
      <c r="K715" s="97" t="s">
        <v>7</v>
      </c>
      <c r="L715" s="97">
        <f>K720</f>
        <v>67.8</v>
      </c>
    </row>
    <row r="716" spans="2:12">
      <c r="B716" s="222"/>
      <c r="C716" s="992" t="s">
        <v>20</v>
      </c>
      <c r="D716" s="992"/>
      <c r="E716" s="992"/>
      <c r="F716" s="79" t="s">
        <v>22</v>
      </c>
      <c r="G716" s="221" t="s">
        <v>111</v>
      </c>
      <c r="H716" s="79" t="s">
        <v>112</v>
      </c>
      <c r="I716" s="221" t="s">
        <v>113</v>
      </c>
      <c r="J716" s="221" t="s">
        <v>114</v>
      </c>
      <c r="K716" s="81" t="s">
        <v>25</v>
      </c>
      <c r="L716" s="82"/>
    </row>
    <row r="717" spans="2:12">
      <c r="B717" s="222"/>
      <c r="C717" s="984" t="s">
        <v>240</v>
      </c>
      <c r="D717" s="985"/>
      <c r="E717" s="986"/>
      <c r="F717" s="91">
        <v>3</v>
      </c>
      <c r="G717" s="91">
        <v>1</v>
      </c>
      <c r="H717" s="91">
        <v>2</v>
      </c>
      <c r="I717" s="91">
        <v>1.3</v>
      </c>
      <c r="J717" s="91">
        <v>0</v>
      </c>
      <c r="K717" s="84">
        <f>F717*G717*H717*I717</f>
        <v>7.8000000000000007</v>
      </c>
      <c r="L717" s="82"/>
    </row>
    <row r="718" spans="2:12">
      <c r="B718" s="222"/>
      <c r="C718" s="984" t="s">
        <v>532</v>
      </c>
      <c r="D718" s="985"/>
      <c r="E718" s="986"/>
      <c r="F718" s="91">
        <v>3</v>
      </c>
      <c r="G718" s="91">
        <v>1</v>
      </c>
      <c r="H718" s="91">
        <v>2</v>
      </c>
      <c r="I718" s="91">
        <v>2</v>
      </c>
      <c r="J718" s="91">
        <v>0</v>
      </c>
      <c r="K718" s="84">
        <f>F718*G718*H718*I718</f>
        <v>12</v>
      </c>
      <c r="L718" s="82"/>
    </row>
    <row r="719" spans="2:12">
      <c r="B719" s="222"/>
      <c r="C719" s="984" t="s">
        <v>97</v>
      </c>
      <c r="D719" s="985"/>
      <c r="E719" s="986"/>
      <c r="F719" s="91">
        <v>3</v>
      </c>
      <c r="G719" s="91">
        <v>1</v>
      </c>
      <c r="H719" s="91">
        <v>4</v>
      </c>
      <c r="I719" s="91">
        <v>4</v>
      </c>
      <c r="J719" s="91">
        <v>0</v>
      </c>
      <c r="K719" s="84">
        <f>F719*G719*H719*I719</f>
        <v>48</v>
      </c>
      <c r="L719" s="82"/>
    </row>
    <row r="720" spans="2:12">
      <c r="B720" s="222"/>
      <c r="C720" s="979" t="s">
        <v>116</v>
      </c>
      <c r="D720" s="979"/>
      <c r="E720" s="979"/>
      <c r="F720" s="979"/>
      <c r="G720" s="979"/>
      <c r="H720" s="979"/>
      <c r="I720" s="979"/>
      <c r="J720" s="979"/>
      <c r="K720" s="81">
        <f>SUM(K717:K719)</f>
        <v>67.8</v>
      </c>
      <c r="L720" s="82"/>
    </row>
    <row r="721" spans="1:12">
      <c r="B721" s="82"/>
      <c r="C721" s="82"/>
      <c r="D721" s="82"/>
      <c r="E721" s="82"/>
      <c r="F721" s="82"/>
      <c r="G721" s="82"/>
      <c r="H721" s="82"/>
      <c r="I721" s="82"/>
      <c r="J721" s="82"/>
      <c r="K721" s="82"/>
      <c r="L721" s="82"/>
    </row>
    <row r="722" spans="1:12" ht="37.5" customHeight="1">
      <c r="B722" s="222" t="s">
        <v>35</v>
      </c>
      <c r="C722" s="989" t="s">
        <v>48</v>
      </c>
      <c r="D722" s="990"/>
      <c r="E722" s="990"/>
      <c r="F722" s="990"/>
      <c r="G722" s="990"/>
      <c r="H722" s="990"/>
      <c r="I722" s="990"/>
      <c r="J722" s="991"/>
      <c r="K722" s="97" t="s">
        <v>7</v>
      </c>
      <c r="L722" s="97">
        <f>K727</f>
        <v>67.8</v>
      </c>
    </row>
    <row r="723" spans="1:12">
      <c r="B723" s="222"/>
      <c r="C723" s="992" t="s">
        <v>20</v>
      </c>
      <c r="D723" s="992"/>
      <c r="E723" s="992"/>
      <c r="F723" s="79" t="s">
        <v>22</v>
      </c>
      <c r="G723" s="221" t="s">
        <v>111</v>
      </c>
      <c r="H723" s="79" t="s">
        <v>112</v>
      </c>
      <c r="I723" s="221" t="s">
        <v>113</v>
      </c>
      <c r="J723" s="221" t="s">
        <v>114</v>
      </c>
      <c r="K723" s="81" t="s">
        <v>25</v>
      </c>
      <c r="L723" s="82"/>
    </row>
    <row r="724" spans="1:12" ht="15" customHeight="1">
      <c r="B724" s="222"/>
      <c r="C724" s="984" t="s">
        <v>240</v>
      </c>
      <c r="D724" s="985"/>
      <c r="E724" s="986"/>
      <c r="F724" s="91">
        <v>3</v>
      </c>
      <c r="G724" s="91">
        <v>1</v>
      </c>
      <c r="H724" s="91">
        <v>2</v>
      </c>
      <c r="I724" s="91">
        <v>1.3</v>
      </c>
      <c r="J724" s="91">
        <v>0</v>
      </c>
      <c r="K724" s="84">
        <f>F724*G724*H724*I724-J724</f>
        <v>7.8000000000000007</v>
      </c>
      <c r="L724" s="82"/>
    </row>
    <row r="725" spans="1:12" ht="15" customHeight="1">
      <c r="B725" s="222"/>
      <c r="C725" s="984" t="s">
        <v>532</v>
      </c>
      <c r="D725" s="985"/>
      <c r="E725" s="986"/>
      <c r="F725" s="91">
        <v>3</v>
      </c>
      <c r="G725" s="91">
        <v>1</v>
      </c>
      <c r="H725" s="91">
        <v>2</v>
      </c>
      <c r="I725" s="91">
        <v>2</v>
      </c>
      <c r="J725" s="91">
        <v>0</v>
      </c>
      <c r="K725" s="84">
        <f>F725*G725*H725*I725-J725</f>
        <v>12</v>
      </c>
      <c r="L725" s="82"/>
    </row>
    <row r="726" spans="1:12" ht="15" customHeight="1">
      <c r="B726" s="222"/>
      <c r="C726" s="984" t="s">
        <v>97</v>
      </c>
      <c r="D726" s="985"/>
      <c r="E726" s="986"/>
      <c r="F726" s="91">
        <v>3</v>
      </c>
      <c r="G726" s="91">
        <v>1</v>
      </c>
      <c r="H726" s="91">
        <v>4</v>
      </c>
      <c r="I726" s="91">
        <v>4</v>
      </c>
      <c r="J726" s="91">
        <v>0</v>
      </c>
      <c r="K726" s="84">
        <f>F726*G726*H726*I726-J726</f>
        <v>48</v>
      </c>
      <c r="L726" s="82"/>
    </row>
    <row r="727" spans="1:12">
      <c r="B727" s="222"/>
      <c r="C727" s="979" t="s">
        <v>116</v>
      </c>
      <c r="D727" s="979"/>
      <c r="E727" s="979"/>
      <c r="F727" s="979"/>
      <c r="G727" s="979"/>
      <c r="H727" s="979"/>
      <c r="I727" s="979"/>
      <c r="J727" s="979"/>
      <c r="K727" s="81">
        <f>SUM(K724:K726)</f>
        <v>67.8</v>
      </c>
      <c r="L727" s="82"/>
    </row>
    <row r="728" spans="1:12">
      <c r="A728" s="82"/>
      <c r="B728" s="82"/>
      <c r="C728" s="82"/>
      <c r="D728" s="82"/>
      <c r="E728" s="82"/>
      <c r="F728" s="82"/>
      <c r="G728" s="82"/>
      <c r="H728" s="82"/>
      <c r="I728" s="82"/>
      <c r="J728" s="82"/>
      <c r="K728" s="82"/>
      <c r="L728" s="82"/>
    </row>
    <row r="729" spans="1:12" ht="39.75" customHeight="1">
      <c r="B729" s="222" t="s">
        <v>37</v>
      </c>
      <c r="C729" s="989" t="s">
        <v>51</v>
      </c>
      <c r="D729" s="990"/>
      <c r="E729" s="990"/>
      <c r="F729" s="990"/>
      <c r="G729" s="990"/>
      <c r="H729" s="990"/>
      <c r="I729" s="990"/>
      <c r="J729" s="991"/>
      <c r="K729" s="97" t="s">
        <v>7</v>
      </c>
      <c r="L729" s="97">
        <f>K732</f>
        <v>50</v>
      </c>
    </row>
    <row r="730" spans="1:12">
      <c r="B730" s="222"/>
      <c r="C730" s="992" t="s">
        <v>20</v>
      </c>
      <c r="D730" s="992"/>
      <c r="E730" s="992"/>
      <c r="F730" s="79" t="s">
        <v>22</v>
      </c>
      <c r="G730" s="221" t="s">
        <v>111</v>
      </c>
      <c r="H730" s="79" t="s">
        <v>112</v>
      </c>
      <c r="I730" s="221" t="s">
        <v>113</v>
      </c>
      <c r="J730" s="221" t="s">
        <v>114</v>
      </c>
      <c r="K730" s="81" t="s">
        <v>25</v>
      </c>
      <c r="L730" s="82"/>
    </row>
    <row r="731" spans="1:12">
      <c r="B731" s="222"/>
      <c r="C731" s="1021" t="s">
        <v>531</v>
      </c>
      <c r="D731" s="1022"/>
      <c r="E731" s="1023"/>
      <c r="F731" s="83">
        <v>2</v>
      </c>
      <c r="G731" s="249">
        <v>1</v>
      </c>
      <c r="H731" s="250">
        <v>5</v>
      </c>
      <c r="I731" s="249">
        <v>5</v>
      </c>
      <c r="J731" s="249">
        <v>0</v>
      </c>
      <c r="K731" s="84">
        <f>F731*G731*H731*I731-J731</f>
        <v>50</v>
      </c>
      <c r="L731" s="82"/>
    </row>
    <row r="732" spans="1:12">
      <c r="B732" s="222"/>
      <c r="C732" s="979" t="s">
        <v>116</v>
      </c>
      <c r="D732" s="979"/>
      <c r="E732" s="979"/>
      <c r="F732" s="979"/>
      <c r="G732" s="979"/>
      <c r="H732" s="979"/>
      <c r="I732" s="979"/>
      <c r="J732" s="979"/>
      <c r="K732" s="81">
        <f>SUM(K731:K731)</f>
        <v>50</v>
      </c>
      <c r="L732" s="82"/>
    </row>
    <row r="733" spans="1:12">
      <c r="B733" s="242"/>
      <c r="C733" s="180"/>
      <c r="D733" s="180"/>
      <c r="E733" s="180"/>
      <c r="F733" s="180"/>
      <c r="G733" s="180"/>
      <c r="H733" s="180"/>
      <c r="I733" s="180"/>
      <c r="J733" s="180"/>
      <c r="K733" s="181"/>
      <c r="L733" s="82"/>
    </row>
    <row r="734" spans="1:12" ht="33.75" customHeight="1">
      <c r="B734" s="242" t="s">
        <v>39</v>
      </c>
      <c r="C734" s="989" t="s">
        <v>82</v>
      </c>
      <c r="D734" s="990"/>
      <c r="E734" s="990"/>
      <c r="F734" s="990"/>
      <c r="G734" s="990"/>
      <c r="H734" s="990"/>
      <c r="I734" s="990"/>
      <c r="J734" s="991"/>
      <c r="K734" s="97" t="s">
        <v>7</v>
      </c>
      <c r="L734" s="97">
        <f>K737</f>
        <v>80</v>
      </c>
    </row>
    <row r="735" spans="1:12">
      <c r="B735" s="242"/>
      <c r="C735" s="992" t="s">
        <v>20</v>
      </c>
      <c r="D735" s="992"/>
      <c r="E735" s="992"/>
      <c r="F735" s="79" t="s">
        <v>22</v>
      </c>
      <c r="G735" s="240" t="s">
        <v>111</v>
      </c>
      <c r="H735" s="79" t="s">
        <v>112</v>
      </c>
      <c r="I735" s="240" t="s">
        <v>113</v>
      </c>
      <c r="J735" s="240" t="s">
        <v>114</v>
      </c>
      <c r="K735" s="81" t="s">
        <v>25</v>
      </c>
      <c r="L735" s="82"/>
    </row>
    <row r="736" spans="1:12" ht="15" customHeight="1">
      <c r="B736" s="242"/>
      <c r="C736" s="984" t="s">
        <v>531</v>
      </c>
      <c r="D736" s="985"/>
      <c r="E736" s="986"/>
      <c r="F736" s="91">
        <v>2</v>
      </c>
      <c r="G736" s="91">
        <v>1</v>
      </c>
      <c r="H736" s="91">
        <v>8</v>
      </c>
      <c r="I736" s="91">
        <v>5</v>
      </c>
      <c r="J736" s="91">
        <v>0</v>
      </c>
      <c r="K736" s="84">
        <f>F736*G736*H736*I736-J736</f>
        <v>80</v>
      </c>
      <c r="L736" s="82"/>
    </row>
    <row r="737" spans="2:12">
      <c r="B737" s="242"/>
      <c r="C737" s="979" t="s">
        <v>116</v>
      </c>
      <c r="D737" s="979"/>
      <c r="E737" s="979"/>
      <c r="F737" s="979"/>
      <c r="G737" s="979"/>
      <c r="H737" s="979"/>
      <c r="I737" s="979"/>
      <c r="J737" s="979"/>
      <c r="K737" s="81">
        <f>K736</f>
        <v>80</v>
      </c>
      <c r="L737" s="82"/>
    </row>
    <row r="739" spans="2:12">
      <c r="B739" s="76" t="s">
        <v>42</v>
      </c>
      <c r="C739" s="993" t="s">
        <v>53</v>
      </c>
      <c r="D739" s="993"/>
      <c r="E739" s="993"/>
      <c r="F739" s="993"/>
      <c r="G739" s="993"/>
      <c r="H739" s="993"/>
      <c r="I739" s="993"/>
      <c r="J739" s="993"/>
      <c r="K739" s="77"/>
      <c r="L739" s="77"/>
    </row>
    <row r="740" spans="2:12" ht="27" customHeight="1">
      <c r="B740" s="222" t="s">
        <v>45</v>
      </c>
      <c r="C740" s="989" t="s">
        <v>86</v>
      </c>
      <c r="D740" s="990"/>
      <c r="E740" s="990"/>
      <c r="F740" s="990"/>
      <c r="G740" s="990"/>
      <c r="H740" s="990"/>
      <c r="I740" s="990"/>
      <c r="J740" s="991"/>
      <c r="K740" s="97" t="s">
        <v>21</v>
      </c>
      <c r="L740" s="97">
        <f>K743</f>
        <v>10</v>
      </c>
    </row>
    <row r="741" spans="2:12">
      <c r="B741" s="222"/>
      <c r="C741" s="992" t="s">
        <v>20</v>
      </c>
      <c r="D741" s="992"/>
      <c r="E741" s="992"/>
      <c r="F741" s="79" t="s">
        <v>22</v>
      </c>
      <c r="G741" s="221" t="s">
        <v>111</v>
      </c>
      <c r="H741" s="79" t="s">
        <v>112</v>
      </c>
      <c r="I741" s="221" t="s">
        <v>113</v>
      </c>
      <c r="J741" s="221" t="s">
        <v>114</v>
      </c>
      <c r="K741" s="81" t="s">
        <v>25</v>
      </c>
      <c r="L741" s="82"/>
    </row>
    <row r="742" spans="2:12">
      <c r="B742" s="222"/>
      <c r="C742" s="976" t="s">
        <v>535</v>
      </c>
      <c r="D742" s="977"/>
      <c r="E742" s="978"/>
      <c r="F742" s="83">
        <v>10</v>
      </c>
      <c r="G742" s="83">
        <v>1</v>
      </c>
      <c r="H742" s="83">
        <v>1</v>
      </c>
      <c r="I742" s="83">
        <v>1</v>
      </c>
      <c r="J742" s="83">
        <v>0</v>
      </c>
      <c r="K742" s="84">
        <f>F742*G742*H742*I742-J742</f>
        <v>10</v>
      </c>
      <c r="L742" s="82"/>
    </row>
    <row r="743" spans="2:12">
      <c r="B743" s="222"/>
      <c r="C743" s="979" t="s">
        <v>116</v>
      </c>
      <c r="D743" s="979"/>
      <c r="E743" s="979"/>
      <c r="F743" s="979"/>
      <c r="G743" s="979"/>
      <c r="H743" s="979"/>
      <c r="I743" s="979"/>
      <c r="J743" s="979"/>
      <c r="K743" s="81">
        <f>K742</f>
        <v>10</v>
      </c>
      <c r="L743" s="82"/>
    </row>
    <row r="744" spans="2:12">
      <c r="B744" s="82"/>
      <c r="C744" s="82"/>
      <c r="D744" s="82"/>
      <c r="E744" s="82"/>
      <c r="F744" s="82"/>
      <c r="G744" s="82"/>
      <c r="H744" s="82"/>
      <c r="I744" s="82"/>
      <c r="J744" s="82"/>
      <c r="K744" s="82"/>
      <c r="L744" s="82"/>
    </row>
    <row r="745" spans="2:12" ht="24" customHeight="1">
      <c r="B745" s="222" t="s">
        <v>198</v>
      </c>
      <c r="C745" s="989" t="s">
        <v>88</v>
      </c>
      <c r="D745" s="990"/>
      <c r="E745" s="990"/>
      <c r="F745" s="990"/>
      <c r="G745" s="990"/>
      <c r="H745" s="990"/>
      <c r="I745" s="990"/>
      <c r="J745" s="991"/>
      <c r="K745" s="97" t="s">
        <v>21</v>
      </c>
      <c r="L745" s="97">
        <f>K748</f>
        <v>5</v>
      </c>
    </row>
    <row r="746" spans="2:12">
      <c r="B746" s="222"/>
      <c r="C746" s="992" t="s">
        <v>20</v>
      </c>
      <c r="D746" s="992"/>
      <c r="E746" s="992"/>
      <c r="F746" s="79" t="s">
        <v>22</v>
      </c>
      <c r="G746" s="221" t="s">
        <v>111</v>
      </c>
      <c r="H746" s="79" t="s">
        <v>112</v>
      </c>
      <c r="I746" s="221" t="s">
        <v>113</v>
      </c>
      <c r="J746" s="221" t="s">
        <v>114</v>
      </c>
      <c r="K746" s="81" t="s">
        <v>25</v>
      </c>
      <c r="L746" s="82"/>
    </row>
    <row r="747" spans="2:12">
      <c r="B747" s="222"/>
      <c r="C747" s="976" t="s">
        <v>538</v>
      </c>
      <c r="D747" s="977"/>
      <c r="E747" s="978"/>
      <c r="F747" s="83">
        <v>5</v>
      </c>
      <c r="G747" s="83">
        <v>1</v>
      </c>
      <c r="H747" s="83">
        <v>1</v>
      </c>
      <c r="I747" s="83">
        <v>1</v>
      </c>
      <c r="J747" s="83">
        <v>0</v>
      </c>
      <c r="K747" s="84">
        <f>F747*G747*H747*I747-J747</f>
        <v>5</v>
      </c>
      <c r="L747" s="82"/>
    </row>
    <row r="748" spans="2:12">
      <c r="B748" s="222"/>
      <c r="C748" s="979" t="s">
        <v>116</v>
      </c>
      <c r="D748" s="979"/>
      <c r="E748" s="979"/>
      <c r="F748" s="979"/>
      <c r="G748" s="979"/>
      <c r="H748" s="979"/>
      <c r="I748" s="979"/>
      <c r="J748" s="979"/>
      <c r="K748" s="81">
        <f>K747</f>
        <v>5</v>
      </c>
      <c r="L748" s="82"/>
    </row>
    <row r="749" spans="2:12">
      <c r="B749" s="245"/>
      <c r="C749" s="180"/>
      <c r="D749" s="180"/>
      <c r="E749" s="180"/>
      <c r="F749" s="180"/>
      <c r="G749" s="180"/>
      <c r="H749" s="180"/>
      <c r="I749" s="180"/>
      <c r="J749" s="180"/>
      <c r="K749" s="181"/>
      <c r="L749" s="82"/>
    </row>
    <row r="750" spans="2:12" ht="30.75" customHeight="1">
      <c r="B750" s="245" t="s">
        <v>50</v>
      </c>
      <c r="C750" s="989" t="s">
        <v>452</v>
      </c>
      <c r="D750" s="990"/>
      <c r="E750" s="990"/>
      <c r="F750" s="990"/>
      <c r="G750" s="990"/>
      <c r="H750" s="990"/>
      <c r="I750" s="990"/>
      <c r="J750" s="991"/>
      <c r="K750" s="97" t="s">
        <v>7</v>
      </c>
      <c r="L750" s="97">
        <f>K755</f>
        <v>8.8000000000000007</v>
      </c>
    </row>
    <row r="751" spans="2:12">
      <c r="B751" s="245"/>
      <c r="C751" s="992" t="s">
        <v>20</v>
      </c>
      <c r="D751" s="992"/>
      <c r="E751" s="992"/>
      <c r="F751" s="79" t="s">
        <v>22</v>
      </c>
      <c r="G751" s="244" t="s">
        <v>111</v>
      </c>
      <c r="H751" s="79" t="s">
        <v>112</v>
      </c>
      <c r="I751" s="244" t="s">
        <v>113</v>
      </c>
      <c r="J751" s="244" t="s">
        <v>114</v>
      </c>
      <c r="K751" s="81" t="s">
        <v>25</v>
      </c>
      <c r="L751" s="82"/>
    </row>
    <row r="752" spans="2:12">
      <c r="B752" s="245"/>
      <c r="C752" s="976" t="s">
        <v>240</v>
      </c>
      <c r="D752" s="977"/>
      <c r="E752" s="978"/>
      <c r="F752" s="83">
        <v>2</v>
      </c>
      <c r="G752" s="83">
        <v>2</v>
      </c>
      <c r="H752" s="83">
        <v>1</v>
      </c>
      <c r="I752" s="83">
        <v>1</v>
      </c>
      <c r="J752" s="83">
        <v>0</v>
      </c>
      <c r="K752" s="84">
        <f>F752*G752*H752*I752-J752</f>
        <v>4</v>
      </c>
      <c r="L752" s="82"/>
    </row>
    <row r="753" spans="2:12">
      <c r="B753" s="245"/>
      <c r="C753" s="976" t="s">
        <v>540</v>
      </c>
      <c r="D753" s="977"/>
      <c r="E753" s="978"/>
      <c r="F753" s="83">
        <v>2</v>
      </c>
      <c r="G753" s="83">
        <v>1.5</v>
      </c>
      <c r="H753" s="83">
        <v>0.8</v>
      </c>
      <c r="I753" s="83">
        <v>1</v>
      </c>
      <c r="J753" s="83">
        <v>0</v>
      </c>
      <c r="K753" s="84">
        <f>F753*G753*H753*I753-J753</f>
        <v>2.4000000000000004</v>
      </c>
      <c r="L753" s="82"/>
    </row>
    <row r="754" spans="2:12">
      <c r="B754" s="245"/>
      <c r="C754" s="976" t="s">
        <v>498</v>
      </c>
      <c r="D754" s="977"/>
      <c r="E754" s="978"/>
      <c r="F754" s="83">
        <v>2</v>
      </c>
      <c r="G754" s="83">
        <v>1.5</v>
      </c>
      <c r="H754" s="83">
        <v>0.8</v>
      </c>
      <c r="I754" s="83">
        <v>1</v>
      </c>
      <c r="J754" s="83">
        <v>0</v>
      </c>
      <c r="K754" s="84">
        <f>F754*G754*H754*I754-J754</f>
        <v>2.4000000000000004</v>
      </c>
      <c r="L754" s="82"/>
    </row>
    <row r="755" spans="2:12">
      <c r="B755" s="245"/>
      <c r="C755" s="979" t="s">
        <v>116</v>
      </c>
      <c r="D755" s="979"/>
      <c r="E755" s="979"/>
      <c r="F755" s="979"/>
      <c r="G755" s="979"/>
      <c r="H755" s="979"/>
      <c r="I755" s="979"/>
      <c r="J755" s="979"/>
      <c r="K755" s="81">
        <f>SUM(K752:K754)</f>
        <v>8.8000000000000007</v>
      </c>
      <c r="L755" s="82"/>
    </row>
    <row r="756" spans="2:12">
      <c r="B756" s="82"/>
      <c r="C756" s="82"/>
      <c r="D756" s="82"/>
      <c r="E756" s="82"/>
      <c r="F756" s="82"/>
      <c r="G756" s="82"/>
      <c r="H756" s="82"/>
      <c r="I756" s="82"/>
      <c r="J756" s="82"/>
      <c r="K756" s="82"/>
      <c r="L756" s="82"/>
    </row>
    <row r="757" spans="2:12">
      <c r="B757" s="245" t="s">
        <v>439</v>
      </c>
      <c r="C757" s="989" t="s">
        <v>98</v>
      </c>
      <c r="D757" s="990"/>
      <c r="E757" s="990"/>
      <c r="F757" s="990"/>
      <c r="G757" s="990"/>
      <c r="H757" s="990"/>
      <c r="I757" s="990"/>
      <c r="J757" s="991"/>
      <c r="K757" s="97" t="s">
        <v>7</v>
      </c>
      <c r="L757" s="97">
        <f>K760</f>
        <v>8</v>
      </c>
    </row>
    <row r="758" spans="2:12">
      <c r="B758" s="245"/>
      <c r="C758" s="992" t="s">
        <v>20</v>
      </c>
      <c r="D758" s="992"/>
      <c r="E758" s="992"/>
      <c r="F758" s="79" t="s">
        <v>22</v>
      </c>
      <c r="G758" s="244" t="s">
        <v>111</v>
      </c>
      <c r="H758" s="79" t="s">
        <v>112</v>
      </c>
      <c r="I758" s="244" t="s">
        <v>113</v>
      </c>
      <c r="J758" s="244" t="s">
        <v>114</v>
      </c>
      <c r="K758" s="81" t="s">
        <v>25</v>
      </c>
      <c r="L758" s="82"/>
    </row>
    <row r="759" spans="2:12">
      <c r="B759" s="245"/>
      <c r="C759" s="976" t="s">
        <v>97</v>
      </c>
      <c r="D759" s="977"/>
      <c r="E759" s="978"/>
      <c r="F759" s="83">
        <v>5</v>
      </c>
      <c r="G759" s="83">
        <v>2</v>
      </c>
      <c r="H759" s="83">
        <v>0.8</v>
      </c>
      <c r="I759" s="83">
        <v>1</v>
      </c>
      <c r="J759" s="83">
        <v>0</v>
      </c>
      <c r="K759" s="84">
        <f>F759*G759*H759*I759-J759</f>
        <v>8</v>
      </c>
      <c r="L759" s="82"/>
    </row>
    <row r="760" spans="2:12">
      <c r="B760" s="245"/>
      <c r="C760" s="979" t="s">
        <v>116</v>
      </c>
      <c r="D760" s="979"/>
      <c r="E760" s="979"/>
      <c r="F760" s="979"/>
      <c r="G760" s="979"/>
      <c r="H760" s="979"/>
      <c r="I760" s="979"/>
      <c r="J760" s="979"/>
      <c r="K760" s="81">
        <f>SUM(K759:K759)</f>
        <v>8</v>
      </c>
      <c r="L760" s="82"/>
    </row>
    <row r="761" spans="2:12">
      <c r="B761" s="82"/>
      <c r="C761" s="82"/>
      <c r="D761" s="82"/>
      <c r="E761" s="82"/>
      <c r="F761" s="82"/>
      <c r="G761" s="82"/>
      <c r="H761" s="82"/>
      <c r="I761" s="82"/>
      <c r="J761" s="82"/>
      <c r="K761" s="82"/>
      <c r="L761" s="82"/>
    </row>
    <row r="762" spans="2:12" ht="14.25" customHeight="1">
      <c r="B762" s="222" t="s">
        <v>440</v>
      </c>
      <c r="C762" s="989" t="s">
        <v>99</v>
      </c>
      <c r="D762" s="990"/>
      <c r="E762" s="990"/>
      <c r="F762" s="990"/>
      <c r="G762" s="990"/>
      <c r="H762" s="990"/>
      <c r="I762" s="990"/>
      <c r="J762" s="991"/>
      <c r="K762" s="97" t="s">
        <v>7</v>
      </c>
      <c r="L762" s="97">
        <f>K768</f>
        <v>10.5</v>
      </c>
    </row>
    <row r="763" spans="2:12">
      <c r="B763" s="222"/>
      <c r="C763" s="992" t="s">
        <v>20</v>
      </c>
      <c r="D763" s="992"/>
      <c r="E763" s="992"/>
      <c r="F763" s="79" t="s">
        <v>22</v>
      </c>
      <c r="G763" s="221" t="s">
        <v>111</v>
      </c>
      <c r="H763" s="79" t="s">
        <v>112</v>
      </c>
      <c r="I763" s="221" t="s">
        <v>113</v>
      </c>
      <c r="J763" s="221" t="s">
        <v>114</v>
      </c>
      <c r="K763" s="81" t="s">
        <v>25</v>
      </c>
      <c r="L763" s="82"/>
    </row>
    <row r="764" spans="2:12">
      <c r="B764" s="222"/>
      <c r="C764" s="976" t="s">
        <v>338</v>
      </c>
      <c r="D764" s="977"/>
      <c r="E764" s="978"/>
      <c r="F764" s="83">
        <v>2</v>
      </c>
      <c r="G764" s="83">
        <v>2.1</v>
      </c>
      <c r="H764" s="83">
        <v>0.8</v>
      </c>
      <c r="I764" s="83">
        <v>1</v>
      </c>
      <c r="J764" s="83">
        <v>0</v>
      </c>
      <c r="K764" s="84">
        <f>F764*G764*H764*I764-J764</f>
        <v>3.3600000000000003</v>
      </c>
      <c r="L764" s="82"/>
    </row>
    <row r="765" spans="2:12">
      <c r="B765" s="222"/>
      <c r="C765" s="976" t="s">
        <v>501</v>
      </c>
      <c r="D765" s="977"/>
      <c r="E765" s="978"/>
      <c r="F765" s="83">
        <v>2</v>
      </c>
      <c r="G765" s="83">
        <v>2.1</v>
      </c>
      <c r="H765" s="83">
        <v>0.7</v>
      </c>
      <c r="I765" s="83">
        <v>1</v>
      </c>
      <c r="J765" s="83">
        <v>0</v>
      </c>
      <c r="K765" s="84">
        <f>F765*G765*H765*I765-J765</f>
        <v>2.94</v>
      </c>
      <c r="L765" s="82"/>
    </row>
    <row r="766" spans="2:12">
      <c r="B766" s="222"/>
      <c r="C766" s="976" t="s">
        <v>539</v>
      </c>
      <c r="D766" s="977"/>
      <c r="E766" s="978"/>
      <c r="F766" s="83">
        <v>2</v>
      </c>
      <c r="G766" s="83">
        <v>2.1</v>
      </c>
      <c r="H766" s="83">
        <v>1</v>
      </c>
      <c r="I766" s="83">
        <v>1</v>
      </c>
      <c r="J766" s="83">
        <v>0</v>
      </c>
      <c r="K766" s="84">
        <f>F766*G766*H766*I766-J766</f>
        <v>4.2</v>
      </c>
      <c r="L766" s="82"/>
    </row>
    <row r="767" spans="2:12">
      <c r="B767" s="242"/>
      <c r="C767" s="237"/>
      <c r="D767" s="238"/>
      <c r="E767" s="239"/>
      <c r="F767" s="83"/>
      <c r="G767" s="83"/>
      <c r="H767" s="83"/>
      <c r="I767" s="83"/>
      <c r="J767" s="83"/>
      <c r="K767" s="84">
        <f>F767*G767*H767*I767-J767</f>
        <v>0</v>
      </c>
      <c r="L767" s="82"/>
    </row>
    <row r="768" spans="2:12">
      <c r="B768" s="222"/>
      <c r="C768" s="979" t="s">
        <v>116</v>
      </c>
      <c r="D768" s="979"/>
      <c r="E768" s="979"/>
      <c r="F768" s="979"/>
      <c r="G768" s="979"/>
      <c r="H768" s="979"/>
      <c r="I768" s="979"/>
      <c r="J768" s="979"/>
      <c r="K768" s="81">
        <f>SUM(K764:K766)</f>
        <v>10.5</v>
      </c>
      <c r="L768" s="82"/>
    </row>
    <row r="769" spans="2:12">
      <c r="B769" s="242"/>
      <c r="C769" s="180"/>
      <c r="D769" s="180"/>
      <c r="E769" s="180"/>
      <c r="F769" s="180"/>
      <c r="G769" s="180"/>
      <c r="H769" s="180"/>
      <c r="I769" s="180"/>
      <c r="J769" s="180"/>
      <c r="K769" s="181"/>
      <c r="L769" s="82"/>
    </row>
    <row r="770" spans="2:12" ht="27" customHeight="1">
      <c r="B770" s="242" t="s">
        <v>578</v>
      </c>
      <c r="C770" s="989" t="s">
        <v>434</v>
      </c>
      <c r="D770" s="990"/>
      <c r="E770" s="990"/>
      <c r="F770" s="990"/>
      <c r="G770" s="990"/>
      <c r="H770" s="990"/>
      <c r="I770" s="990"/>
      <c r="J770" s="991"/>
      <c r="K770" s="97" t="s">
        <v>21</v>
      </c>
      <c r="L770" s="97">
        <f>K773</f>
        <v>5</v>
      </c>
    </row>
    <row r="771" spans="2:12">
      <c r="B771" s="242"/>
      <c r="C771" s="992" t="s">
        <v>20</v>
      </c>
      <c r="D771" s="992"/>
      <c r="E771" s="992"/>
      <c r="F771" s="79" t="s">
        <v>22</v>
      </c>
      <c r="G771" s="240" t="s">
        <v>111</v>
      </c>
      <c r="H771" s="79" t="s">
        <v>112</v>
      </c>
      <c r="I771" s="240" t="s">
        <v>113</v>
      </c>
      <c r="J771" s="240" t="s">
        <v>114</v>
      </c>
      <c r="K771" s="81" t="s">
        <v>25</v>
      </c>
      <c r="L771" s="82"/>
    </row>
    <row r="772" spans="2:12">
      <c r="B772" s="242"/>
      <c r="C772" s="976" t="s">
        <v>535</v>
      </c>
      <c r="D772" s="977"/>
      <c r="E772" s="978"/>
      <c r="F772" s="83">
        <v>5</v>
      </c>
      <c r="G772" s="83">
        <v>1</v>
      </c>
      <c r="H772" s="83">
        <v>1</v>
      </c>
      <c r="I772" s="83">
        <v>1</v>
      </c>
      <c r="J772" s="83">
        <v>0</v>
      </c>
      <c r="K772" s="84">
        <f>F772*G772*H772*I772-J772</f>
        <v>5</v>
      </c>
      <c r="L772" s="82"/>
    </row>
    <row r="773" spans="2:12">
      <c r="B773" s="242"/>
      <c r="C773" s="979" t="s">
        <v>116</v>
      </c>
      <c r="D773" s="979"/>
      <c r="E773" s="979"/>
      <c r="F773" s="979"/>
      <c r="G773" s="979"/>
      <c r="H773" s="979"/>
      <c r="I773" s="979"/>
      <c r="J773" s="979"/>
      <c r="K773" s="81">
        <f>SUM(K772:K772)</f>
        <v>5</v>
      </c>
      <c r="L773" s="82"/>
    </row>
    <row r="774" spans="2:12">
      <c r="B774" s="242"/>
      <c r="C774" s="180"/>
      <c r="D774" s="180"/>
      <c r="E774" s="180"/>
      <c r="F774" s="180"/>
      <c r="G774" s="180"/>
      <c r="H774" s="180"/>
      <c r="I774" s="180"/>
      <c r="J774" s="180"/>
      <c r="K774" s="181"/>
      <c r="L774" s="82"/>
    </row>
    <row r="775" spans="2:12">
      <c r="B775" s="76" t="s">
        <v>52</v>
      </c>
      <c r="C775" s="993" t="s">
        <v>57</v>
      </c>
      <c r="D775" s="993"/>
      <c r="E775" s="993"/>
      <c r="F775" s="993"/>
      <c r="G775" s="993"/>
      <c r="H775" s="993"/>
      <c r="I775" s="993"/>
      <c r="J775" s="993"/>
      <c r="K775" s="77"/>
      <c r="L775" s="77"/>
    </row>
    <row r="777" spans="2:12">
      <c r="B777" s="245" t="s">
        <v>54</v>
      </c>
      <c r="C777" s="989" t="s">
        <v>521</v>
      </c>
      <c r="D777" s="990"/>
      <c r="E777" s="990"/>
      <c r="F777" s="990"/>
      <c r="G777" s="990"/>
      <c r="H777" s="990"/>
      <c r="I777" s="990"/>
      <c r="J777" s="991"/>
      <c r="K777" s="97" t="s">
        <v>7</v>
      </c>
      <c r="L777" s="97">
        <f>K780</f>
        <v>30</v>
      </c>
    </row>
    <row r="778" spans="2:12">
      <c r="B778" s="245"/>
      <c r="C778" s="992" t="s">
        <v>20</v>
      </c>
      <c r="D778" s="992"/>
      <c r="E778" s="992"/>
      <c r="F778" s="79" t="s">
        <v>22</v>
      </c>
      <c r="G778" s="244" t="s">
        <v>111</v>
      </c>
      <c r="H778" s="79" t="s">
        <v>112</v>
      </c>
      <c r="I778" s="244" t="s">
        <v>113</v>
      </c>
      <c r="J778" s="244" t="s">
        <v>114</v>
      </c>
      <c r="K778" s="81" t="s">
        <v>25</v>
      </c>
      <c r="L778" s="82"/>
    </row>
    <row r="779" spans="2:12">
      <c r="B779" s="245"/>
      <c r="C779" s="976" t="s">
        <v>496</v>
      </c>
      <c r="D779" s="977"/>
      <c r="E779" s="978"/>
      <c r="F779" s="83">
        <v>3</v>
      </c>
      <c r="G779" s="83">
        <v>1</v>
      </c>
      <c r="H779" s="83">
        <v>2</v>
      </c>
      <c r="I779" s="83">
        <v>5</v>
      </c>
      <c r="J779" s="83">
        <v>0</v>
      </c>
      <c r="K779" s="84">
        <f>F779*G779*H779*I779-J779</f>
        <v>30</v>
      </c>
      <c r="L779" s="82"/>
    </row>
    <row r="780" spans="2:12">
      <c r="B780" s="245"/>
      <c r="C780" s="979" t="s">
        <v>116</v>
      </c>
      <c r="D780" s="979"/>
      <c r="E780" s="979"/>
      <c r="F780" s="979"/>
      <c r="G780" s="979"/>
      <c r="H780" s="979"/>
      <c r="I780" s="979"/>
      <c r="J780" s="979"/>
      <c r="K780" s="81">
        <f>K779</f>
        <v>30</v>
      </c>
      <c r="L780" s="82"/>
    </row>
    <row r="782" spans="2:12" ht="26.25" customHeight="1">
      <c r="B782" s="222" t="s">
        <v>55</v>
      </c>
      <c r="C782" s="989" t="s">
        <v>60</v>
      </c>
      <c r="D782" s="990"/>
      <c r="E782" s="990"/>
      <c r="F782" s="990"/>
      <c r="G782" s="990"/>
      <c r="H782" s="990"/>
      <c r="I782" s="990"/>
      <c r="J782" s="991"/>
      <c r="K782" s="97" t="s">
        <v>7</v>
      </c>
      <c r="L782" s="97">
        <f>K785</f>
        <v>150</v>
      </c>
    </row>
    <row r="783" spans="2:12">
      <c r="B783" s="222"/>
      <c r="C783" s="992" t="s">
        <v>20</v>
      </c>
      <c r="D783" s="992"/>
      <c r="E783" s="992"/>
      <c r="F783" s="79" t="s">
        <v>22</v>
      </c>
      <c r="G783" s="221" t="s">
        <v>111</v>
      </c>
      <c r="H783" s="79" t="s">
        <v>112</v>
      </c>
      <c r="I783" s="221" t="s">
        <v>113</v>
      </c>
      <c r="J783" s="221" t="s">
        <v>114</v>
      </c>
      <c r="K783" s="81" t="s">
        <v>25</v>
      </c>
      <c r="L783" s="82"/>
    </row>
    <row r="784" spans="2:12">
      <c r="B784" s="222"/>
      <c r="C784" s="976" t="s">
        <v>215</v>
      </c>
      <c r="D784" s="977"/>
      <c r="E784" s="978"/>
      <c r="F784" s="83">
        <v>150</v>
      </c>
      <c r="G784" s="83">
        <v>1</v>
      </c>
      <c r="H784" s="83">
        <v>1</v>
      </c>
      <c r="I784" s="83">
        <v>1</v>
      </c>
      <c r="J784" s="83">
        <v>0</v>
      </c>
      <c r="K784" s="84">
        <f>F784*G784*H784*I784-J784</f>
        <v>150</v>
      </c>
      <c r="L784" s="82"/>
    </row>
    <row r="785" spans="2:12">
      <c r="B785" s="222"/>
      <c r="C785" s="979" t="s">
        <v>116</v>
      </c>
      <c r="D785" s="979"/>
      <c r="E785" s="979"/>
      <c r="F785" s="979"/>
      <c r="G785" s="979"/>
      <c r="H785" s="979"/>
      <c r="I785" s="979"/>
      <c r="J785" s="979"/>
      <c r="K785" s="81">
        <f>K784</f>
        <v>150</v>
      </c>
      <c r="L785" s="82"/>
    </row>
    <row r="787" spans="2:12">
      <c r="B787" s="76" t="s">
        <v>56</v>
      </c>
      <c r="C787" s="993" t="s">
        <v>63</v>
      </c>
      <c r="D787" s="993"/>
      <c r="E787" s="993"/>
      <c r="F787" s="993"/>
      <c r="G787" s="993"/>
      <c r="H787" s="993"/>
      <c r="I787" s="993"/>
      <c r="J787" s="993"/>
      <c r="K787" s="77"/>
      <c r="L787" s="77"/>
    </row>
    <row r="789" spans="2:12">
      <c r="B789" s="222" t="s">
        <v>59</v>
      </c>
      <c r="C789" s="1062" t="s">
        <v>470</v>
      </c>
      <c r="D789" s="1063"/>
      <c r="E789" s="1063"/>
      <c r="F789" s="1063"/>
      <c r="G789" s="1063"/>
      <c r="H789" s="1063"/>
      <c r="I789" s="1063"/>
      <c r="J789" s="1064"/>
      <c r="K789" s="97" t="s">
        <v>21</v>
      </c>
      <c r="L789" s="97">
        <f>K792</f>
        <v>10</v>
      </c>
    </row>
    <row r="790" spans="2:12">
      <c r="B790" s="222"/>
      <c r="C790" s="992" t="s">
        <v>20</v>
      </c>
      <c r="D790" s="992"/>
      <c r="E790" s="992"/>
      <c r="F790" s="79" t="s">
        <v>22</v>
      </c>
      <c r="G790" s="221" t="s">
        <v>111</v>
      </c>
      <c r="H790" s="79" t="s">
        <v>112</v>
      </c>
      <c r="I790" s="221" t="s">
        <v>113</v>
      </c>
      <c r="J790" s="221" t="s">
        <v>114</v>
      </c>
      <c r="K790" s="81" t="s">
        <v>25</v>
      </c>
      <c r="L790" s="82"/>
    </row>
    <row r="791" spans="2:12" ht="28.5" customHeight="1">
      <c r="B791" s="222"/>
      <c r="C791" s="976" t="s">
        <v>237</v>
      </c>
      <c r="D791" s="977"/>
      <c r="E791" s="978"/>
      <c r="F791" s="83">
        <v>10</v>
      </c>
      <c r="G791" s="83">
        <v>1</v>
      </c>
      <c r="H791" s="83">
        <v>1</v>
      </c>
      <c r="I791" s="83">
        <v>1</v>
      </c>
      <c r="J791" s="83">
        <v>0</v>
      </c>
      <c r="K791" s="84">
        <f>F791*G791*H791*I791-J791</f>
        <v>10</v>
      </c>
      <c r="L791" s="82"/>
    </row>
    <row r="792" spans="2:12">
      <c r="B792" s="222"/>
      <c r="C792" s="979" t="s">
        <v>116</v>
      </c>
      <c r="D792" s="979"/>
      <c r="E792" s="979"/>
      <c r="F792" s="979"/>
      <c r="G792" s="979"/>
      <c r="H792" s="979"/>
      <c r="I792" s="979"/>
      <c r="J792" s="979"/>
      <c r="K792" s="81">
        <f>K791</f>
        <v>10</v>
      </c>
      <c r="L792" s="82"/>
    </row>
    <row r="794" spans="2:12" ht="17.25" customHeight="1">
      <c r="B794" s="222" t="s">
        <v>61</v>
      </c>
      <c r="C794" s="989" t="s">
        <v>102</v>
      </c>
      <c r="D794" s="990"/>
      <c r="E794" s="990"/>
      <c r="F794" s="990"/>
      <c r="G794" s="990"/>
      <c r="H794" s="990"/>
      <c r="I794" s="990"/>
      <c r="J794" s="991"/>
      <c r="K794" s="97" t="s">
        <v>21</v>
      </c>
      <c r="L794" s="97">
        <f>K797</f>
        <v>10</v>
      </c>
    </row>
    <row r="795" spans="2:12">
      <c r="B795" s="222"/>
      <c r="C795" s="992" t="s">
        <v>20</v>
      </c>
      <c r="D795" s="992"/>
      <c r="E795" s="992"/>
      <c r="F795" s="79" t="s">
        <v>22</v>
      </c>
      <c r="G795" s="221" t="s">
        <v>111</v>
      </c>
      <c r="H795" s="79" t="s">
        <v>112</v>
      </c>
      <c r="I795" s="221" t="s">
        <v>113</v>
      </c>
      <c r="J795" s="221" t="s">
        <v>114</v>
      </c>
      <c r="K795" s="81" t="s">
        <v>25</v>
      </c>
      <c r="L795" s="82"/>
    </row>
    <row r="796" spans="2:12">
      <c r="B796" s="222"/>
      <c r="C796" s="976" t="s">
        <v>237</v>
      </c>
      <c r="D796" s="977"/>
      <c r="E796" s="978"/>
      <c r="F796" s="83">
        <v>10</v>
      </c>
      <c r="G796" s="83">
        <v>1</v>
      </c>
      <c r="H796" s="83">
        <v>1</v>
      </c>
      <c r="I796" s="83">
        <v>1</v>
      </c>
      <c r="J796" s="83">
        <v>0</v>
      </c>
      <c r="K796" s="84">
        <f>F796*G796*H796*I796-J796</f>
        <v>10</v>
      </c>
      <c r="L796" s="82"/>
    </row>
    <row r="797" spans="2:12">
      <c r="B797" s="222"/>
      <c r="C797" s="979" t="s">
        <v>116</v>
      </c>
      <c r="D797" s="979"/>
      <c r="E797" s="979"/>
      <c r="F797" s="979"/>
      <c r="G797" s="979"/>
      <c r="H797" s="979"/>
      <c r="I797" s="979"/>
      <c r="J797" s="979"/>
      <c r="K797" s="81">
        <f>K796</f>
        <v>10</v>
      </c>
      <c r="L797" s="82"/>
    </row>
    <row r="798" spans="2:12">
      <c r="B798" s="245"/>
      <c r="C798" s="180"/>
      <c r="D798" s="180"/>
      <c r="E798" s="180"/>
      <c r="F798" s="180"/>
      <c r="G798" s="180"/>
      <c r="H798" s="180"/>
      <c r="I798" s="180"/>
      <c r="J798" s="180"/>
      <c r="K798" s="181"/>
      <c r="L798" s="82"/>
    </row>
    <row r="799" spans="2:12" ht="30.75" customHeight="1">
      <c r="B799" s="245" t="s">
        <v>469</v>
      </c>
      <c r="C799" s="989" t="s">
        <v>431</v>
      </c>
      <c r="D799" s="990"/>
      <c r="E799" s="990"/>
      <c r="F799" s="990"/>
      <c r="G799" s="990"/>
      <c r="H799" s="990"/>
      <c r="I799" s="990"/>
      <c r="J799" s="991"/>
      <c r="K799" s="97" t="s">
        <v>21</v>
      </c>
      <c r="L799" s="97">
        <f>K802</f>
        <v>5</v>
      </c>
    </row>
    <row r="800" spans="2:12">
      <c r="B800" s="245"/>
      <c r="C800" s="992" t="s">
        <v>20</v>
      </c>
      <c r="D800" s="992"/>
      <c r="E800" s="992"/>
      <c r="F800" s="79" t="s">
        <v>22</v>
      </c>
      <c r="G800" s="244" t="s">
        <v>111</v>
      </c>
      <c r="H800" s="79" t="s">
        <v>112</v>
      </c>
      <c r="I800" s="244" t="s">
        <v>113</v>
      </c>
      <c r="J800" s="244" t="s">
        <v>114</v>
      </c>
      <c r="K800" s="81" t="s">
        <v>25</v>
      </c>
      <c r="L800" s="82"/>
    </row>
    <row r="801" spans="2:12">
      <c r="B801" s="245"/>
      <c r="C801" s="976" t="s">
        <v>237</v>
      </c>
      <c r="D801" s="977"/>
      <c r="E801" s="978"/>
      <c r="F801" s="83">
        <v>5</v>
      </c>
      <c r="G801" s="83">
        <v>1</v>
      </c>
      <c r="H801" s="83">
        <v>1</v>
      </c>
      <c r="I801" s="83">
        <v>1</v>
      </c>
      <c r="J801" s="83">
        <v>0</v>
      </c>
      <c r="K801" s="84">
        <f>F801*G801*H801*I801-J801</f>
        <v>5</v>
      </c>
      <c r="L801" s="82"/>
    </row>
    <row r="802" spans="2:12">
      <c r="B802" s="245"/>
      <c r="C802" s="979" t="s">
        <v>116</v>
      </c>
      <c r="D802" s="979"/>
      <c r="E802" s="979"/>
      <c r="F802" s="979"/>
      <c r="G802" s="979"/>
      <c r="H802" s="979"/>
      <c r="I802" s="979"/>
      <c r="J802" s="979"/>
      <c r="K802" s="81">
        <f>K801</f>
        <v>5</v>
      </c>
      <c r="L802" s="82"/>
    </row>
    <row r="803" spans="2:12">
      <c r="B803" s="245"/>
      <c r="C803" s="180"/>
      <c r="D803" s="180"/>
      <c r="E803" s="180"/>
      <c r="F803" s="180"/>
      <c r="G803" s="180"/>
      <c r="H803" s="180"/>
      <c r="I803" s="180"/>
      <c r="J803" s="180"/>
      <c r="K803" s="181"/>
      <c r="L803" s="82"/>
    </row>
    <row r="804" spans="2:12" ht="33" customHeight="1">
      <c r="B804" s="245" t="s">
        <v>485</v>
      </c>
      <c r="C804" s="989" t="s">
        <v>544</v>
      </c>
      <c r="D804" s="990"/>
      <c r="E804" s="990"/>
      <c r="F804" s="990"/>
      <c r="G804" s="990"/>
      <c r="H804" s="990"/>
      <c r="I804" s="990"/>
      <c r="J804" s="991"/>
      <c r="K804" s="97" t="s">
        <v>21</v>
      </c>
      <c r="L804" s="97">
        <f>K807</f>
        <v>5</v>
      </c>
    </row>
    <row r="805" spans="2:12">
      <c r="B805" s="245"/>
      <c r="C805" s="992" t="s">
        <v>20</v>
      </c>
      <c r="D805" s="992"/>
      <c r="E805" s="992"/>
      <c r="F805" s="79" t="s">
        <v>22</v>
      </c>
      <c r="G805" s="244" t="s">
        <v>111</v>
      </c>
      <c r="H805" s="79" t="s">
        <v>112</v>
      </c>
      <c r="I805" s="244" t="s">
        <v>113</v>
      </c>
      <c r="J805" s="244" t="s">
        <v>114</v>
      </c>
      <c r="K805" s="81" t="s">
        <v>25</v>
      </c>
      <c r="L805" s="82"/>
    </row>
    <row r="806" spans="2:12">
      <c r="B806" s="245"/>
      <c r="C806" s="976" t="s">
        <v>97</v>
      </c>
      <c r="D806" s="977"/>
      <c r="E806" s="978"/>
      <c r="F806" s="83">
        <v>5</v>
      </c>
      <c r="G806" s="83">
        <v>1</v>
      </c>
      <c r="H806" s="83">
        <v>1</v>
      </c>
      <c r="I806" s="83">
        <v>1</v>
      </c>
      <c r="J806" s="83">
        <v>0</v>
      </c>
      <c r="K806" s="84">
        <f>F806*G806*H806*I806-J806</f>
        <v>5</v>
      </c>
      <c r="L806" s="82"/>
    </row>
    <row r="807" spans="2:12">
      <c r="B807" s="245"/>
      <c r="C807" s="979" t="s">
        <v>116</v>
      </c>
      <c r="D807" s="979"/>
      <c r="E807" s="979"/>
      <c r="F807" s="979"/>
      <c r="G807" s="979"/>
      <c r="H807" s="979"/>
      <c r="I807" s="979"/>
      <c r="J807" s="979"/>
      <c r="K807" s="81">
        <f>K806</f>
        <v>5</v>
      </c>
      <c r="L807" s="82"/>
    </row>
    <row r="808" spans="2:12">
      <c r="B808" s="245"/>
      <c r="C808" s="180"/>
      <c r="D808" s="180"/>
      <c r="E808" s="180"/>
      <c r="F808" s="180"/>
      <c r="G808" s="180"/>
      <c r="H808" s="180"/>
      <c r="I808" s="180"/>
      <c r="J808" s="180"/>
      <c r="K808" s="181"/>
      <c r="L808" s="82"/>
    </row>
    <row r="809" spans="2:12" ht="33.75" customHeight="1">
      <c r="B809" s="245" t="s">
        <v>584</v>
      </c>
      <c r="C809" s="989" t="s">
        <v>542</v>
      </c>
      <c r="D809" s="990"/>
      <c r="E809" s="990"/>
      <c r="F809" s="990"/>
      <c r="G809" s="990"/>
      <c r="H809" s="990"/>
      <c r="I809" s="990"/>
      <c r="J809" s="991"/>
      <c r="K809" s="97" t="s">
        <v>21</v>
      </c>
      <c r="L809" s="97">
        <f>K812</f>
        <v>3</v>
      </c>
    </row>
    <row r="810" spans="2:12">
      <c r="B810" s="245"/>
      <c r="C810" s="992" t="s">
        <v>20</v>
      </c>
      <c r="D810" s="992"/>
      <c r="E810" s="992"/>
      <c r="F810" s="79" t="s">
        <v>22</v>
      </c>
      <c r="G810" s="244" t="s">
        <v>111</v>
      </c>
      <c r="H810" s="79" t="s">
        <v>112</v>
      </c>
      <c r="I810" s="244" t="s">
        <v>113</v>
      </c>
      <c r="J810" s="244" t="s">
        <v>114</v>
      </c>
      <c r="K810" s="81" t="s">
        <v>25</v>
      </c>
      <c r="L810" s="82"/>
    </row>
    <row r="811" spans="2:12">
      <c r="B811" s="245"/>
      <c r="C811" s="976" t="s">
        <v>237</v>
      </c>
      <c r="D811" s="977"/>
      <c r="E811" s="978"/>
      <c r="F811" s="83">
        <v>3</v>
      </c>
      <c r="G811" s="83">
        <v>1</v>
      </c>
      <c r="H811" s="83">
        <v>1</v>
      </c>
      <c r="I811" s="83">
        <v>1</v>
      </c>
      <c r="J811" s="83">
        <v>0</v>
      </c>
      <c r="K811" s="84">
        <f>F811*G811*H811*I811-J811</f>
        <v>3</v>
      </c>
      <c r="L811" s="82"/>
    </row>
    <row r="812" spans="2:12">
      <c r="B812" s="245"/>
      <c r="C812" s="979" t="s">
        <v>116</v>
      </c>
      <c r="D812" s="979"/>
      <c r="E812" s="979"/>
      <c r="F812" s="979"/>
      <c r="G812" s="979"/>
      <c r="H812" s="979"/>
      <c r="I812" s="979"/>
      <c r="J812" s="979"/>
      <c r="K812" s="81">
        <f>K811</f>
        <v>3</v>
      </c>
      <c r="L812" s="82"/>
    </row>
    <row r="813" spans="2:12">
      <c r="B813" s="245"/>
      <c r="C813" s="180"/>
      <c r="D813" s="180"/>
      <c r="E813" s="180"/>
      <c r="F813" s="180"/>
      <c r="G813" s="180"/>
      <c r="H813" s="180"/>
      <c r="I813" s="180"/>
      <c r="J813" s="180"/>
      <c r="K813" s="181"/>
      <c r="L813" s="82"/>
    </row>
    <row r="814" spans="2:12" ht="31.5" customHeight="1">
      <c r="B814" s="245" t="s">
        <v>585</v>
      </c>
      <c r="C814" s="989" t="s">
        <v>545</v>
      </c>
      <c r="D814" s="990"/>
      <c r="E814" s="990"/>
      <c r="F814" s="990"/>
      <c r="G814" s="990"/>
      <c r="H814" s="990"/>
      <c r="I814" s="990"/>
      <c r="J814" s="991"/>
      <c r="K814" s="97" t="s">
        <v>21</v>
      </c>
      <c r="L814" s="97">
        <f>K817</f>
        <v>3</v>
      </c>
    </row>
    <row r="815" spans="2:12">
      <c r="B815" s="245"/>
      <c r="C815" s="992" t="s">
        <v>20</v>
      </c>
      <c r="D815" s="992"/>
      <c r="E815" s="992"/>
      <c r="F815" s="79" t="s">
        <v>22</v>
      </c>
      <c r="G815" s="244" t="s">
        <v>111</v>
      </c>
      <c r="H815" s="79" t="s">
        <v>112</v>
      </c>
      <c r="I815" s="244" t="s">
        <v>113</v>
      </c>
      <c r="J815" s="244" t="s">
        <v>114</v>
      </c>
      <c r="K815" s="81" t="s">
        <v>25</v>
      </c>
      <c r="L815" s="82"/>
    </row>
    <row r="816" spans="2:12">
      <c r="B816" s="245"/>
      <c r="C816" s="976" t="s">
        <v>237</v>
      </c>
      <c r="D816" s="977"/>
      <c r="E816" s="978"/>
      <c r="F816" s="83">
        <v>3</v>
      </c>
      <c r="G816" s="83">
        <v>1</v>
      </c>
      <c r="H816" s="83">
        <v>1</v>
      </c>
      <c r="I816" s="83">
        <v>1</v>
      </c>
      <c r="J816" s="83">
        <v>0</v>
      </c>
      <c r="K816" s="84">
        <f>F816*G816*H816*I816-J816</f>
        <v>3</v>
      </c>
      <c r="L816" s="82"/>
    </row>
    <row r="817" spans="2:12">
      <c r="B817" s="245"/>
      <c r="C817" s="979" t="s">
        <v>116</v>
      </c>
      <c r="D817" s="979"/>
      <c r="E817" s="979"/>
      <c r="F817" s="979"/>
      <c r="G817" s="979"/>
      <c r="H817" s="979"/>
      <c r="I817" s="979"/>
      <c r="J817" s="979"/>
      <c r="K817" s="81">
        <f>K816</f>
        <v>3</v>
      </c>
      <c r="L817" s="82"/>
    </row>
    <row r="818" spans="2:12">
      <c r="B818" s="245"/>
      <c r="C818" s="180"/>
      <c r="D818" s="180"/>
      <c r="E818" s="180"/>
      <c r="F818" s="180"/>
      <c r="G818" s="180"/>
      <c r="H818" s="180"/>
      <c r="I818" s="180"/>
      <c r="J818" s="180"/>
      <c r="K818" s="181"/>
      <c r="L818" s="82"/>
    </row>
    <row r="819" spans="2:12">
      <c r="B819" s="76" t="s">
        <v>62</v>
      </c>
      <c r="C819" s="993" t="s">
        <v>548</v>
      </c>
      <c r="D819" s="993"/>
      <c r="E819" s="993"/>
      <c r="F819" s="993"/>
      <c r="G819" s="993"/>
      <c r="H819" s="993"/>
      <c r="I819" s="993"/>
      <c r="J819" s="993"/>
      <c r="K819" s="77"/>
      <c r="L819" s="77"/>
    </row>
    <row r="821" spans="2:12" ht="31.5" customHeight="1">
      <c r="B821" s="245" t="s">
        <v>64</v>
      </c>
      <c r="C821" s="989" t="s">
        <v>553</v>
      </c>
      <c r="D821" s="990"/>
      <c r="E821" s="990"/>
      <c r="F821" s="990"/>
      <c r="G821" s="990"/>
      <c r="H821" s="990"/>
      <c r="I821" s="990"/>
      <c r="J821" s="991"/>
      <c r="K821" s="97" t="s">
        <v>21</v>
      </c>
      <c r="L821" s="97">
        <f>K824</f>
        <v>5</v>
      </c>
    </row>
    <row r="822" spans="2:12">
      <c r="B822" s="245"/>
      <c r="C822" s="992" t="s">
        <v>20</v>
      </c>
      <c r="D822" s="992"/>
      <c r="E822" s="992"/>
      <c r="F822" s="79" t="s">
        <v>22</v>
      </c>
      <c r="G822" s="244" t="s">
        <v>111</v>
      </c>
      <c r="H822" s="79" t="s">
        <v>112</v>
      </c>
      <c r="I822" s="244" t="s">
        <v>113</v>
      </c>
      <c r="J822" s="244" t="s">
        <v>114</v>
      </c>
      <c r="K822" s="81" t="s">
        <v>25</v>
      </c>
      <c r="L822" s="82"/>
    </row>
    <row r="823" spans="2:12" ht="24" customHeight="1">
      <c r="B823" s="245"/>
      <c r="C823" s="976" t="s">
        <v>501</v>
      </c>
      <c r="D823" s="977"/>
      <c r="E823" s="978"/>
      <c r="F823" s="83">
        <v>5</v>
      </c>
      <c r="G823" s="83">
        <v>1</v>
      </c>
      <c r="H823" s="83">
        <v>1</v>
      </c>
      <c r="I823" s="83">
        <v>1</v>
      </c>
      <c r="J823" s="83">
        <v>0</v>
      </c>
      <c r="K823" s="84">
        <f>F823</f>
        <v>5</v>
      </c>
      <c r="L823" s="82"/>
    </row>
    <row r="824" spans="2:12" ht="24" customHeight="1">
      <c r="B824" s="245"/>
      <c r="C824" s="979" t="s">
        <v>116</v>
      </c>
      <c r="D824" s="979"/>
      <c r="E824" s="979"/>
      <c r="F824" s="979"/>
      <c r="G824" s="979"/>
      <c r="H824" s="979"/>
      <c r="I824" s="979"/>
      <c r="J824" s="979"/>
      <c r="K824" s="81">
        <f>K823</f>
        <v>5</v>
      </c>
      <c r="L824" s="82"/>
    </row>
    <row r="825" spans="2:12" ht="24" customHeight="1">
      <c r="B825" s="245"/>
      <c r="C825" s="180"/>
      <c r="D825" s="180"/>
      <c r="E825" s="180"/>
      <c r="F825" s="180"/>
      <c r="G825" s="180"/>
      <c r="H825" s="180"/>
      <c r="I825" s="180"/>
      <c r="J825" s="180"/>
      <c r="K825" s="181"/>
      <c r="L825" s="82"/>
    </row>
    <row r="826" spans="2:12" ht="24" customHeight="1">
      <c r="B826" s="245" t="s">
        <v>101</v>
      </c>
      <c r="C826" s="989" t="s">
        <v>550</v>
      </c>
      <c r="D826" s="990"/>
      <c r="E826" s="990"/>
      <c r="F826" s="990"/>
      <c r="G826" s="990"/>
      <c r="H826" s="990"/>
      <c r="I826" s="990"/>
      <c r="J826" s="991"/>
      <c r="K826" s="97" t="s">
        <v>21</v>
      </c>
      <c r="L826" s="97">
        <f>K829</f>
        <v>5</v>
      </c>
    </row>
    <row r="827" spans="2:12" ht="24" customHeight="1">
      <c r="B827" s="245"/>
      <c r="C827" s="992" t="s">
        <v>20</v>
      </c>
      <c r="D827" s="992"/>
      <c r="E827" s="992"/>
      <c r="F827" s="79" t="s">
        <v>22</v>
      </c>
      <c r="G827" s="244" t="s">
        <v>111</v>
      </c>
      <c r="H827" s="79" t="s">
        <v>112</v>
      </c>
      <c r="I827" s="244" t="s">
        <v>113</v>
      </c>
      <c r="J827" s="244" t="s">
        <v>114</v>
      </c>
      <c r="K827" s="81" t="s">
        <v>25</v>
      </c>
      <c r="L827" s="82"/>
    </row>
    <row r="828" spans="2:12" ht="24" customHeight="1">
      <c r="B828" s="245"/>
      <c r="C828" s="976" t="s">
        <v>494</v>
      </c>
      <c r="D828" s="977"/>
      <c r="E828" s="978"/>
      <c r="F828" s="83">
        <v>5</v>
      </c>
      <c r="G828" s="83">
        <v>1</v>
      </c>
      <c r="H828" s="83">
        <v>1</v>
      </c>
      <c r="I828" s="83">
        <v>1</v>
      </c>
      <c r="J828" s="83">
        <v>0</v>
      </c>
      <c r="K828" s="84">
        <f>F828</f>
        <v>5</v>
      </c>
      <c r="L828" s="82"/>
    </row>
    <row r="829" spans="2:12" ht="24" customHeight="1">
      <c r="B829" s="245"/>
      <c r="C829" s="979" t="s">
        <v>116</v>
      </c>
      <c r="D829" s="979"/>
      <c r="E829" s="979"/>
      <c r="F829" s="979"/>
      <c r="G829" s="979"/>
      <c r="H829" s="979"/>
      <c r="I829" s="979"/>
      <c r="J829" s="979"/>
      <c r="K829" s="81">
        <f>K828</f>
        <v>5</v>
      </c>
      <c r="L829" s="82"/>
    </row>
    <row r="830" spans="2:12" ht="24" customHeight="1">
      <c r="B830" s="245"/>
      <c r="C830" s="246"/>
      <c r="D830" s="247"/>
      <c r="E830" s="247"/>
      <c r="F830" s="247"/>
      <c r="G830" s="247"/>
      <c r="H830" s="247"/>
      <c r="I830" s="247"/>
      <c r="J830" s="248"/>
      <c r="K830" s="81"/>
      <c r="L830" s="82"/>
    </row>
    <row r="831" spans="2:12" ht="25.5" customHeight="1">
      <c r="B831" s="222" t="s">
        <v>429</v>
      </c>
      <c r="C831" s="989" t="s">
        <v>69</v>
      </c>
      <c r="D831" s="990"/>
      <c r="E831" s="990"/>
      <c r="F831" s="990"/>
      <c r="G831" s="990"/>
      <c r="H831" s="990"/>
      <c r="I831" s="990"/>
      <c r="J831" s="991"/>
      <c r="K831" s="97" t="s">
        <v>21</v>
      </c>
      <c r="L831" s="97">
        <f>K834</f>
        <v>5</v>
      </c>
    </row>
    <row r="832" spans="2:12">
      <c r="B832" s="222"/>
      <c r="C832" s="992" t="s">
        <v>20</v>
      </c>
      <c r="D832" s="992"/>
      <c r="E832" s="992"/>
      <c r="F832" s="79" t="s">
        <v>22</v>
      </c>
      <c r="G832" s="221" t="s">
        <v>111</v>
      </c>
      <c r="H832" s="79" t="s">
        <v>112</v>
      </c>
      <c r="I832" s="221" t="s">
        <v>113</v>
      </c>
      <c r="J832" s="221" t="s">
        <v>114</v>
      </c>
      <c r="K832" s="81" t="s">
        <v>25</v>
      </c>
      <c r="L832" s="82"/>
    </row>
    <row r="833" spans="2:12">
      <c r="B833" s="222"/>
      <c r="C833" s="976" t="s">
        <v>554</v>
      </c>
      <c r="D833" s="977"/>
      <c r="E833" s="978"/>
      <c r="F833" s="83">
        <v>5</v>
      </c>
      <c r="G833" s="83">
        <v>1</v>
      </c>
      <c r="H833" s="83">
        <v>1</v>
      </c>
      <c r="I833" s="83">
        <v>1</v>
      </c>
      <c r="J833" s="83">
        <v>0</v>
      </c>
      <c r="K833" s="84">
        <f>F833</f>
        <v>5</v>
      </c>
      <c r="L833" s="82"/>
    </row>
    <row r="834" spans="2:12">
      <c r="B834" s="222"/>
      <c r="C834" s="979" t="s">
        <v>116</v>
      </c>
      <c r="D834" s="979"/>
      <c r="E834" s="979"/>
      <c r="F834" s="979"/>
      <c r="G834" s="979"/>
      <c r="H834" s="979"/>
      <c r="I834" s="979"/>
      <c r="J834" s="979"/>
      <c r="K834" s="81">
        <f>K833</f>
        <v>5</v>
      </c>
      <c r="L834" s="82"/>
    </row>
    <row r="836" spans="2:12">
      <c r="B836" s="222" t="s">
        <v>546</v>
      </c>
      <c r="C836" s="989" t="s">
        <v>424</v>
      </c>
      <c r="D836" s="990"/>
      <c r="E836" s="990"/>
      <c r="F836" s="990"/>
      <c r="G836" s="990"/>
      <c r="H836" s="990"/>
      <c r="I836" s="990"/>
      <c r="J836" s="991"/>
      <c r="K836" s="97" t="s">
        <v>21</v>
      </c>
      <c r="L836" s="97">
        <f>K843</f>
        <v>18</v>
      </c>
    </row>
    <row r="837" spans="2:12">
      <c r="B837" s="222"/>
      <c r="C837" s="992" t="s">
        <v>20</v>
      </c>
      <c r="D837" s="992"/>
      <c r="E837" s="992"/>
      <c r="F837" s="79" t="s">
        <v>22</v>
      </c>
      <c r="G837" s="221" t="s">
        <v>111</v>
      </c>
      <c r="H837" s="79" t="s">
        <v>112</v>
      </c>
      <c r="I837" s="221" t="s">
        <v>113</v>
      </c>
      <c r="J837" s="221" t="s">
        <v>114</v>
      </c>
      <c r="K837" s="81" t="s">
        <v>25</v>
      </c>
      <c r="L837" s="82"/>
    </row>
    <row r="838" spans="2:12">
      <c r="B838" s="222"/>
      <c r="C838" s="976" t="s">
        <v>555</v>
      </c>
      <c r="D838" s="977"/>
      <c r="E838" s="978"/>
      <c r="F838" s="83">
        <v>8</v>
      </c>
      <c r="G838" s="83">
        <v>1</v>
      </c>
      <c r="H838" s="83">
        <v>1</v>
      </c>
      <c r="I838" s="83">
        <v>1</v>
      </c>
      <c r="J838" s="83">
        <v>0</v>
      </c>
      <c r="K838" s="84">
        <f>F838</f>
        <v>8</v>
      </c>
      <c r="L838" s="82"/>
    </row>
    <row r="839" spans="2:12">
      <c r="B839" s="245"/>
      <c r="C839" s="976" t="s">
        <v>494</v>
      </c>
      <c r="D839" s="977"/>
      <c r="E839" s="978"/>
      <c r="F839" s="83">
        <v>6</v>
      </c>
      <c r="G839" s="83">
        <v>1</v>
      </c>
      <c r="H839" s="83">
        <v>1</v>
      </c>
      <c r="I839" s="83">
        <v>1</v>
      </c>
      <c r="J839" s="83">
        <v>0</v>
      </c>
      <c r="K839" s="84">
        <f>F839</f>
        <v>6</v>
      </c>
      <c r="L839" s="82"/>
    </row>
    <row r="840" spans="2:12">
      <c r="B840" s="245"/>
      <c r="C840" s="976" t="s">
        <v>556</v>
      </c>
      <c r="D840" s="977"/>
      <c r="E840" s="978"/>
      <c r="F840" s="83">
        <v>1</v>
      </c>
      <c r="G840" s="83">
        <v>1</v>
      </c>
      <c r="H840" s="83">
        <v>1</v>
      </c>
      <c r="I840" s="83">
        <v>1</v>
      </c>
      <c r="J840" s="83">
        <v>0</v>
      </c>
      <c r="K840" s="84">
        <f>F840</f>
        <v>1</v>
      </c>
      <c r="L840" s="82"/>
    </row>
    <row r="841" spans="2:12">
      <c r="B841" s="245"/>
      <c r="C841" s="976" t="s">
        <v>498</v>
      </c>
      <c r="D841" s="977"/>
      <c r="E841" s="978"/>
      <c r="F841" s="83">
        <v>2</v>
      </c>
      <c r="G841" s="83">
        <v>1</v>
      </c>
      <c r="H841" s="83">
        <v>1</v>
      </c>
      <c r="I841" s="83">
        <v>1</v>
      </c>
      <c r="J841" s="83">
        <v>0</v>
      </c>
      <c r="K841" s="84">
        <f>F841</f>
        <v>2</v>
      </c>
      <c r="L841" s="82"/>
    </row>
    <row r="842" spans="2:12">
      <c r="B842" s="245"/>
      <c r="C842" s="976" t="s">
        <v>557</v>
      </c>
      <c r="D842" s="977"/>
      <c r="E842" s="978"/>
      <c r="F842" s="83">
        <v>1</v>
      </c>
      <c r="G842" s="83">
        <v>1</v>
      </c>
      <c r="H842" s="83">
        <v>1</v>
      </c>
      <c r="I842" s="83">
        <v>1</v>
      </c>
      <c r="J842" s="83">
        <v>0</v>
      </c>
      <c r="K842" s="84">
        <f>F842</f>
        <v>1</v>
      </c>
      <c r="L842" s="82"/>
    </row>
    <row r="843" spans="2:12">
      <c r="B843" s="222"/>
      <c r="C843" s="979" t="s">
        <v>116</v>
      </c>
      <c r="D843" s="979"/>
      <c r="E843" s="979"/>
      <c r="F843" s="979"/>
      <c r="G843" s="979"/>
      <c r="H843" s="979"/>
      <c r="I843" s="979"/>
      <c r="J843" s="979"/>
      <c r="K843" s="81">
        <f>SUM(K838:K842)</f>
        <v>18</v>
      </c>
      <c r="L843" s="82"/>
    </row>
    <row r="844" spans="2:12">
      <c r="B844" s="245"/>
      <c r="C844" s="180"/>
      <c r="D844" s="180"/>
      <c r="E844" s="180"/>
      <c r="F844" s="180"/>
      <c r="G844" s="180"/>
      <c r="H844" s="180"/>
      <c r="I844" s="180"/>
      <c r="J844" s="180"/>
      <c r="K844" s="181"/>
      <c r="L844" s="82"/>
    </row>
    <row r="845" spans="2:12" ht="27" customHeight="1">
      <c r="B845" s="245" t="s">
        <v>547</v>
      </c>
      <c r="C845" s="989" t="s">
        <v>560</v>
      </c>
      <c r="D845" s="990"/>
      <c r="E845" s="990"/>
      <c r="F845" s="990"/>
      <c r="G845" s="990"/>
      <c r="H845" s="990"/>
      <c r="I845" s="990"/>
      <c r="J845" s="991"/>
      <c r="K845" s="97" t="s">
        <v>21</v>
      </c>
      <c r="L845" s="97">
        <f>K848</f>
        <v>10</v>
      </c>
    </row>
    <row r="846" spans="2:12">
      <c r="B846" s="245"/>
      <c r="C846" s="992" t="s">
        <v>20</v>
      </c>
      <c r="D846" s="992"/>
      <c r="E846" s="992"/>
      <c r="F846" s="79" t="s">
        <v>22</v>
      </c>
      <c r="G846" s="244" t="s">
        <v>111</v>
      </c>
      <c r="H846" s="79" t="s">
        <v>112</v>
      </c>
      <c r="I846" s="244" t="s">
        <v>113</v>
      </c>
      <c r="J846" s="244" t="s">
        <v>114</v>
      </c>
      <c r="K846" s="81" t="s">
        <v>25</v>
      </c>
      <c r="L846" s="82"/>
    </row>
    <row r="847" spans="2:12">
      <c r="B847" s="245"/>
      <c r="C847" s="976" t="s">
        <v>237</v>
      </c>
      <c r="D847" s="977"/>
      <c r="E847" s="978"/>
      <c r="F847" s="83">
        <v>10</v>
      </c>
      <c r="G847" s="83">
        <v>0</v>
      </c>
      <c r="H847" s="83">
        <v>0</v>
      </c>
      <c r="I847" s="83">
        <v>0</v>
      </c>
      <c r="J847" s="83">
        <v>0</v>
      </c>
      <c r="K847" s="84">
        <f>F847</f>
        <v>10</v>
      </c>
      <c r="L847" s="82"/>
    </row>
    <row r="848" spans="2:12">
      <c r="B848" s="245"/>
      <c r="C848" s="979" t="s">
        <v>116</v>
      </c>
      <c r="D848" s="979"/>
      <c r="E848" s="979"/>
      <c r="F848" s="979"/>
      <c r="G848" s="979"/>
      <c r="H848" s="979"/>
      <c r="I848" s="979"/>
      <c r="J848" s="979"/>
      <c r="K848" s="81">
        <f>K847</f>
        <v>10</v>
      </c>
      <c r="L848" s="82"/>
    </row>
    <row r="849" spans="2:12">
      <c r="B849" s="245"/>
      <c r="C849" s="180"/>
      <c r="D849" s="180"/>
      <c r="E849" s="180"/>
      <c r="F849" s="180"/>
      <c r="G849" s="180"/>
      <c r="H849" s="180"/>
      <c r="I849" s="180"/>
      <c r="J849" s="180"/>
      <c r="K849" s="181"/>
      <c r="L849" s="82"/>
    </row>
    <row r="850" spans="2:12">
      <c r="B850" s="76" t="s">
        <v>65</v>
      </c>
      <c r="C850" s="993" t="s">
        <v>73</v>
      </c>
      <c r="D850" s="993"/>
      <c r="E850" s="993"/>
      <c r="F850" s="993"/>
      <c r="G850" s="993"/>
      <c r="H850" s="993"/>
      <c r="I850" s="993"/>
      <c r="J850" s="993"/>
      <c r="K850" s="77"/>
      <c r="L850" s="77"/>
    </row>
    <row r="851" spans="2:12">
      <c r="B851" s="343"/>
      <c r="C851" s="180"/>
      <c r="D851" s="180"/>
      <c r="E851" s="180"/>
      <c r="F851" s="180"/>
      <c r="G851" s="180"/>
      <c r="H851" s="180"/>
      <c r="I851" s="180"/>
      <c r="J851" s="180"/>
      <c r="K851" s="181"/>
      <c r="L851" s="82"/>
    </row>
    <row r="852" spans="2:12">
      <c r="B852" s="222" t="s">
        <v>68</v>
      </c>
      <c r="C852" s="989" t="str">
        <f>'ESCOLA PASCOAL'!C66</f>
        <v>REFORMA DE TOLDO  EM LONA ÁGUA E CHUVA</v>
      </c>
      <c r="D852" s="990"/>
      <c r="E852" s="990"/>
      <c r="F852" s="990"/>
      <c r="G852" s="990"/>
      <c r="H852" s="990"/>
      <c r="I852" s="990"/>
      <c r="J852" s="991"/>
      <c r="K852" s="97" t="s">
        <v>7</v>
      </c>
      <c r="L852" s="97">
        <f>K855</f>
        <v>25</v>
      </c>
    </row>
    <row r="853" spans="2:12">
      <c r="B853" s="222"/>
      <c r="C853" s="992" t="s">
        <v>20</v>
      </c>
      <c r="D853" s="992"/>
      <c r="E853" s="992"/>
      <c r="F853" s="79" t="s">
        <v>22</v>
      </c>
      <c r="G853" s="221" t="s">
        <v>111</v>
      </c>
      <c r="H853" s="79" t="s">
        <v>112</v>
      </c>
      <c r="I853" s="221" t="s">
        <v>113</v>
      </c>
      <c r="J853" s="221" t="s">
        <v>114</v>
      </c>
      <c r="K853" s="81" t="s">
        <v>25</v>
      </c>
      <c r="L853" s="82"/>
    </row>
    <row r="854" spans="2:12" ht="25.5" customHeight="1">
      <c r="B854" s="222"/>
      <c r="C854" s="989" t="s">
        <v>648</v>
      </c>
      <c r="D854" s="990"/>
      <c r="E854" s="991"/>
      <c r="F854" s="83">
        <v>1</v>
      </c>
      <c r="G854" s="83">
        <v>1</v>
      </c>
      <c r="H854" s="83">
        <v>2</v>
      </c>
      <c r="I854" s="83">
        <v>12.5</v>
      </c>
      <c r="J854" s="83">
        <v>0</v>
      </c>
      <c r="K854" s="84">
        <f>(I854*H854*G854*F854)-J854</f>
        <v>25</v>
      </c>
      <c r="L854" s="82"/>
    </row>
    <row r="855" spans="2:12">
      <c r="B855" s="222"/>
      <c r="C855" s="979" t="s">
        <v>116</v>
      </c>
      <c r="D855" s="979"/>
      <c r="E855" s="979"/>
      <c r="F855" s="979"/>
      <c r="G855" s="979"/>
      <c r="H855" s="979"/>
      <c r="I855" s="979"/>
      <c r="J855" s="979"/>
      <c r="K855" s="81">
        <f>K854</f>
        <v>25</v>
      </c>
      <c r="L855" s="82"/>
    </row>
    <row r="857" spans="2:12" s="867" customFormat="1">
      <c r="B857" s="859" t="s">
        <v>68</v>
      </c>
      <c r="C857" s="989" t="str">
        <f>'ESCOLA PASCOAL'!C67</f>
        <v>LIMPEZA GERAL</v>
      </c>
      <c r="D857" s="990"/>
      <c r="E857" s="990"/>
      <c r="F857" s="990"/>
      <c r="G857" s="990"/>
      <c r="H857" s="990"/>
      <c r="I857" s="990"/>
      <c r="J857" s="991"/>
      <c r="K857" s="97" t="s">
        <v>7</v>
      </c>
      <c r="L857" s="97">
        <f>K860</f>
        <v>200</v>
      </c>
    </row>
    <row r="858" spans="2:12">
      <c r="B858" s="343"/>
      <c r="C858" s="992" t="s">
        <v>20</v>
      </c>
      <c r="D858" s="992"/>
      <c r="E858" s="992"/>
      <c r="F858" s="79" t="s">
        <v>22</v>
      </c>
      <c r="G858" s="342" t="s">
        <v>111</v>
      </c>
      <c r="H858" s="79" t="s">
        <v>112</v>
      </c>
      <c r="I858" s="342" t="s">
        <v>113</v>
      </c>
      <c r="J858" s="342" t="s">
        <v>114</v>
      </c>
      <c r="K858" s="81" t="s">
        <v>25</v>
      </c>
      <c r="L858" s="82"/>
    </row>
    <row r="859" spans="2:12">
      <c r="B859" s="343"/>
      <c r="C859" s="984" t="s">
        <v>640</v>
      </c>
      <c r="D859" s="985"/>
      <c r="E859" s="986"/>
      <c r="F859" s="91">
        <v>1</v>
      </c>
      <c r="G859" s="91">
        <v>5</v>
      </c>
      <c r="H859" s="91">
        <v>40</v>
      </c>
      <c r="I859" s="91">
        <v>1</v>
      </c>
      <c r="J859" s="91">
        <v>0</v>
      </c>
      <c r="K859" s="84">
        <f>(I859*H859*G859*F859)-J859</f>
        <v>200</v>
      </c>
      <c r="L859" s="82"/>
    </row>
    <row r="860" spans="2:12">
      <c r="B860" s="343"/>
      <c r="C860" s="979" t="s">
        <v>116</v>
      </c>
      <c r="D860" s="979"/>
      <c r="E860" s="979"/>
      <c r="F860" s="979"/>
      <c r="G860" s="979"/>
      <c r="H860" s="979"/>
      <c r="I860" s="979"/>
      <c r="J860" s="979"/>
      <c r="K860" s="81">
        <f>K859</f>
        <v>200</v>
      </c>
      <c r="L860" s="82"/>
    </row>
  </sheetData>
  <mergeCells count="715">
    <mergeCell ref="C857:J857"/>
    <mergeCell ref="C858:E858"/>
    <mergeCell ref="C859:E859"/>
    <mergeCell ref="C860:J860"/>
    <mergeCell ref="C606:J606"/>
    <mergeCell ref="C607:E607"/>
    <mergeCell ref="C608:E608"/>
    <mergeCell ref="C609:J609"/>
    <mergeCell ref="B2:C5"/>
    <mergeCell ref="D2:I2"/>
    <mergeCell ref="J2:L5"/>
    <mergeCell ref="D3:I3"/>
    <mergeCell ref="D4:I5"/>
    <mergeCell ref="B7:C7"/>
    <mergeCell ref="C194:E194"/>
    <mergeCell ref="C599:J599"/>
    <mergeCell ref="C600:E600"/>
    <mergeCell ref="C18:J18"/>
    <mergeCell ref="C19:E19"/>
    <mergeCell ref="C20:E20"/>
    <mergeCell ref="C21:J21"/>
    <mergeCell ref="C23:J23"/>
    <mergeCell ref="C24:E24"/>
    <mergeCell ref="C8:D8"/>
    <mergeCell ref="C12:J12"/>
    <mergeCell ref="C13:J13"/>
    <mergeCell ref="C14:E14"/>
    <mergeCell ref="C15:E15"/>
    <mergeCell ref="C16:J16"/>
    <mergeCell ref="C32:E32"/>
    <mergeCell ref="C33:J33"/>
    <mergeCell ref="C35:J35"/>
    <mergeCell ref="C36:J36"/>
    <mergeCell ref="C37:E37"/>
    <mergeCell ref="C38:E38"/>
    <mergeCell ref="C25:E25"/>
    <mergeCell ref="C26:E26"/>
    <mergeCell ref="C27:J27"/>
    <mergeCell ref="C29:J29"/>
    <mergeCell ref="C30:J30"/>
    <mergeCell ref="C31:E31"/>
    <mergeCell ref="C46:E46"/>
    <mergeCell ref="C47:E47"/>
    <mergeCell ref="C48:E48"/>
    <mergeCell ref="C49:J49"/>
    <mergeCell ref="C51:J51"/>
    <mergeCell ref="C52:E52"/>
    <mergeCell ref="C39:J39"/>
    <mergeCell ref="C41:J41"/>
    <mergeCell ref="C42:E42"/>
    <mergeCell ref="C43:E43"/>
    <mergeCell ref="C44:E44"/>
    <mergeCell ref="C45:E45"/>
    <mergeCell ref="C60:E60"/>
    <mergeCell ref="C61:E61"/>
    <mergeCell ref="C62:E62"/>
    <mergeCell ref="C63:E63"/>
    <mergeCell ref="C64:E64"/>
    <mergeCell ref="C65:J65"/>
    <mergeCell ref="C53:E53"/>
    <mergeCell ref="C54:J54"/>
    <mergeCell ref="C56:J56"/>
    <mergeCell ref="C57:J57"/>
    <mergeCell ref="C58:E58"/>
    <mergeCell ref="C59:E59"/>
    <mergeCell ref="C73:E73"/>
    <mergeCell ref="C74:J74"/>
    <mergeCell ref="C76:J76"/>
    <mergeCell ref="C77:E77"/>
    <mergeCell ref="C78:E78"/>
    <mergeCell ref="C79:E79"/>
    <mergeCell ref="C67:J67"/>
    <mergeCell ref="C68:E68"/>
    <mergeCell ref="C69:E69"/>
    <mergeCell ref="C70:E70"/>
    <mergeCell ref="C71:E71"/>
    <mergeCell ref="C72:E72"/>
    <mergeCell ref="C87:E87"/>
    <mergeCell ref="C88:J88"/>
    <mergeCell ref="C90:J90"/>
    <mergeCell ref="C91:E91"/>
    <mergeCell ref="C92:E92"/>
    <mergeCell ref="C93:J93"/>
    <mergeCell ref="C80:E80"/>
    <mergeCell ref="C81:E81"/>
    <mergeCell ref="C82:E82"/>
    <mergeCell ref="C83:J83"/>
    <mergeCell ref="C85:J85"/>
    <mergeCell ref="C86:E86"/>
    <mergeCell ref="C102:E102"/>
    <mergeCell ref="C103:E103"/>
    <mergeCell ref="C104:J104"/>
    <mergeCell ref="C106:J106"/>
    <mergeCell ref="C107:E107"/>
    <mergeCell ref="C108:E108"/>
    <mergeCell ref="C95:J95"/>
    <mergeCell ref="C96:E96"/>
    <mergeCell ref="C97:E97"/>
    <mergeCell ref="C98:J98"/>
    <mergeCell ref="C100:J100"/>
    <mergeCell ref="C101:J101"/>
    <mergeCell ref="C116:E116"/>
    <mergeCell ref="C117:E117"/>
    <mergeCell ref="C118:E118"/>
    <mergeCell ref="C119:E119"/>
    <mergeCell ref="C120:J120"/>
    <mergeCell ref="C122:J122"/>
    <mergeCell ref="C109:E109"/>
    <mergeCell ref="C110:E110"/>
    <mergeCell ref="C111:J111"/>
    <mergeCell ref="C113:J113"/>
    <mergeCell ref="C114:E114"/>
    <mergeCell ref="C115:E115"/>
    <mergeCell ref="C129:J129"/>
    <mergeCell ref="C131:J131"/>
    <mergeCell ref="C132:E132"/>
    <mergeCell ref="C133:E133"/>
    <mergeCell ref="C134:E134"/>
    <mergeCell ref="C135:E135"/>
    <mergeCell ref="C123:E123"/>
    <mergeCell ref="C124:E124"/>
    <mergeCell ref="C125:E125"/>
    <mergeCell ref="C126:E126"/>
    <mergeCell ref="C127:E127"/>
    <mergeCell ref="C128:E128"/>
    <mergeCell ref="C144:J144"/>
    <mergeCell ref="C145:E145"/>
    <mergeCell ref="C146:E146"/>
    <mergeCell ref="C147:E147"/>
    <mergeCell ref="C148:J148"/>
    <mergeCell ref="C150:J150"/>
    <mergeCell ref="C136:J136"/>
    <mergeCell ref="C138:J138"/>
    <mergeCell ref="C139:E139"/>
    <mergeCell ref="C140:E140"/>
    <mergeCell ref="C141:E141"/>
    <mergeCell ref="C142:J142"/>
    <mergeCell ref="C158:E158"/>
    <mergeCell ref="C159:J159"/>
    <mergeCell ref="C161:J161"/>
    <mergeCell ref="C162:E162"/>
    <mergeCell ref="C163:E163"/>
    <mergeCell ref="C164:J164"/>
    <mergeCell ref="C151:E151"/>
    <mergeCell ref="C152:E152"/>
    <mergeCell ref="C153:E153"/>
    <mergeCell ref="C154:J154"/>
    <mergeCell ref="C156:J156"/>
    <mergeCell ref="C157:E157"/>
    <mergeCell ref="C173:E173"/>
    <mergeCell ref="C174:J174"/>
    <mergeCell ref="C176:J176"/>
    <mergeCell ref="C177:E177"/>
    <mergeCell ref="C178:E178"/>
    <mergeCell ref="C179:J179"/>
    <mergeCell ref="C166:J166"/>
    <mergeCell ref="C167:E167"/>
    <mergeCell ref="C168:E168"/>
    <mergeCell ref="C169:J169"/>
    <mergeCell ref="C171:J171"/>
    <mergeCell ref="C172:E172"/>
    <mergeCell ref="C187:J187"/>
    <mergeCell ref="C189:J189"/>
    <mergeCell ref="C181:J181"/>
    <mergeCell ref="C182:J182"/>
    <mergeCell ref="C183:E183"/>
    <mergeCell ref="C184:E184"/>
    <mergeCell ref="C185:E185"/>
    <mergeCell ref="C186:E186"/>
    <mergeCell ref="C199:E199"/>
    <mergeCell ref="C200:E200"/>
    <mergeCell ref="C201:J201"/>
    <mergeCell ref="C203:J203"/>
    <mergeCell ref="C204:E204"/>
    <mergeCell ref="C205:E205"/>
    <mergeCell ref="C191:J191"/>
    <mergeCell ref="C192:E192"/>
    <mergeCell ref="C193:E193"/>
    <mergeCell ref="C195:J195"/>
    <mergeCell ref="C198:J198"/>
    <mergeCell ref="C206:J206"/>
    <mergeCell ref="C208:J208"/>
    <mergeCell ref="C209:E209"/>
    <mergeCell ref="C210:E210"/>
    <mergeCell ref="C211:J211"/>
    <mergeCell ref="C219:J219"/>
    <mergeCell ref="C220:E220"/>
    <mergeCell ref="C221:E221"/>
    <mergeCell ref="C222:E222"/>
    <mergeCell ref="C223:E223"/>
    <mergeCell ref="C224:E224"/>
    <mergeCell ref="C212:E212"/>
    <mergeCell ref="C213:E213"/>
    <mergeCell ref="C214:E214"/>
    <mergeCell ref="C215:E215"/>
    <mergeCell ref="C216:E216"/>
    <mergeCell ref="C217:J217"/>
    <mergeCell ref="C233:E233"/>
    <mergeCell ref="C234:E234"/>
    <mergeCell ref="C235:J235"/>
    <mergeCell ref="C236:E236"/>
    <mergeCell ref="C237:E237"/>
    <mergeCell ref="C238:J238"/>
    <mergeCell ref="C225:J225"/>
    <mergeCell ref="C227:J227"/>
    <mergeCell ref="C229:E229"/>
    <mergeCell ref="C230:E230"/>
    <mergeCell ref="C231:E231"/>
    <mergeCell ref="C232:E232"/>
    <mergeCell ref="C246:J246"/>
    <mergeCell ref="C248:J248"/>
    <mergeCell ref="C249:E249"/>
    <mergeCell ref="C250:J250"/>
    <mergeCell ref="C251:E251"/>
    <mergeCell ref="C252:J252"/>
    <mergeCell ref="C239:E239"/>
    <mergeCell ref="C240:E240"/>
    <mergeCell ref="C241:J241"/>
    <mergeCell ref="C243:J243"/>
    <mergeCell ref="C244:E244"/>
    <mergeCell ref="C245:E245"/>
    <mergeCell ref="C261:E261"/>
    <mergeCell ref="C262:J262"/>
    <mergeCell ref="C264:J264"/>
    <mergeCell ref="C265:E265"/>
    <mergeCell ref="C266:E266"/>
    <mergeCell ref="C267:J267"/>
    <mergeCell ref="C254:J254"/>
    <mergeCell ref="C255:E255"/>
    <mergeCell ref="C256:E256"/>
    <mergeCell ref="C257:J257"/>
    <mergeCell ref="C259:J259"/>
    <mergeCell ref="C260:E260"/>
    <mergeCell ref="C276:E276"/>
    <mergeCell ref="C277:J277"/>
    <mergeCell ref="C279:J279"/>
    <mergeCell ref="C280:E280"/>
    <mergeCell ref="C281:E281"/>
    <mergeCell ref="C282:J282"/>
    <mergeCell ref="C269:J269"/>
    <mergeCell ref="C270:E270"/>
    <mergeCell ref="C271:E271"/>
    <mergeCell ref="C272:J272"/>
    <mergeCell ref="C274:J274"/>
    <mergeCell ref="C275:E275"/>
    <mergeCell ref="C291:E291"/>
    <mergeCell ref="C292:J292"/>
    <mergeCell ref="C294:J294"/>
    <mergeCell ref="C295:E295"/>
    <mergeCell ref="C296:E296"/>
    <mergeCell ref="C297:J297"/>
    <mergeCell ref="C284:J284"/>
    <mergeCell ref="C285:E285"/>
    <mergeCell ref="C286:E286"/>
    <mergeCell ref="C287:J287"/>
    <mergeCell ref="C289:J289"/>
    <mergeCell ref="C290:E290"/>
    <mergeCell ref="C306:E306"/>
    <mergeCell ref="C307:E307"/>
    <mergeCell ref="C308:J308"/>
    <mergeCell ref="C310:J310"/>
    <mergeCell ref="C311:E311"/>
    <mergeCell ref="C312:E312"/>
    <mergeCell ref="C299:J299"/>
    <mergeCell ref="C300:E300"/>
    <mergeCell ref="C301:E301"/>
    <mergeCell ref="C302:J302"/>
    <mergeCell ref="C304:J304"/>
    <mergeCell ref="C305:J305"/>
    <mergeCell ref="C321:E321"/>
    <mergeCell ref="C322:E322"/>
    <mergeCell ref="C323:J323"/>
    <mergeCell ref="C325:J325"/>
    <mergeCell ref="C326:E326"/>
    <mergeCell ref="C327:E327"/>
    <mergeCell ref="C313:J313"/>
    <mergeCell ref="C315:J315"/>
    <mergeCell ref="C316:E316"/>
    <mergeCell ref="C317:E317"/>
    <mergeCell ref="C318:J318"/>
    <mergeCell ref="C320:J320"/>
    <mergeCell ref="C336:E336"/>
    <mergeCell ref="C337:E337"/>
    <mergeCell ref="C338:J338"/>
    <mergeCell ref="C340:J340"/>
    <mergeCell ref="C341:E341"/>
    <mergeCell ref="C342:E342"/>
    <mergeCell ref="C328:J328"/>
    <mergeCell ref="C330:J330"/>
    <mergeCell ref="C331:E331"/>
    <mergeCell ref="C332:E332"/>
    <mergeCell ref="C333:J333"/>
    <mergeCell ref="C335:J335"/>
    <mergeCell ref="C351:E351"/>
    <mergeCell ref="C352:E352"/>
    <mergeCell ref="C353:J353"/>
    <mergeCell ref="C355:J355"/>
    <mergeCell ref="C356:E356"/>
    <mergeCell ref="C357:E357"/>
    <mergeCell ref="C343:J343"/>
    <mergeCell ref="C345:J345"/>
    <mergeCell ref="C346:E346"/>
    <mergeCell ref="C347:E347"/>
    <mergeCell ref="C348:J348"/>
    <mergeCell ref="C350:J350"/>
    <mergeCell ref="C366:E366"/>
    <mergeCell ref="C367:E367"/>
    <mergeCell ref="C368:J368"/>
    <mergeCell ref="C370:J370"/>
    <mergeCell ref="C371:E371"/>
    <mergeCell ref="C372:E372"/>
    <mergeCell ref="C358:J358"/>
    <mergeCell ref="C360:J360"/>
    <mergeCell ref="C361:E361"/>
    <mergeCell ref="C362:E362"/>
    <mergeCell ref="C363:J363"/>
    <mergeCell ref="C365:J365"/>
    <mergeCell ref="C381:J381"/>
    <mergeCell ref="C382:E382"/>
    <mergeCell ref="C383:E383"/>
    <mergeCell ref="C384:E384"/>
    <mergeCell ref="C385:E385"/>
    <mergeCell ref="C386:E386"/>
    <mergeCell ref="C373:J373"/>
    <mergeCell ref="C375:J375"/>
    <mergeCell ref="C376:E376"/>
    <mergeCell ref="C377:E377"/>
    <mergeCell ref="C378:J378"/>
    <mergeCell ref="C380:J380"/>
    <mergeCell ref="C394:E394"/>
    <mergeCell ref="C395:E395"/>
    <mergeCell ref="C396:E396"/>
    <mergeCell ref="C397:J397"/>
    <mergeCell ref="C399:J399"/>
    <mergeCell ref="C400:E400"/>
    <mergeCell ref="C387:E387"/>
    <mergeCell ref="C388:J388"/>
    <mergeCell ref="C390:J390"/>
    <mergeCell ref="C391:E391"/>
    <mergeCell ref="C392:E392"/>
    <mergeCell ref="C393:E393"/>
    <mergeCell ref="C408:J408"/>
    <mergeCell ref="C409:E409"/>
    <mergeCell ref="C410:E410"/>
    <mergeCell ref="C411:E411"/>
    <mergeCell ref="C412:J412"/>
    <mergeCell ref="C414:J414"/>
    <mergeCell ref="C401:E401"/>
    <mergeCell ref="C402:E402"/>
    <mergeCell ref="C403:E403"/>
    <mergeCell ref="C404:E404"/>
    <mergeCell ref="C405:E405"/>
    <mergeCell ref="C406:J406"/>
    <mergeCell ref="C422:E422"/>
    <mergeCell ref="C423:E423"/>
    <mergeCell ref="C424:J424"/>
    <mergeCell ref="C426:J426"/>
    <mergeCell ref="C427:J427"/>
    <mergeCell ref="C428:J428"/>
    <mergeCell ref="C415:E415"/>
    <mergeCell ref="C416:E416"/>
    <mergeCell ref="C417:E417"/>
    <mergeCell ref="C418:J418"/>
    <mergeCell ref="C420:J420"/>
    <mergeCell ref="C421:E421"/>
    <mergeCell ref="C436:J436"/>
    <mergeCell ref="C438:J438"/>
    <mergeCell ref="C439:E439"/>
    <mergeCell ref="C440:E440"/>
    <mergeCell ref="C441:J441"/>
    <mergeCell ref="C443:J443"/>
    <mergeCell ref="C429:E429"/>
    <mergeCell ref="C430:E430"/>
    <mergeCell ref="C431:J431"/>
    <mergeCell ref="C433:J433"/>
    <mergeCell ref="C434:E434"/>
    <mergeCell ref="C435:E435"/>
    <mergeCell ref="C451:E451"/>
    <mergeCell ref="C452:E452"/>
    <mergeCell ref="C453:E453"/>
    <mergeCell ref="C454:J454"/>
    <mergeCell ref="C456:J456"/>
    <mergeCell ref="C457:J457"/>
    <mergeCell ref="C444:E444"/>
    <mergeCell ref="C445:E445"/>
    <mergeCell ref="C446:E446"/>
    <mergeCell ref="C447:J447"/>
    <mergeCell ref="C449:J449"/>
    <mergeCell ref="C450:E450"/>
    <mergeCell ref="C465:J465"/>
    <mergeCell ref="C467:J467"/>
    <mergeCell ref="C468:E468"/>
    <mergeCell ref="C469:E469"/>
    <mergeCell ref="C470:J470"/>
    <mergeCell ref="C472:J472"/>
    <mergeCell ref="C458:E458"/>
    <mergeCell ref="C459:E459"/>
    <mergeCell ref="C460:J460"/>
    <mergeCell ref="C462:J462"/>
    <mergeCell ref="C463:E463"/>
    <mergeCell ref="C464:E464"/>
    <mergeCell ref="C480:E480"/>
    <mergeCell ref="C481:E481"/>
    <mergeCell ref="C482:E482"/>
    <mergeCell ref="C483:E483"/>
    <mergeCell ref="C484:J484"/>
    <mergeCell ref="C486:J486"/>
    <mergeCell ref="C473:E473"/>
    <mergeCell ref="C474:E474"/>
    <mergeCell ref="C475:E475"/>
    <mergeCell ref="C476:E476"/>
    <mergeCell ref="C477:J477"/>
    <mergeCell ref="C479:J479"/>
    <mergeCell ref="C494:J494"/>
    <mergeCell ref="C495:E495"/>
    <mergeCell ref="C496:E496"/>
    <mergeCell ref="C497:J497"/>
    <mergeCell ref="C499:J499"/>
    <mergeCell ref="C500:E500"/>
    <mergeCell ref="C487:J487"/>
    <mergeCell ref="C488:E488"/>
    <mergeCell ref="C489:E489"/>
    <mergeCell ref="C490:E490"/>
    <mergeCell ref="C491:E491"/>
    <mergeCell ref="C492:J492"/>
    <mergeCell ref="C508:E508"/>
    <mergeCell ref="C509:E509"/>
    <mergeCell ref="C510:J510"/>
    <mergeCell ref="C512:J512"/>
    <mergeCell ref="C513:E513"/>
    <mergeCell ref="C514:E514"/>
    <mergeCell ref="C501:E501"/>
    <mergeCell ref="C502:E502"/>
    <mergeCell ref="C503:E503"/>
    <mergeCell ref="C504:J504"/>
    <mergeCell ref="C506:J506"/>
    <mergeCell ref="C507:E507"/>
    <mergeCell ref="C522:J522"/>
    <mergeCell ref="C524:J524"/>
    <mergeCell ref="C525:E525"/>
    <mergeCell ref="C526:E526"/>
    <mergeCell ref="C527:J527"/>
    <mergeCell ref="C529:J529"/>
    <mergeCell ref="C515:E515"/>
    <mergeCell ref="C516:J516"/>
    <mergeCell ref="C518:J518"/>
    <mergeCell ref="C519:J519"/>
    <mergeCell ref="C520:E520"/>
    <mergeCell ref="C521:E521"/>
    <mergeCell ref="C537:E537"/>
    <mergeCell ref="C538:J538"/>
    <mergeCell ref="C540:J540"/>
    <mergeCell ref="C541:E541"/>
    <mergeCell ref="C542:E542"/>
    <mergeCell ref="C543:E543"/>
    <mergeCell ref="C530:E530"/>
    <mergeCell ref="C531:E531"/>
    <mergeCell ref="C532:J532"/>
    <mergeCell ref="C534:J534"/>
    <mergeCell ref="C535:E535"/>
    <mergeCell ref="C536:E536"/>
    <mergeCell ref="C552:J552"/>
    <mergeCell ref="C553:E553"/>
    <mergeCell ref="C554:E554"/>
    <mergeCell ref="C555:J555"/>
    <mergeCell ref="C557:J557"/>
    <mergeCell ref="C558:E558"/>
    <mergeCell ref="C544:J544"/>
    <mergeCell ref="C546:J546"/>
    <mergeCell ref="C547:J547"/>
    <mergeCell ref="C548:E548"/>
    <mergeCell ref="C549:E549"/>
    <mergeCell ref="C550:J550"/>
    <mergeCell ref="C566:J566"/>
    <mergeCell ref="C568:J568"/>
    <mergeCell ref="C569:E569"/>
    <mergeCell ref="C570:E570"/>
    <mergeCell ref="C571:E571"/>
    <mergeCell ref="C572:J572"/>
    <mergeCell ref="C559:E559"/>
    <mergeCell ref="C560:J560"/>
    <mergeCell ref="C562:J562"/>
    <mergeCell ref="C563:E563"/>
    <mergeCell ref="C564:E564"/>
    <mergeCell ref="C565:E565"/>
    <mergeCell ref="C581:J581"/>
    <mergeCell ref="C582:E582"/>
    <mergeCell ref="C583:E583"/>
    <mergeCell ref="C584:J584"/>
    <mergeCell ref="C587:J587"/>
    <mergeCell ref="C588:E588"/>
    <mergeCell ref="C574:J574"/>
    <mergeCell ref="C575:J575"/>
    <mergeCell ref="C576:E576"/>
    <mergeCell ref="C577:E577"/>
    <mergeCell ref="C578:J578"/>
    <mergeCell ref="C580:J580"/>
    <mergeCell ref="C596:J596"/>
    <mergeCell ref="C589:E589"/>
    <mergeCell ref="C590:E590"/>
    <mergeCell ref="C591:J591"/>
    <mergeCell ref="C593:J593"/>
    <mergeCell ref="C594:E594"/>
    <mergeCell ref="C595:E595"/>
    <mergeCell ref="C601:E601"/>
    <mergeCell ref="C604:J604"/>
    <mergeCell ref="C602:E602"/>
    <mergeCell ref="C603:E603"/>
    <mergeCell ref="C617:E617"/>
    <mergeCell ref="C618:E618"/>
    <mergeCell ref="C619:E619"/>
    <mergeCell ref="C620:E620"/>
    <mergeCell ref="C621:E621"/>
    <mergeCell ref="C622:E622"/>
    <mergeCell ref="C611:J611"/>
    <mergeCell ref="C613:J613"/>
    <mergeCell ref="C614:E614"/>
    <mergeCell ref="C615:E615"/>
    <mergeCell ref="C616:E616"/>
    <mergeCell ref="C629:E629"/>
    <mergeCell ref="C630:E630"/>
    <mergeCell ref="C631:E631"/>
    <mergeCell ref="C632:E632"/>
    <mergeCell ref="C633:E633"/>
    <mergeCell ref="C634:E634"/>
    <mergeCell ref="C623:E623"/>
    <mergeCell ref="C624:E624"/>
    <mergeCell ref="C625:E625"/>
    <mergeCell ref="C626:E626"/>
    <mergeCell ref="C627:E627"/>
    <mergeCell ref="C628:E628"/>
    <mergeCell ref="C642:E642"/>
    <mergeCell ref="C643:E643"/>
    <mergeCell ref="C644:E644"/>
    <mergeCell ref="C645:E645"/>
    <mergeCell ref="C646:E646"/>
    <mergeCell ref="C647:E647"/>
    <mergeCell ref="C635:E635"/>
    <mergeCell ref="C636:E636"/>
    <mergeCell ref="C637:J637"/>
    <mergeCell ref="C639:J639"/>
    <mergeCell ref="C640:E640"/>
    <mergeCell ref="C641:E641"/>
    <mergeCell ref="C654:E654"/>
    <mergeCell ref="C655:E655"/>
    <mergeCell ref="C656:E656"/>
    <mergeCell ref="C657:E657"/>
    <mergeCell ref="C658:E658"/>
    <mergeCell ref="C659:E659"/>
    <mergeCell ref="C648:E648"/>
    <mergeCell ref="C649:E649"/>
    <mergeCell ref="C650:E650"/>
    <mergeCell ref="C651:E651"/>
    <mergeCell ref="C652:E652"/>
    <mergeCell ref="C653:E653"/>
    <mergeCell ref="C705:E705"/>
    <mergeCell ref="C703:J703"/>
    <mergeCell ref="C704:E704"/>
    <mergeCell ref="C663:J663"/>
    <mergeCell ref="C697:J697"/>
    <mergeCell ref="C698:E698"/>
    <mergeCell ref="C699:E699"/>
    <mergeCell ref="C660:E660"/>
    <mergeCell ref="C661:E661"/>
    <mergeCell ref="C662:E662"/>
    <mergeCell ref="C701:J701"/>
    <mergeCell ref="C700:E700"/>
    <mergeCell ref="C691:J691"/>
    <mergeCell ref="C692:E692"/>
    <mergeCell ref="C693:E693"/>
    <mergeCell ref="C668:E668"/>
    <mergeCell ref="C694:J694"/>
    <mergeCell ref="C665:J665"/>
    <mergeCell ref="C666:E666"/>
    <mergeCell ref="C667:E667"/>
    <mergeCell ref="C669:E669"/>
    <mergeCell ref="C670:E670"/>
    <mergeCell ref="C671:E671"/>
    <mergeCell ref="C672:E672"/>
    <mergeCell ref="C715:J715"/>
    <mergeCell ref="C716:E716"/>
    <mergeCell ref="C717:E717"/>
    <mergeCell ref="C718:E718"/>
    <mergeCell ref="C719:E719"/>
    <mergeCell ref="C706:J706"/>
    <mergeCell ref="C708:J708"/>
    <mergeCell ref="C709:E709"/>
    <mergeCell ref="C710:E710"/>
    <mergeCell ref="C711:J711"/>
    <mergeCell ref="C713:J713"/>
    <mergeCell ref="C726:E726"/>
    <mergeCell ref="C727:J727"/>
    <mergeCell ref="C729:J729"/>
    <mergeCell ref="C730:E730"/>
    <mergeCell ref="C731:E731"/>
    <mergeCell ref="C720:J720"/>
    <mergeCell ref="C722:J722"/>
    <mergeCell ref="C723:E723"/>
    <mergeCell ref="C724:E724"/>
    <mergeCell ref="C725:E725"/>
    <mergeCell ref="C732:J732"/>
    <mergeCell ref="C739:J739"/>
    <mergeCell ref="C740:J740"/>
    <mergeCell ref="C741:E741"/>
    <mergeCell ref="C742:E742"/>
    <mergeCell ref="C735:E735"/>
    <mergeCell ref="C736:E736"/>
    <mergeCell ref="C734:J734"/>
    <mergeCell ref="C737:J737"/>
    <mergeCell ref="C758:E758"/>
    <mergeCell ref="C759:E759"/>
    <mergeCell ref="C762:J762"/>
    <mergeCell ref="C763:E763"/>
    <mergeCell ref="C743:J743"/>
    <mergeCell ref="C745:J745"/>
    <mergeCell ref="C746:E746"/>
    <mergeCell ref="C747:E747"/>
    <mergeCell ref="C748:J748"/>
    <mergeCell ref="C757:J757"/>
    <mergeCell ref="C750:J750"/>
    <mergeCell ref="C751:E751"/>
    <mergeCell ref="C752:E752"/>
    <mergeCell ref="C753:E753"/>
    <mergeCell ref="C755:J755"/>
    <mergeCell ref="C760:J760"/>
    <mergeCell ref="C754:E754"/>
    <mergeCell ref="C783:E783"/>
    <mergeCell ref="C784:E784"/>
    <mergeCell ref="C785:J785"/>
    <mergeCell ref="C764:E764"/>
    <mergeCell ref="C765:E765"/>
    <mergeCell ref="C766:E766"/>
    <mergeCell ref="C768:J768"/>
    <mergeCell ref="C775:J775"/>
    <mergeCell ref="C782:J782"/>
    <mergeCell ref="C770:J770"/>
    <mergeCell ref="C771:E771"/>
    <mergeCell ref="C772:E772"/>
    <mergeCell ref="C773:J773"/>
    <mergeCell ref="C777:J777"/>
    <mergeCell ref="C778:E778"/>
    <mergeCell ref="C779:E779"/>
    <mergeCell ref="C780:J780"/>
    <mergeCell ref="C802:J802"/>
    <mergeCell ref="C804:J804"/>
    <mergeCell ref="C805:E805"/>
    <mergeCell ref="C806:E806"/>
    <mergeCell ref="C807:J807"/>
    <mergeCell ref="C809:J809"/>
    <mergeCell ref="C810:E810"/>
    <mergeCell ref="C811:E811"/>
    <mergeCell ref="C812:J812"/>
    <mergeCell ref="C787:J787"/>
    <mergeCell ref="C789:J789"/>
    <mergeCell ref="C790:E790"/>
    <mergeCell ref="C791:E791"/>
    <mergeCell ref="C792:J792"/>
    <mergeCell ref="C794:J794"/>
    <mergeCell ref="C799:J799"/>
    <mergeCell ref="C800:E800"/>
    <mergeCell ref="C801:E801"/>
    <mergeCell ref="C795:E795"/>
    <mergeCell ref="C796:E796"/>
    <mergeCell ref="C797:J797"/>
    <mergeCell ref="C850:J850"/>
    <mergeCell ref="C852:J852"/>
    <mergeCell ref="C853:E853"/>
    <mergeCell ref="C854:E854"/>
    <mergeCell ref="C855:J855"/>
    <mergeCell ref="C833:E833"/>
    <mergeCell ref="C834:J834"/>
    <mergeCell ref="C836:J836"/>
    <mergeCell ref="C837:E837"/>
    <mergeCell ref="C838:E838"/>
    <mergeCell ref="C843:J843"/>
    <mergeCell ref="C845:J845"/>
    <mergeCell ref="C846:E846"/>
    <mergeCell ref="C847:E847"/>
    <mergeCell ref="C848:J848"/>
    <mergeCell ref="C827:E827"/>
    <mergeCell ref="C828:E828"/>
    <mergeCell ref="C829:J829"/>
    <mergeCell ref="C839:E839"/>
    <mergeCell ref="C840:E840"/>
    <mergeCell ref="C841:E841"/>
    <mergeCell ref="C842:E842"/>
    <mergeCell ref="C814:J814"/>
    <mergeCell ref="C815:E815"/>
    <mergeCell ref="C816:E816"/>
    <mergeCell ref="C817:J817"/>
    <mergeCell ref="C821:J821"/>
    <mergeCell ref="C822:E822"/>
    <mergeCell ref="C823:E823"/>
    <mergeCell ref="C824:J824"/>
    <mergeCell ref="C826:J826"/>
    <mergeCell ref="C819:J819"/>
    <mergeCell ref="C831:J831"/>
    <mergeCell ref="C832:E832"/>
    <mergeCell ref="C682:E682"/>
    <mergeCell ref="C683:E683"/>
    <mergeCell ref="C684:E684"/>
    <mergeCell ref="C685:E685"/>
    <mergeCell ref="C686:E686"/>
    <mergeCell ref="C687:E687"/>
    <mergeCell ref="C688:E688"/>
    <mergeCell ref="C689:J689"/>
    <mergeCell ref="C673:E673"/>
    <mergeCell ref="C674:E674"/>
    <mergeCell ref="C675:E675"/>
    <mergeCell ref="C676:E676"/>
    <mergeCell ref="C677:E677"/>
    <mergeCell ref="C678:E678"/>
    <mergeCell ref="C679:E679"/>
    <mergeCell ref="C680:E680"/>
    <mergeCell ref="C681:E681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38" orientation="portrait" horizontalDpi="360" verticalDpi="360" r:id="rId1"/>
  <headerFooter>
    <oddFooter>Página &amp;P de &amp;N</oddFooter>
  </headerFooter>
  <rowBreaks count="3" manualBreakCount="3">
    <brk id="663" min="1" max="11" man="1"/>
    <brk id="696" min="1" max="11" man="1"/>
    <brk id="802" min="1" max="11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8"/>
  <sheetViews>
    <sheetView view="pageBreakPreview" topLeftCell="A187" zoomScale="85" zoomScaleNormal="100" zoomScaleSheetLayoutView="85" workbookViewId="0">
      <selection activeCell="A67" sqref="A67:XFD67"/>
    </sheetView>
  </sheetViews>
  <sheetFormatPr defaultRowHeight="15"/>
  <cols>
    <col min="1" max="1" width="22.85546875" style="26" customWidth="1"/>
    <col min="2" max="2" width="17.140625" style="27" customWidth="1"/>
    <col min="3" max="3" width="69.85546875" style="27" customWidth="1"/>
    <col min="4" max="4" width="17.140625" style="27" customWidth="1"/>
    <col min="5" max="5" width="8.85546875" style="28" bestFit="1" customWidth="1"/>
    <col min="6" max="6" width="11.85546875" style="29" bestFit="1" customWidth="1"/>
    <col min="7" max="7" width="13.5703125" style="29" bestFit="1" customWidth="1"/>
    <col min="8" max="8" width="23.5703125" style="29" customWidth="1"/>
    <col min="9" max="9" width="9.5703125" bestFit="1" customWidth="1"/>
    <col min="12" max="12" width="16.85546875" customWidth="1"/>
    <col min="257" max="257" width="17.42578125" bestFit="1" customWidth="1"/>
    <col min="258" max="258" width="8.7109375" customWidth="1"/>
    <col min="259" max="259" width="58.85546875" customWidth="1"/>
    <col min="260" max="260" width="6.85546875" customWidth="1"/>
    <col min="261" max="261" width="8.42578125" bestFit="1" customWidth="1"/>
    <col min="262" max="262" width="11.28515625" bestFit="1" customWidth="1"/>
    <col min="263" max="264" width="13.5703125" bestFit="1" customWidth="1"/>
    <col min="513" max="513" width="17.42578125" bestFit="1" customWidth="1"/>
    <col min="514" max="514" width="8.7109375" customWidth="1"/>
    <col min="515" max="515" width="58.85546875" customWidth="1"/>
    <col min="516" max="516" width="6.85546875" customWidth="1"/>
    <col min="517" max="517" width="8.42578125" bestFit="1" customWidth="1"/>
    <col min="518" max="518" width="11.28515625" bestFit="1" customWidth="1"/>
    <col min="519" max="520" width="13.5703125" bestFit="1" customWidth="1"/>
    <col min="769" max="769" width="17.42578125" bestFit="1" customWidth="1"/>
    <col min="770" max="770" width="8.7109375" customWidth="1"/>
    <col min="771" max="771" width="58.85546875" customWidth="1"/>
    <col min="772" max="772" width="6.85546875" customWidth="1"/>
    <col min="773" max="773" width="8.42578125" bestFit="1" customWidth="1"/>
    <col min="774" max="774" width="11.28515625" bestFit="1" customWidth="1"/>
    <col min="775" max="776" width="13.5703125" bestFit="1" customWidth="1"/>
    <col min="1025" max="1025" width="17.42578125" bestFit="1" customWidth="1"/>
    <col min="1026" max="1026" width="8.7109375" customWidth="1"/>
    <col min="1027" max="1027" width="58.85546875" customWidth="1"/>
    <col min="1028" max="1028" width="6.85546875" customWidth="1"/>
    <col min="1029" max="1029" width="8.42578125" bestFit="1" customWidth="1"/>
    <col min="1030" max="1030" width="11.28515625" bestFit="1" customWidth="1"/>
    <col min="1031" max="1032" width="13.5703125" bestFit="1" customWidth="1"/>
    <col min="1281" max="1281" width="17.42578125" bestFit="1" customWidth="1"/>
    <col min="1282" max="1282" width="8.7109375" customWidth="1"/>
    <col min="1283" max="1283" width="58.85546875" customWidth="1"/>
    <col min="1284" max="1284" width="6.85546875" customWidth="1"/>
    <col min="1285" max="1285" width="8.42578125" bestFit="1" customWidth="1"/>
    <col min="1286" max="1286" width="11.28515625" bestFit="1" customWidth="1"/>
    <col min="1287" max="1288" width="13.5703125" bestFit="1" customWidth="1"/>
    <col min="1537" max="1537" width="17.42578125" bestFit="1" customWidth="1"/>
    <col min="1538" max="1538" width="8.7109375" customWidth="1"/>
    <col min="1539" max="1539" width="58.85546875" customWidth="1"/>
    <col min="1540" max="1540" width="6.85546875" customWidth="1"/>
    <col min="1541" max="1541" width="8.42578125" bestFit="1" customWidth="1"/>
    <col min="1542" max="1542" width="11.28515625" bestFit="1" customWidth="1"/>
    <col min="1543" max="1544" width="13.5703125" bestFit="1" customWidth="1"/>
    <col min="1793" max="1793" width="17.42578125" bestFit="1" customWidth="1"/>
    <col min="1794" max="1794" width="8.7109375" customWidth="1"/>
    <col min="1795" max="1795" width="58.85546875" customWidth="1"/>
    <col min="1796" max="1796" width="6.85546875" customWidth="1"/>
    <col min="1797" max="1797" width="8.42578125" bestFit="1" customWidth="1"/>
    <col min="1798" max="1798" width="11.28515625" bestFit="1" customWidth="1"/>
    <col min="1799" max="1800" width="13.5703125" bestFit="1" customWidth="1"/>
    <col min="2049" max="2049" width="17.42578125" bestFit="1" customWidth="1"/>
    <col min="2050" max="2050" width="8.7109375" customWidth="1"/>
    <col min="2051" max="2051" width="58.85546875" customWidth="1"/>
    <col min="2052" max="2052" width="6.85546875" customWidth="1"/>
    <col min="2053" max="2053" width="8.42578125" bestFit="1" customWidth="1"/>
    <col min="2054" max="2054" width="11.28515625" bestFit="1" customWidth="1"/>
    <col min="2055" max="2056" width="13.5703125" bestFit="1" customWidth="1"/>
    <col min="2305" max="2305" width="17.42578125" bestFit="1" customWidth="1"/>
    <col min="2306" max="2306" width="8.7109375" customWidth="1"/>
    <col min="2307" max="2307" width="58.85546875" customWidth="1"/>
    <col min="2308" max="2308" width="6.85546875" customWidth="1"/>
    <col min="2309" max="2309" width="8.42578125" bestFit="1" customWidth="1"/>
    <col min="2310" max="2310" width="11.28515625" bestFit="1" customWidth="1"/>
    <col min="2311" max="2312" width="13.5703125" bestFit="1" customWidth="1"/>
    <col min="2561" max="2561" width="17.42578125" bestFit="1" customWidth="1"/>
    <col min="2562" max="2562" width="8.7109375" customWidth="1"/>
    <col min="2563" max="2563" width="58.85546875" customWidth="1"/>
    <col min="2564" max="2564" width="6.85546875" customWidth="1"/>
    <col min="2565" max="2565" width="8.42578125" bestFit="1" customWidth="1"/>
    <col min="2566" max="2566" width="11.28515625" bestFit="1" customWidth="1"/>
    <col min="2567" max="2568" width="13.5703125" bestFit="1" customWidth="1"/>
    <col min="2817" max="2817" width="17.42578125" bestFit="1" customWidth="1"/>
    <col min="2818" max="2818" width="8.7109375" customWidth="1"/>
    <col min="2819" max="2819" width="58.85546875" customWidth="1"/>
    <col min="2820" max="2820" width="6.85546875" customWidth="1"/>
    <col min="2821" max="2821" width="8.42578125" bestFit="1" customWidth="1"/>
    <col min="2822" max="2822" width="11.28515625" bestFit="1" customWidth="1"/>
    <col min="2823" max="2824" width="13.5703125" bestFit="1" customWidth="1"/>
    <col min="3073" max="3073" width="17.42578125" bestFit="1" customWidth="1"/>
    <col min="3074" max="3074" width="8.7109375" customWidth="1"/>
    <col min="3075" max="3075" width="58.85546875" customWidth="1"/>
    <col min="3076" max="3076" width="6.85546875" customWidth="1"/>
    <col min="3077" max="3077" width="8.42578125" bestFit="1" customWidth="1"/>
    <col min="3078" max="3078" width="11.28515625" bestFit="1" customWidth="1"/>
    <col min="3079" max="3080" width="13.5703125" bestFit="1" customWidth="1"/>
    <col min="3329" max="3329" width="17.42578125" bestFit="1" customWidth="1"/>
    <col min="3330" max="3330" width="8.7109375" customWidth="1"/>
    <col min="3331" max="3331" width="58.85546875" customWidth="1"/>
    <col min="3332" max="3332" width="6.85546875" customWidth="1"/>
    <col min="3333" max="3333" width="8.42578125" bestFit="1" customWidth="1"/>
    <col min="3334" max="3334" width="11.28515625" bestFit="1" customWidth="1"/>
    <col min="3335" max="3336" width="13.5703125" bestFit="1" customWidth="1"/>
    <col min="3585" max="3585" width="17.42578125" bestFit="1" customWidth="1"/>
    <col min="3586" max="3586" width="8.7109375" customWidth="1"/>
    <col min="3587" max="3587" width="58.85546875" customWidth="1"/>
    <col min="3588" max="3588" width="6.85546875" customWidth="1"/>
    <col min="3589" max="3589" width="8.42578125" bestFit="1" customWidth="1"/>
    <col min="3590" max="3590" width="11.28515625" bestFit="1" customWidth="1"/>
    <col min="3591" max="3592" width="13.5703125" bestFit="1" customWidth="1"/>
    <col min="3841" max="3841" width="17.42578125" bestFit="1" customWidth="1"/>
    <col min="3842" max="3842" width="8.7109375" customWidth="1"/>
    <col min="3843" max="3843" width="58.85546875" customWidth="1"/>
    <col min="3844" max="3844" width="6.85546875" customWidth="1"/>
    <col min="3845" max="3845" width="8.42578125" bestFit="1" customWidth="1"/>
    <col min="3846" max="3846" width="11.28515625" bestFit="1" customWidth="1"/>
    <col min="3847" max="3848" width="13.5703125" bestFit="1" customWidth="1"/>
    <col min="4097" max="4097" width="17.42578125" bestFit="1" customWidth="1"/>
    <col min="4098" max="4098" width="8.7109375" customWidth="1"/>
    <col min="4099" max="4099" width="58.85546875" customWidth="1"/>
    <col min="4100" max="4100" width="6.85546875" customWidth="1"/>
    <col min="4101" max="4101" width="8.42578125" bestFit="1" customWidth="1"/>
    <col min="4102" max="4102" width="11.28515625" bestFit="1" customWidth="1"/>
    <col min="4103" max="4104" width="13.5703125" bestFit="1" customWidth="1"/>
    <col min="4353" max="4353" width="17.42578125" bestFit="1" customWidth="1"/>
    <col min="4354" max="4354" width="8.7109375" customWidth="1"/>
    <col min="4355" max="4355" width="58.85546875" customWidth="1"/>
    <col min="4356" max="4356" width="6.85546875" customWidth="1"/>
    <col min="4357" max="4357" width="8.42578125" bestFit="1" customWidth="1"/>
    <col min="4358" max="4358" width="11.28515625" bestFit="1" customWidth="1"/>
    <col min="4359" max="4360" width="13.5703125" bestFit="1" customWidth="1"/>
    <col min="4609" max="4609" width="17.42578125" bestFit="1" customWidth="1"/>
    <col min="4610" max="4610" width="8.7109375" customWidth="1"/>
    <col min="4611" max="4611" width="58.85546875" customWidth="1"/>
    <col min="4612" max="4612" width="6.85546875" customWidth="1"/>
    <col min="4613" max="4613" width="8.42578125" bestFit="1" customWidth="1"/>
    <col min="4614" max="4614" width="11.28515625" bestFit="1" customWidth="1"/>
    <col min="4615" max="4616" width="13.5703125" bestFit="1" customWidth="1"/>
    <col min="4865" max="4865" width="17.42578125" bestFit="1" customWidth="1"/>
    <col min="4866" max="4866" width="8.7109375" customWidth="1"/>
    <col min="4867" max="4867" width="58.85546875" customWidth="1"/>
    <col min="4868" max="4868" width="6.85546875" customWidth="1"/>
    <col min="4869" max="4869" width="8.42578125" bestFit="1" customWidth="1"/>
    <col min="4870" max="4870" width="11.28515625" bestFit="1" customWidth="1"/>
    <col min="4871" max="4872" width="13.5703125" bestFit="1" customWidth="1"/>
    <col min="5121" max="5121" width="17.42578125" bestFit="1" customWidth="1"/>
    <col min="5122" max="5122" width="8.7109375" customWidth="1"/>
    <col min="5123" max="5123" width="58.85546875" customWidth="1"/>
    <col min="5124" max="5124" width="6.85546875" customWidth="1"/>
    <col min="5125" max="5125" width="8.42578125" bestFit="1" customWidth="1"/>
    <col min="5126" max="5126" width="11.28515625" bestFit="1" customWidth="1"/>
    <col min="5127" max="5128" width="13.5703125" bestFit="1" customWidth="1"/>
    <col min="5377" max="5377" width="17.42578125" bestFit="1" customWidth="1"/>
    <col min="5378" max="5378" width="8.7109375" customWidth="1"/>
    <col min="5379" max="5379" width="58.85546875" customWidth="1"/>
    <col min="5380" max="5380" width="6.85546875" customWidth="1"/>
    <col min="5381" max="5381" width="8.42578125" bestFit="1" customWidth="1"/>
    <col min="5382" max="5382" width="11.28515625" bestFit="1" customWidth="1"/>
    <col min="5383" max="5384" width="13.5703125" bestFit="1" customWidth="1"/>
    <col min="5633" max="5633" width="17.42578125" bestFit="1" customWidth="1"/>
    <col min="5634" max="5634" width="8.7109375" customWidth="1"/>
    <col min="5635" max="5635" width="58.85546875" customWidth="1"/>
    <col min="5636" max="5636" width="6.85546875" customWidth="1"/>
    <col min="5637" max="5637" width="8.42578125" bestFit="1" customWidth="1"/>
    <col min="5638" max="5638" width="11.28515625" bestFit="1" customWidth="1"/>
    <col min="5639" max="5640" width="13.5703125" bestFit="1" customWidth="1"/>
    <col min="5889" max="5889" width="17.42578125" bestFit="1" customWidth="1"/>
    <col min="5890" max="5890" width="8.7109375" customWidth="1"/>
    <col min="5891" max="5891" width="58.85546875" customWidth="1"/>
    <col min="5892" max="5892" width="6.85546875" customWidth="1"/>
    <col min="5893" max="5893" width="8.42578125" bestFit="1" customWidth="1"/>
    <col min="5894" max="5894" width="11.28515625" bestFit="1" customWidth="1"/>
    <col min="5895" max="5896" width="13.5703125" bestFit="1" customWidth="1"/>
    <col min="6145" max="6145" width="17.42578125" bestFit="1" customWidth="1"/>
    <col min="6146" max="6146" width="8.7109375" customWidth="1"/>
    <col min="6147" max="6147" width="58.85546875" customWidth="1"/>
    <col min="6148" max="6148" width="6.85546875" customWidth="1"/>
    <col min="6149" max="6149" width="8.42578125" bestFit="1" customWidth="1"/>
    <col min="6150" max="6150" width="11.28515625" bestFit="1" customWidth="1"/>
    <col min="6151" max="6152" width="13.5703125" bestFit="1" customWidth="1"/>
    <col min="6401" max="6401" width="17.42578125" bestFit="1" customWidth="1"/>
    <col min="6402" max="6402" width="8.7109375" customWidth="1"/>
    <col min="6403" max="6403" width="58.85546875" customWidth="1"/>
    <col min="6404" max="6404" width="6.85546875" customWidth="1"/>
    <col min="6405" max="6405" width="8.42578125" bestFit="1" customWidth="1"/>
    <col min="6406" max="6406" width="11.28515625" bestFit="1" customWidth="1"/>
    <col min="6407" max="6408" width="13.5703125" bestFit="1" customWidth="1"/>
    <col min="6657" max="6657" width="17.42578125" bestFit="1" customWidth="1"/>
    <col min="6658" max="6658" width="8.7109375" customWidth="1"/>
    <col min="6659" max="6659" width="58.85546875" customWidth="1"/>
    <col min="6660" max="6660" width="6.85546875" customWidth="1"/>
    <col min="6661" max="6661" width="8.42578125" bestFit="1" customWidth="1"/>
    <col min="6662" max="6662" width="11.28515625" bestFit="1" customWidth="1"/>
    <col min="6663" max="6664" width="13.5703125" bestFit="1" customWidth="1"/>
    <col min="6913" max="6913" width="17.42578125" bestFit="1" customWidth="1"/>
    <col min="6914" max="6914" width="8.7109375" customWidth="1"/>
    <col min="6915" max="6915" width="58.85546875" customWidth="1"/>
    <col min="6916" max="6916" width="6.85546875" customWidth="1"/>
    <col min="6917" max="6917" width="8.42578125" bestFit="1" customWidth="1"/>
    <col min="6918" max="6918" width="11.28515625" bestFit="1" customWidth="1"/>
    <col min="6919" max="6920" width="13.5703125" bestFit="1" customWidth="1"/>
    <col min="7169" max="7169" width="17.42578125" bestFit="1" customWidth="1"/>
    <col min="7170" max="7170" width="8.7109375" customWidth="1"/>
    <col min="7171" max="7171" width="58.85546875" customWidth="1"/>
    <col min="7172" max="7172" width="6.85546875" customWidth="1"/>
    <col min="7173" max="7173" width="8.42578125" bestFit="1" customWidth="1"/>
    <col min="7174" max="7174" width="11.28515625" bestFit="1" customWidth="1"/>
    <col min="7175" max="7176" width="13.5703125" bestFit="1" customWidth="1"/>
    <col min="7425" max="7425" width="17.42578125" bestFit="1" customWidth="1"/>
    <col min="7426" max="7426" width="8.7109375" customWidth="1"/>
    <col min="7427" max="7427" width="58.85546875" customWidth="1"/>
    <col min="7428" max="7428" width="6.85546875" customWidth="1"/>
    <col min="7429" max="7429" width="8.42578125" bestFit="1" customWidth="1"/>
    <col min="7430" max="7430" width="11.28515625" bestFit="1" customWidth="1"/>
    <col min="7431" max="7432" width="13.5703125" bestFit="1" customWidth="1"/>
    <col min="7681" max="7681" width="17.42578125" bestFit="1" customWidth="1"/>
    <col min="7682" max="7682" width="8.7109375" customWidth="1"/>
    <col min="7683" max="7683" width="58.85546875" customWidth="1"/>
    <col min="7684" max="7684" width="6.85546875" customWidth="1"/>
    <col min="7685" max="7685" width="8.42578125" bestFit="1" customWidth="1"/>
    <col min="7686" max="7686" width="11.28515625" bestFit="1" customWidth="1"/>
    <col min="7687" max="7688" width="13.5703125" bestFit="1" customWidth="1"/>
    <col min="7937" max="7937" width="17.42578125" bestFit="1" customWidth="1"/>
    <col min="7938" max="7938" width="8.7109375" customWidth="1"/>
    <col min="7939" max="7939" width="58.85546875" customWidth="1"/>
    <col min="7940" max="7940" width="6.85546875" customWidth="1"/>
    <col min="7941" max="7941" width="8.42578125" bestFit="1" customWidth="1"/>
    <col min="7942" max="7942" width="11.28515625" bestFit="1" customWidth="1"/>
    <col min="7943" max="7944" width="13.5703125" bestFit="1" customWidth="1"/>
    <col min="8193" max="8193" width="17.42578125" bestFit="1" customWidth="1"/>
    <col min="8194" max="8194" width="8.7109375" customWidth="1"/>
    <col min="8195" max="8195" width="58.85546875" customWidth="1"/>
    <col min="8196" max="8196" width="6.85546875" customWidth="1"/>
    <col min="8197" max="8197" width="8.42578125" bestFit="1" customWidth="1"/>
    <col min="8198" max="8198" width="11.28515625" bestFit="1" customWidth="1"/>
    <col min="8199" max="8200" width="13.5703125" bestFit="1" customWidth="1"/>
    <col min="8449" max="8449" width="17.42578125" bestFit="1" customWidth="1"/>
    <col min="8450" max="8450" width="8.7109375" customWidth="1"/>
    <col min="8451" max="8451" width="58.85546875" customWidth="1"/>
    <col min="8452" max="8452" width="6.85546875" customWidth="1"/>
    <col min="8453" max="8453" width="8.42578125" bestFit="1" customWidth="1"/>
    <col min="8454" max="8454" width="11.28515625" bestFit="1" customWidth="1"/>
    <col min="8455" max="8456" width="13.5703125" bestFit="1" customWidth="1"/>
    <col min="8705" max="8705" width="17.42578125" bestFit="1" customWidth="1"/>
    <col min="8706" max="8706" width="8.7109375" customWidth="1"/>
    <col min="8707" max="8707" width="58.85546875" customWidth="1"/>
    <col min="8708" max="8708" width="6.85546875" customWidth="1"/>
    <col min="8709" max="8709" width="8.42578125" bestFit="1" customWidth="1"/>
    <col min="8710" max="8710" width="11.28515625" bestFit="1" customWidth="1"/>
    <col min="8711" max="8712" width="13.5703125" bestFit="1" customWidth="1"/>
    <col min="8961" max="8961" width="17.42578125" bestFit="1" customWidth="1"/>
    <col min="8962" max="8962" width="8.7109375" customWidth="1"/>
    <col min="8963" max="8963" width="58.85546875" customWidth="1"/>
    <col min="8964" max="8964" width="6.85546875" customWidth="1"/>
    <col min="8965" max="8965" width="8.42578125" bestFit="1" customWidth="1"/>
    <col min="8966" max="8966" width="11.28515625" bestFit="1" customWidth="1"/>
    <col min="8967" max="8968" width="13.5703125" bestFit="1" customWidth="1"/>
    <col min="9217" max="9217" width="17.42578125" bestFit="1" customWidth="1"/>
    <col min="9218" max="9218" width="8.7109375" customWidth="1"/>
    <col min="9219" max="9219" width="58.85546875" customWidth="1"/>
    <col min="9220" max="9220" width="6.85546875" customWidth="1"/>
    <col min="9221" max="9221" width="8.42578125" bestFit="1" customWidth="1"/>
    <col min="9222" max="9222" width="11.28515625" bestFit="1" customWidth="1"/>
    <col min="9223" max="9224" width="13.5703125" bestFit="1" customWidth="1"/>
    <col min="9473" max="9473" width="17.42578125" bestFit="1" customWidth="1"/>
    <col min="9474" max="9474" width="8.7109375" customWidth="1"/>
    <col min="9475" max="9475" width="58.85546875" customWidth="1"/>
    <col min="9476" max="9476" width="6.85546875" customWidth="1"/>
    <col min="9477" max="9477" width="8.42578125" bestFit="1" customWidth="1"/>
    <col min="9478" max="9478" width="11.28515625" bestFit="1" customWidth="1"/>
    <col min="9479" max="9480" width="13.5703125" bestFit="1" customWidth="1"/>
    <col min="9729" max="9729" width="17.42578125" bestFit="1" customWidth="1"/>
    <col min="9730" max="9730" width="8.7109375" customWidth="1"/>
    <col min="9731" max="9731" width="58.85546875" customWidth="1"/>
    <col min="9732" max="9732" width="6.85546875" customWidth="1"/>
    <col min="9733" max="9733" width="8.42578125" bestFit="1" customWidth="1"/>
    <col min="9734" max="9734" width="11.28515625" bestFit="1" customWidth="1"/>
    <col min="9735" max="9736" width="13.5703125" bestFit="1" customWidth="1"/>
    <col min="9985" max="9985" width="17.42578125" bestFit="1" customWidth="1"/>
    <col min="9986" max="9986" width="8.7109375" customWidth="1"/>
    <col min="9987" max="9987" width="58.85546875" customWidth="1"/>
    <col min="9988" max="9988" width="6.85546875" customWidth="1"/>
    <col min="9989" max="9989" width="8.42578125" bestFit="1" customWidth="1"/>
    <col min="9990" max="9990" width="11.28515625" bestFit="1" customWidth="1"/>
    <col min="9991" max="9992" width="13.5703125" bestFit="1" customWidth="1"/>
    <col min="10241" max="10241" width="17.42578125" bestFit="1" customWidth="1"/>
    <col min="10242" max="10242" width="8.7109375" customWidth="1"/>
    <col min="10243" max="10243" width="58.85546875" customWidth="1"/>
    <col min="10244" max="10244" width="6.85546875" customWidth="1"/>
    <col min="10245" max="10245" width="8.42578125" bestFit="1" customWidth="1"/>
    <col min="10246" max="10246" width="11.28515625" bestFit="1" customWidth="1"/>
    <col min="10247" max="10248" width="13.5703125" bestFit="1" customWidth="1"/>
    <col min="10497" max="10497" width="17.42578125" bestFit="1" customWidth="1"/>
    <col min="10498" max="10498" width="8.7109375" customWidth="1"/>
    <col min="10499" max="10499" width="58.85546875" customWidth="1"/>
    <col min="10500" max="10500" width="6.85546875" customWidth="1"/>
    <col min="10501" max="10501" width="8.42578125" bestFit="1" customWidth="1"/>
    <col min="10502" max="10502" width="11.28515625" bestFit="1" customWidth="1"/>
    <col min="10503" max="10504" width="13.5703125" bestFit="1" customWidth="1"/>
    <col min="10753" max="10753" width="17.42578125" bestFit="1" customWidth="1"/>
    <col min="10754" max="10754" width="8.7109375" customWidth="1"/>
    <col min="10755" max="10755" width="58.85546875" customWidth="1"/>
    <col min="10756" max="10756" width="6.85546875" customWidth="1"/>
    <col min="10757" max="10757" width="8.42578125" bestFit="1" customWidth="1"/>
    <col min="10758" max="10758" width="11.28515625" bestFit="1" customWidth="1"/>
    <col min="10759" max="10760" width="13.5703125" bestFit="1" customWidth="1"/>
    <col min="11009" max="11009" width="17.42578125" bestFit="1" customWidth="1"/>
    <col min="11010" max="11010" width="8.7109375" customWidth="1"/>
    <col min="11011" max="11011" width="58.85546875" customWidth="1"/>
    <col min="11012" max="11012" width="6.85546875" customWidth="1"/>
    <col min="11013" max="11013" width="8.42578125" bestFit="1" customWidth="1"/>
    <col min="11014" max="11014" width="11.28515625" bestFit="1" customWidth="1"/>
    <col min="11015" max="11016" width="13.5703125" bestFit="1" customWidth="1"/>
    <col min="11265" max="11265" width="17.42578125" bestFit="1" customWidth="1"/>
    <col min="11266" max="11266" width="8.7109375" customWidth="1"/>
    <col min="11267" max="11267" width="58.85546875" customWidth="1"/>
    <col min="11268" max="11268" width="6.85546875" customWidth="1"/>
    <col min="11269" max="11269" width="8.42578125" bestFit="1" customWidth="1"/>
    <col min="11270" max="11270" width="11.28515625" bestFit="1" customWidth="1"/>
    <col min="11271" max="11272" width="13.5703125" bestFit="1" customWidth="1"/>
    <col min="11521" max="11521" width="17.42578125" bestFit="1" customWidth="1"/>
    <col min="11522" max="11522" width="8.7109375" customWidth="1"/>
    <col min="11523" max="11523" width="58.85546875" customWidth="1"/>
    <col min="11524" max="11524" width="6.85546875" customWidth="1"/>
    <col min="11525" max="11525" width="8.42578125" bestFit="1" customWidth="1"/>
    <col min="11526" max="11526" width="11.28515625" bestFit="1" customWidth="1"/>
    <col min="11527" max="11528" width="13.5703125" bestFit="1" customWidth="1"/>
    <col min="11777" max="11777" width="17.42578125" bestFit="1" customWidth="1"/>
    <col min="11778" max="11778" width="8.7109375" customWidth="1"/>
    <col min="11779" max="11779" width="58.85546875" customWidth="1"/>
    <col min="11780" max="11780" width="6.85546875" customWidth="1"/>
    <col min="11781" max="11781" width="8.42578125" bestFit="1" customWidth="1"/>
    <col min="11782" max="11782" width="11.28515625" bestFit="1" customWidth="1"/>
    <col min="11783" max="11784" width="13.5703125" bestFit="1" customWidth="1"/>
    <col min="12033" max="12033" width="17.42578125" bestFit="1" customWidth="1"/>
    <col min="12034" max="12034" width="8.7109375" customWidth="1"/>
    <col min="12035" max="12035" width="58.85546875" customWidth="1"/>
    <col min="12036" max="12036" width="6.85546875" customWidth="1"/>
    <col min="12037" max="12037" width="8.42578125" bestFit="1" customWidth="1"/>
    <col min="12038" max="12038" width="11.28515625" bestFit="1" customWidth="1"/>
    <col min="12039" max="12040" width="13.5703125" bestFit="1" customWidth="1"/>
    <col min="12289" max="12289" width="17.42578125" bestFit="1" customWidth="1"/>
    <col min="12290" max="12290" width="8.7109375" customWidth="1"/>
    <col min="12291" max="12291" width="58.85546875" customWidth="1"/>
    <col min="12292" max="12292" width="6.85546875" customWidth="1"/>
    <col min="12293" max="12293" width="8.42578125" bestFit="1" customWidth="1"/>
    <col min="12294" max="12294" width="11.28515625" bestFit="1" customWidth="1"/>
    <col min="12295" max="12296" width="13.5703125" bestFit="1" customWidth="1"/>
    <col min="12545" max="12545" width="17.42578125" bestFit="1" customWidth="1"/>
    <col min="12546" max="12546" width="8.7109375" customWidth="1"/>
    <col min="12547" max="12547" width="58.85546875" customWidth="1"/>
    <col min="12548" max="12548" width="6.85546875" customWidth="1"/>
    <col min="12549" max="12549" width="8.42578125" bestFit="1" customWidth="1"/>
    <col min="12550" max="12550" width="11.28515625" bestFit="1" customWidth="1"/>
    <col min="12551" max="12552" width="13.5703125" bestFit="1" customWidth="1"/>
    <col min="12801" max="12801" width="17.42578125" bestFit="1" customWidth="1"/>
    <col min="12802" max="12802" width="8.7109375" customWidth="1"/>
    <col min="12803" max="12803" width="58.85546875" customWidth="1"/>
    <col min="12804" max="12804" width="6.85546875" customWidth="1"/>
    <col min="12805" max="12805" width="8.42578125" bestFit="1" customWidth="1"/>
    <col min="12806" max="12806" width="11.28515625" bestFit="1" customWidth="1"/>
    <col min="12807" max="12808" width="13.5703125" bestFit="1" customWidth="1"/>
    <col min="13057" max="13057" width="17.42578125" bestFit="1" customWidth="1"/>
    <col min="13058" max="13058" width="8.7109375" customWidth="1"/>
    <col min="13059" max="13059" width="58.85546875" customWidth="1"/>
    <col min="13060" max="13060" width="6.85546875" customWidth="1"/>
    <col min="13061" max="13061" width="8.42578125" bestFit="1" customWidth="1"/>
    <col min="13062" max="13062" width="11.28515625" bestFit="1" customWidth="1"/>
    <col min="13063" max="13064" width="13.5703125" bestFit="1" customWidth="1"/>
    <col min="13313" max="13313" width="17.42578125" bestFit="1" customWidth="1"/>
    <col min="13314" max="13314" width="8.7109375" customWidth="1"/>
    <col min="13315" max="13315" width="58.85546875" customWidth="1"/>
    <col min="13316" max="13316" width="6.85546875" customWidth="1"/>
    <col min="13317" max="13317" width="8.42578125" bestFit="1" customWidth="1"/>
    <col min="13318" max="13318" width="11.28515625" bestFit="1" customWidth="1"/>
    <col min="13319" max="13320" width="13.5703125" bestFit="1" customWidth="1"/>
    <col min="13569" max="13569" width="17.42578125" bestFit="1" customWidth="1"/>
    <col min="13570" max="13570" width="8.7109375" customWidth="1"/>
    <col min="13571" max="13571" width="58.85546875" customWidth="1"/>
    <col min="13572" max="13572" width="6.85546875" customWidth="1"/>
    <col min="13573" max="13573" width="8.42578125" bestFit="1" customWidth="1"/>
    <col min="13574" max="13574" width="11.28515625" bestFit="1" customWidth="1"/>
    <col min="13575" max="13576" width="13.5703125" bestFit="1" customWidth="1"/>
    <col min="13825" max="13825" width="17.42578125" bestFit="1" customWidth="1"/>
    <col min="13826" max="13826" width="8.7109375" customWidth="1"/>
    <col min="13827" max="13827" width="58.85546875" customWidth="1"/>
    <col min="13828" max="13828" width="6.85546875" customWidth="1"/>
    <col min="13829" max="13829" width="8.42578125" bestFit="1" customWidth="1"/>
    <col min="13830" max="13830" width="11.28515625" bestFit="1" customWidth="1"/>
    <col min="13831" max="13832" width="13.5703125" bestFit="1" customWidth="1"/>
    <col min="14081" max="14081" width="17.42578125" bestFit="1" customWidth="1"/>
    <col min="14082" max="14082" width="8.7109375" customWidth="1"/>
    <col min="14083" max="14083" width="58.85546875" customWidth="1"/>
    <col min="14084" max="14084" width="6.85546875" customWidth="1"/>
    <col min="14085" max="14085" width="8.42578125" bestFit="1" customWidth="1"/>
    <col min="14086" max="14086" width="11.28515625" bestFit="1" customWidth="1"/>
    <col min="14087" max="14088" width="13.5703125" bestFit="1" customWidth="1"/>
    <col min="14337" max="14337" width="17.42578125" bestFit="1" customWidth="1"/>
    <col min="14338" max="14338" width="8.7109375" customWidth="1"/>
    <col min="14339" max="14339" width="58.85546875" customWidth="1"/>
    <col min="14340" max="14340" width="6.85546875" customWidth="1"/>
    <col min="14341" max="14341" width="8.42578125" bestFit="1" customWidth="1"/>
    <col min="14342" max="14342" width="11.28515625" bestFit="1" customWidth="1"/>
    <col min="14343" max="14344" width="13.5703125" bestFit="1" customWidth="1"/>
    <col min="14593" max="14593" width="17.42578125" bestFit="1" customWidth="1"/>
    <col min="14594" max="14594" width="8.7109375" customWidth="1"/>
    <col min="14595" max="14595" width="58.85546875" customWidth="1"/>
    <col min="14596" max="14596" width="6.85546875" customWidth="1"/>
    <col min="14597" max="14597" width="8.42578125" bestFit="1" customWidth="1"/>
    <col min="14598" max="14598" width="11.28515625" bestFit="1" customWidth="1"/>
    <col min="14599" max="14600" width="13.5703125" bestFit="1" customWidth="1"/>
    <col min="14849" max="14849" width="17.42578125" bestFit="1" customWidth="1"/>
    <col min="14850" max="14850" width="8.7109375" customWidth="1"/>
    <col min="14851" max="14851" width="58.85546875" customWidth="1"/>
    <col min="14852" max="14852" width="6.85546875" customWidth="1"/>
    <col min="14853" max="14853" width="8.42578125" bestFit="1" customWidth="1"/>
    <col min="14854" max="14854" width="11.28515625" bestFit="1" customWidth="1"/>
    <col min="14855" max="14856" width="13.5703125" bestFit="1" customWidth="1"/>
    <col min="15105" max="15105" width="17.42578125" bestFit="1" customWidth="1"/>
    <col min="15106" max="15106" width="8.7109375" customWidth="1"/>
    <col min="15107" max="15107" width="58.85546875" customWidth="1"/>
    <col min="15108" max="15108" width="6.85546875" customWidth="1"/>
    <col min="15109" max="15109" width="8.42578125" bestFit="1" customWidth="1"/>
    <col min="15110" max="15110" width="11.28515625" bestFit="1" customWidth="1"/>
    <col min="15111" max="15112" width="13.5703125" bestFit="1" customWidth="1"/>
    <col min="15361" max="15361" width="17.42578125" bestFit="1" customWidth="1"/>
    <col min="15362" max="15362" width="8.7109375" customWidth="1"/>
    <col min="15363" max="15363" width="58.85546875" customWidth="1"/>
    <col min="15364" max="15364" width="6.85546875" customWidth="1"/>
    <col min="15365" max="15365" width="8.42578125" bestFit="1" customWidth="1"/>
    <col min="15366" max="15366" width="11.28515625" bestFit="1" customWidth="1"/>
    <col min="15367" max="15368" width="13.5703125" bestFit="1" customWidth="1"/>
    <col min="15617" max="15617" width="17.42578125" bestFit="1" customWidth="1"/>
    <col min="15618" max="15618" width="8.7109375" customWidth="1"/>
    <col min="15619" max="15619" width="58.85546875" customWidth="1"/>
    <col min="15620" max="15620" width="6.85546875" customWidth="1"/>
    <col min="15621" max="15621" width="8.42578125" bestFit="1" customWidth="1"/>
    <col min="15622" max="15622" width="11.28515625" bestFit="1" customWidth="1"/>
    <col min="15623" max="15624" width="13.5703125" bestFit="1" customWidth="1"/>
    <col min="15873" max="15873" width="17.42578125" bestFit="1" customWidth="1"/>
    <col min="15874" max="15874" width="8.7109375" customWidth="1"/>
    <col min="15875" max="15875" width="58.85546875" customWidth="1"/>
    <col min="15876" max="15876" width="6.85546875" customWidth="1"/>
    <col min="15877" max="15877" width="8.42578125" bestFit="1" customWidth="1"/>
    <col min="15878" max="15878" width="11.28515625" bestFit="1" customWidth="1"/>
    <col min="15879" max="15880" width="13.5703125" bestFit="1" customWidth="1"/>
    <col min="16129" max="16129" width="17.42578125" bestFit="1" customWidth="1"/>
    <col min="16130" max="16130" width="8.7109375" customWidth="1"/>
    <col min="16131" max="16131" width="58.85546875" customWidth="1"/>
    <col min="16132" max="16132" width="6.85546875" customWidth="1"/>
    <col min="16133" max="16133" width="8.42578125" bestFit="1" customWidth="1"/>
    <col min="16134" max="16134" width="11.28515625" bestFit="1" customWidth="1"/>
    <col min="16135" max="16136" width="13.5703125" bestFit="1" customWidth="1"/>
  </cols>
  <sheetData>
    <row r="1" spans="1:8">
      <c r="A1" s="961"/>
      <c r="B1" s="962"/>
      <c r="C1" s="1073" t="s">
        <v>17</v>
      </c>
      <c r="D1" s="1074"/>
      <c r="E1" s="1074"/>
      <c r="F1" s="1074"/>
      <c r="G1" s="1074"/>
      <c r="H1" s="1075"/>
    </row>
    <row r="2" spans="1:8">
      <c r="A2" s="962"/>
      <c r="B2" s="962"/>
      <c r="C2" s="1076"/>
      <c r="D2" s="1077"/>
      <c r="E2" s="1077"/>
      <c r="F2" s="1077"/>
      <c r="G2" s="1077"/>
      <c r="H2" s="1078"/>
    </row>
    <row r="3" spans="1:8">
      <c r="A3" s="962"/>
      <c r="B3" s="962"/>
      <c r="C3" s="1076"/>
      <c r="D3" s="1077"/>
      <c r="E3" s="1077"/>
      <c r="F3" s="1077"/>
      <c r="G3" s="1077"/>
      <c r="H3" s="1078"/>
    </row>
    <row r="4" spans="1:8">
      <c r="A4" s="962"/>
      <c r="B4" s="962"/>
      <c r="C4" s="1076"/>
      <c r="D4" s="1077"/>
      <c r="E4" s="1077"/>
      <c r="F4" s="1077"/>
      <c r="G4" s="1077"/>
      <c r="H4" s="1078"/>
    </row>
    <row r="5" spans="1:8">
      <c r="A5" s="962"/>
      <c r="B5" s="962"/>
      <c r="C5" s="1079"/>
      <c r="D5" s="1080"/>
      <c r="E5" s="1080"/>
      <c r="F5" s="1080"/>
      <c r="G5" s="1080"/>
      <c r="H5" s="1081"/>
    </row>
    <row r="6" spans="1:8">
      <c r="A6" s="1073" t="s">
        <v>80</v>
      </c>
      <c r="B6" s="1082"/>
      <c r="C6" s="1073" t="s">
        <v>1478</v>
      </c>
      <c r="D6" s="1074"/>
      <c r="E6" s="1074"/>
      <c r="F6" s="1074"/>
      <c r="G6" s="1074"/>
      <c r="H6" s="1075"/>
    </row>
    <row r="7" spans="1:8" ht="9.75" customHeight="1">
      <c r="A7" s="1083"/>
      <c r="B7" s="1084"/>
      <c r="C7" s="1079"/>
      <c r="D7" s="1080"/>
      <c r="E7" s="1080"/>
      <c r="F7" s="1080"/>
      <c r="G7" s="1080"/>
      <c r="H7" s="1081"/>
    </row>
    <row r="8" spans="1:8" ht="15.75" customHeight="1">
      <c r="A8" s="1073" t="s">
        <v>1521</v>
      </c>
      <c r="B8" s="1075"/>
      <c r="C8" s="1073" t="s">
        <v>651</v>
      </c>
      <c r="D8" s="1074"/>
      <c r="E8" s="1074"/>
      <c r="F8" s="1074"/>
      <c r="G8" s="1074"/>
      <c r="H8" s="1075"/>
    </row>
    <row r="9" spans="1:8" ht="14.25" customHeight="1">
      <c r="A9" s="1079"/>
      <c r="B9" s="1081"/>
      <c r="C9" s="1079"/>
      <c r="D9" s="1080"/>
      <c r="E9" s="1080"/>
      <c r="F9" s="1080"/>
      <c r="G9" s="1080"/>
      <c r="H9" s="1081"/>
    </row>
    <row r="10" spans="1:8" ht="19.5" customHeight="1">
      <c r="A10" s="1085" t="s">
        <v>220</v>
      </c>
      <c r="B10" s="1086"/>
      <c r="C10" s="313" t="s">
        <v>221</v>
      </c>
      <c r="D10" s="274"/>
      <c r="E10" s="274"/>
      <c r="F10" s="274"/>
      <c r="G10" s="274"/>
      <c r="H10" s="275"/>
    </row>
    <row r="11" spans="1:8">
      <c r="A11" s="964" t="s">
        <v>1047</v>
      </c>
      <c r="B11" s="964"/>
      <c r="C11" s="964"/>
      <c r="D11" s="964"/>
      <c r="E11" s="964"/>
      <c r="F11" s="964"/>
      <c r="G11" s="965" t="s">
        <v>2</v>
      </c>
      <c r="H11" s="966">
        <f>[5]BDI!O29</f>
        <v>0.25215503759149449</v>
      </c>
    </row>
    <row r="12" spans="1:8">
      <c r="A12" s="964" t="s">
        <v>1048</v>
      </c>
      <c r="B12" s="964"/>
      <c r="C12" s="964"/>
      <c r="D12" s="964"/>
      <c r="E12" s="964"/>
      <c r="F12" s="964"/>
      <c r="G12" s="965"/>
      <c r="H12" s="966"/>
    </row>
    <row r="13" spans="1:8">
      <c r="A13" s="968" t="s">
        <v>18</v>
      </c>
      <c r="B13" s="968" t="s">
        <v>705</v>
      </c>
      <c r="C13" s="968" t="s">
        <v>20</v>
      </c>
      <c r="D13" s="972"/>
      <c r="E13" s="972"/>
      <c r="F13" s="972"/>
      <c r="G13" s="972"/>
      <c r="H13" s="972"/>
    </row>
    <row r="14" spans="1:8">
      <c r="A14" s="969"/>
      <c r="B14" s="968"/>
      <c r="C14" s="968"/>
      <c r="D14" s="315" t="s">
        <v>21</v>
      </c>
      <c r="E14" s="2" t="s">
        <v>22</v>
      </c>
      <c r="F14" s="3" t="s">
        <v>23</v>
      </c>
      <c r="G14" s="3" t="s">
        <v>24</v>
      </c>
      <c r="H14" s="898" t="s">
        <v>289</v>
      </c>
    </row>
    <row r="15" spans="1:8">
      <c r="A15" s="788"/>
      <c r="B15" s="787" t="s">
        <v>4</v>
      </c>
      <c r="C15" s="787" t="s">
        <v>1331</v>
      </c>
      <c r="D15" s="794"/>
      <c r="E15" s="2"/>
      <c r="F15" s="3"/>
      <c r="G15" s="3"/>
      <c r="H15" s="832">
        <f>SUM(D198)</f>
        <v>952090.42156993656</v>
      </c>
    </row>
    <row r="16" spans="1:8" ht="26.25" customHeight="1">
      <c r="A16" s="4"/>
      <c r="B16" s="4" t="s">
        <v>6</v>
      </c>
      <c r="C16" s="5" t="s">
        <v>5</v>
      </c>
      <c r="D16" s="4"/>
      <c r="E16" s="6"/>
      <c r="F16" s="7"/>
      <c r="G16" s="7"/>
      <c r="H16" s="7">
        <f>SUM(H17:H21)</f>
        <v>6589.3218874959166</v>
      </c>
    </row>
    <row r="17" spans="1:13">
      <c r="A17" s="38" t="s">
        <v>9</v>
      </c>
      <c r="B17" s="358" t="s">
        <v>1325</v>
      </c>
      <c r="C17" s="258" t="s">
        <v>10</v>
      </c>
      <c r="D17" s="358" t="s">
        <v>7</v>
      </c>
      <c r="E17" s="99">
        <f>'MEMORIA DE CAL QUEBEC'!L192</f>
        <v>400</v>
      </c>
      <c r="F17" s="314">
        <v>2.73</v>
      </c>
      <c r="G17" s="349">
        <f>F17+F17*$H$11</f>
        <v>3.4183832526247802</v>
      </c>
      <c r="H17" s="10">
        <f>G17*E17</f>
        <v>1367.353301049912</v>
      </c>
      <c r="I17" s="1133" t="s">
        <v>587</v>
      </c>
      <c r="J17" s="1134"/>
      <c r="K17" s="1134"/>
      <c r="L17" s="1134"/>
      <c r="M17" s="1134"/>
    </row>
    <row r="18" spans="1:13" s="11" customFormat="1">
      <c r="A18" s="38" t="str">
        <f>COMPOSIÇÕES!B16</f>
        <v>COMPOSIÇÃO 02</v>
      </c>
      <c r="B18" s="794" t="s">
        <v>1326</v>
      </c>
      <c r="C18" s="312" t="str">
        <f>COMPOSIÇÕES!C16</f>
        <v>DEMOLIÇÃO DE PISO DE ALTA RESISTÊNCIA</v>
      </c>
      <c r="D18" s="358" t="s">
        <v>7</v>
      </c>
      <c r="E18" s="100">
        <v>50</v>
      </c>
      <c r="F18" s="10">
        <f>COMPOSIÇÕES!G22</f>
        <v>19.484999999999999</v>
      </c>
      <c r="G18" s="349">
        <f t="shared" ref="G18:G67" si="0">F18+F18*$H$11</f>
        <v>24.398240907470267</v>
      </c>
      <c r="H18" s="10">
        <f>G18*E18</f>
        <v>1219.9120453735134</v>
      </c>
      <c r="I18" s="1097" t="s">
        <v>237</v>
      </c>
      <c r="J18" s="1070"/>
      <c r="K18" s="1070"/>
      <c r="L18" s="1070"/>
      <c r="M18" s="1070"/>
    </row>
    <row r="19" spans="1:13" s="11" customFormat="1">
      <c r="A19" s="315" t="str">
        <f>COMPOSIÇÕES!B133</f>
        <v>COMPOSIÇÃO 12</v>
      </c>
      <c r="B19" s="794" t="s">
        <v>1327</v>
      </c>
      <c r="C19" s="8" t="str">
        <f>COMPOSIÇÕES!C133</f>
        <v>DEMOLIÇÃO DE FORROS</v>
      </c>
      <c r="D19" s="315" t="s">
        <v>7</v>
      </c>
      <c r="E19" s="100">
        <f>'MEMORIA DE CAL QUEBEC'!L202</f>
        <v>25</v>
      </c>
      <c r="F19" s="10">
        <f>COMPOSIÇÕES!G139</f>
        <v>3.9748000000000001</v>
      </c>
      <c r="G19" s="285">
        <f t="shared" si="0"/>
        <v>4.9770658434186723</v>
      </c>
      <c r="H19" s="10">
        <f>G19*E19</f>
        <v>124.42664608546681</v>
      </c>
      <c r="I19" s="1097" t="s">
        <v>339</v>
      </c>
      <c r="J19" s="1070"/>
      <c r="K19" s="1070"/>
      <c r="L19" s="1070"/>
      <c r="M19" s="1070"/>
    </row>
    <row r="20" spans="1:13" s="11" customFormat="1">
      <c r="A20" s="315" t="str">
        <f>COMPOSIÇÕES!B95</f>
        <v>COMPOSIÇÃO 08</v>
      </c>
      <c r="B20" s="794" t="s">
        <v>1328</v>
      </c>
      <c r="C20" s="8" t="str">
        <f>COMPOSIÇÕES!C95</f>
        <v>DEMOLIÇAO DE REBOCO</v>
      </c>
      <c r="D20" s="315" t="s">
        <v>7</v>
      </c>
      <c r="E20" s="100">
        <f>'MEMORIA DE CAL QUEBEC'!L207</f>
        <v>84</v>
      </c>
      <c r="F20" s="10">
        <f>COMPOSIÇÕES!G100</f>
        <v>8.66</v>
      </c>
      <c r="G20" s="285">
        <f t="shared" si="0"/>
        <v>10.843662625542343</v>
      </c>
      <c r="H20" s="10">
        <f>G20*E20</f>
        <v>910.86766054555687</v>
      </c>
      <c r="I20" s="1097" t="s">
        <v>675</v>
      </c>
      <c r="J20" s="1070"/>
      <c r="K20" s="1070"/>
      <c r="L20" s="1070"/>
      <c r="M20" s="1070"/>
    </row>
    <row r="21" spans="1:13" s="11" customFormat="1" ht="27.75" customHeight="1">
      <c r="A21" s="358" t="s">
        <v>676</v>
      </c>
      <c r="B21" s="794" t="s">
        <v>1329</v>
      </c>
      <c r="C21" s="344" t="s">
        <v>677</v>
      </c>
      <c r="D21" s="358" t="s">
        <v>15</v>
      </c>
      <c r="E21" s="100">
        <f>'MEMORIA DE CAL QUEBEC'!L212</f>
        <v>52.5</v>
      </c>
      <c r="F21" s="10">
        <v>45.13</v>
      </c>
      <c r="G21" s="349">
        <f>F21+F21*$H$11</f>
        <v>56.509756846504146</v>
      </c>
      <c r="H21" s="10">
        <f>G21*E21</f>
        <v>2966.7622344414676</v>
      </c>
      <c r="I21" s="347"/>
      <c r="J21" s="347"/>
      <c r="K21" s="347"/>
      <c r="L21" s="347"/>
      <c r="M21" s="347"/>
    </row>
    <row r="22" spans="1:13" s="11" customFormat="1" ht="18" customHeight="1">
      <c r="A22" s="951"/>
      <c r="B22" s="952"/>
      <c r="C22" s="952"/>
      <c r="D22" s="952"/>
      <c r="E22" s="952"/>
      <c r="F22" s="952"/>
      <c r="G22" s="952"/>
      <c r="H22" s="953"/>
      <c r="I22" s="347"/>
      <c r="J22" s="347"/>
      <c r="K22" s="347"/>
      <c r="L22" s="347"/>
      <c r="M22" s="347"/>
    </row>
    <row r="23" spans="1:13" s="11" customFormat="1" ht="37.5" customHeight="1">
      <c r="A23" s="4"/>
      <c r="B23" s="4" t="s">
        <v>29</v>
      </c>
      <c r="C23" s="5" t="s">
        <v>624</v>
      </c>
      <c r="D23" s="4"/>
      <c r="E23" s="6"/>
      <c r="F23" s="7"/>
      <c r="G23" s="7"/>
      <c r="H23" s="7">
        <f>SUM(H24)</f>
        <v>4656.2324189117917</v>
      </c>
      <c r="I23" s="347"/>
      <c r="J23" s="347"/>
      <c r="K23" s="347"/>
      <c r="L23" s="347"/>
      <c r="M23" s="347"/>
    </row>
    <row r="24" spans="1:13" s="11" customFormat="1" ht="51.75" customHeight="1">
      <c r="A24" s="358" t="s">
        <v>625</v>
      </c>
      <c r="B24" s="358" t="s">
        <v>1330</v>
      </c>
      <c r="C24" s="344" t="s">
        <v>635</v>
      </c>
      <c r="D24" s="358" t="s">
        <v>7</v>
      </c>
      <c r="E24" s="99">
        <f>'MEMORIA DE CAL QUEBEC'!L219</f>
        <v>52.5</v>
      </c>
      <c r="F24" s="32">
        <v>70.83</v>
      </c>
      <c r="G24" s="349">
        <f>F24+F24*$H$11</f>
        <v>88.690141312605547</v>
      </c>
      <c r="H24" s="10">
        <f>G24*E24</f>
        <v>4656.2324189117917</v>
      </c>
      <c r="I24" s="1097" t="s">
        <v>675</v>
      </c>
      <c r="J24" s="1070"/>
      <c r="K24" s="1070"/>
      <c r="L24" s="1070"/>
      <c r="M24" s="347"/>
    </row>
    <row r="25" spans="1:13">
      <c r="A25" s="1090"/>
      <c r="B25" s="1090"/>
      <c r="C25" s="1090"/>
      <c r="D25" s="1090"/>
      <c r="E25" s="1090"/>
      <c r="F25" s="1090"/>
      <c r="G25" s="1090"/>
      <c r="H25" s="1090"/>
      <c r="I25" s="218"/>
      <c r="J25" s="219"/>
      <c r="K25" s="219"/>
      <c r="L25" s="219"/>
      <c r="M25" s="219"/>
    </row>
    <row r="26" spans="1:13">
      <c r="A26" s="4"/>
      <c r="B26" s="4" t="s">
        <v>31</v>
      </c>
      <c r="C26" s="5" t="s">
        <v>34</v>
      </c>
      <c r="D26" s="4"/>
      <c r="E26" s="6"/>
      <c r="F26" s="7"/>
      <c r="G26" s="7"/>
      <c r="H26" s="7">
        <f>SUM(H27:H33)</f>
        <v>52706.295441153648</v>
      </c>
      <c r="I26" s="218"/>
      <c r="J26" s="218"/>
      <c r="K26" s="218"/>
      <c r="L26" s="219"/>
      <c r="M26" s="219"/>
    </row>
    <row r="27" spans="1:13" ht="30.75" customHeight="1">
      <c r="A27" s="315" t="s">
        <v>36</v>
      </c>
      <c r="B27" s="358" t="s">
        <v>1332</v>
      </c>
      <c r="C27" s="195" t="str">
        <f>'ESCOLA PASCOAL'!C24</f>
        <v>APLICAÇÃO MANUAL DE PINTURA COM TINTA LÁTEX ACRÍLICA EM PAREDES, DUAS DEMÃOS. AF_06/2014</v>
      </c>
      <c r="D27" s="13" t="s">
        <v>7</v>
      </c>
      <c r="E27" s="9">
        <f>'MEMORIA DE CAL QUEBEC'!L613</f>
        <v>826.54999999999984</v>
      </c>
      <c r="F27" s="32">
        <v>13.67</v>
      </c>
      <c r="G27" s="285">
        <f t="shared" si="0"/>
        <v>17.116959363875729</v>
      </c>
      <c r="H27" s="10">
        <f t="shared" ref="H27:H33" si="1">G27*E27</f>
        <v>14148.022762211482</v>
      </c>
      <c r="I27" s="1091" t="s">
        <v>667</v>
      </c>
      <c r="J27" s="1092"/>
      <c r="K27" s="1092"/>
      <c r="L27" s="1092"/>
      <c r="M27" s="1092"/>
    </row>
    <row r="28" spans="1:13" ht="30.75" customHeight="1">
      <c r="A28" s="315" t="s">
        <v>1285</v>
      </c>
      <c r="B28" s="794" t="s">
        <v>1333</v>
      </c>
      <c r="C28" s="195" t="s">
        <v>841</v>
      </c>
      <c r="D28" s="13" t="s">
        <v>7</v>
      </c>
      <c r="E28" s="9">
        <f>'MEMORIA DE CAL QUEBEC'!L618</f>
        <v>852.79599999999982</v>
      </c>
      <c r="F28" s="32">
        <v>14.26</v>
      </c>
      <c r="G28" s="285">
        <f t="shared" si="0"/>
        <v>17.855730836054711</v>
      </c>
      <c r="H28" s="10">
        <f t="shared" si="1"/>
        <v>15227.295834064111</v>
      </c>
      <c r="I28" s="1091" t="s">
        <v>668</v>
      </c>
      <c r="J28" s="1092"/>
      <c r="K28" s="1092"/>
      <c r="L28" s="1092"/>
      <c r="M28" s="1092"/>
    </row>
    <row r="29" spans="1:13" ht="27" customHeight="1">
      <c r="A29" s="358" t="str">
        <f>COMPOSIÇÕES!B188</f>
        <v>COMPOSIÇÃO 18</v>
      </c>
      <c r="B29" s="794" t="s">
        <v>1334</v>
      </c>
      <c r="C29" s="386" t="str">
        <f>COMPOSIÇÕES!C188</f>
        <v>PINTURA DE ACABAMENTO COM APLICAÇÃO DE 02 DEMÃOS DE ESMALTE SOBRE PAREDE (EXTERNO E INTERNO)</v>
      </c>
      <c r="D29" s="13" t="s">
        <v>7</v>
      </c>
      <c r="E29" s="9">
        <f>'MEMORIA DE CAL QUEBEC'!L623</f>
        <v>730.96799999999985</v>
      </c>
      <c r="F29" s="32">
        <f>COMPOSIÇÕES!G195</f>
        <v>15.700000000000001</v>
      </c>
      <c r="G29" s="349">
        <f>F29+F29*$H$11</f>
        <v>19.658834090186463</v>
      </c>
      <c r="H29" s="10">
        <f t="shared" si="1"/>
        <v>14369.978637235416</v>
      </c>
      <c r="I29" s="1097" t="s">
        <v>669</v>
      </c>
      <c r="J29" s="1070"/>
      <c r="K29" s="1070"/>
      <c r="L29" s="1070"/>
      <c r="M29" s="1070"/>
    </row>
    <row r="30" spans="1:13" ht="15.75" customHeight="1">
      <c r="A30" s="315" t="str">
        <f>COMPOSIÇÕES!B622</f>
        <v>COMPOSIÇÃO 29</v>
      </c>
      <c r="B30" s="794" t="s">
        <v>1335</v>
      </c>
      <c r="C30" s="344" t="str">
        <f>COMPOSIÇÕES!C622</f>
        <v>APLICAÇÃO MECÂNICA DE PINTURA COM TINTA LÁTEX PVA EM TETO, DUAS DEMÃOS</v>
      </c>
      <c r="D30" s="13" t="s">
        <v>7</v>
      </c>
      <c r="E30" s="9">
        <v>25</v>
      </c>
      <c r="F30" s="32">
        <f>COMPOSIÇÕES!G630</f>
        <v>10.499575999999999</v>
      </c>
      <c r="G30" s="285">
        <f t="shared" si="0"/>
        <v>13.147096980974752</v>
      </c>
      <c r="H30" s="10">
        <f t="shared" si="1"/>
        <v>328.6774245243688</v>
      </c>
      <c r="I30" s="1091" t="s">
        <v>670</v>
      </c>
      <c r="J30" s="1092"/>
      <c r="K30" s="1092"/>
      <c r="L30" s="1092"/>
      <c r="M30" s="1092"/>
    </row>
    <row r="31" spans="1:13" ht="39" customHeight="1">
      <c r="A31" s="315" t="s">
        <v>617</v>
      </c>
      <c r="B31" s="794" t="s">
        <v>1336</v>
      </c>
      <c r="C31" s="8" t="s">
        <v>41</v>
      </c>
      <c r="D31" s="13" t="s">
        <v>7</v>
      </c>
      <c r="E31" s="9">
        <f>'MEMORIA DE CAL QUEBEC'!L633</f>
        <v>84</v>
      </c>
      <c r="F31" s="32">
        <v>7.79</v>
      </c>
      <c r="G31" s="285">
        <f t="shared" si="0"/>
        <v>9.754287742837743</v>
      </c>
      <c r="H31" s="10">
        <f t="shared" si="1"/>
        <v>819.36017039837043</v>
      </c>
      <c r="I31" s="1091" t="s">
        <v>671</v>
      </c>
      <c r="J31" s="1092"/>
      <c r="K31" s="1092"/>
      <c r="L31" s="1092"/>
      <c r="M31" s="1092"/>
    </row>
    <row r="32" spans="1:13">
      <c r="A32" s="315" t="str">
        <f>COMPOSIÇÕES!B74</f>
        <v>COMPOSIÇÃO 07</v>
      </c>
      <c r="B32" s="794" t="s">
        <v>1337</v>
      </c>
      <c r="C32" s="912" t="str">
        <f>COMPOSIÇÕES!C74</f>
        <v>PREPARO DE SUPERFICIE COM LIXAMENO DE PAREDES E TETOS</v>
      </c>
      <c r="D32" s="13" t="s">
        <v>7</v>
      </c>
      <c r="E32" s="9">
        <f>SUM(E27,E29)</f>
        <v>1557.5179999999996</v>
      </c>
      <c r="F32" s="32">
        <f>COMPOSIÇÕES!G80</f>
        <v>3.2896000000000005</v>
      </c>
      <c r="G32" s="285">
        <f t="shared" si="0"/>
        <v>4.119089211660981</v>
      </c>
      <c r="H32" s="10">
        <f t="shared" si="1"/>
        <v>6415.5555907677863</v>
      </c>
      <c r="I32" s="1091" t="s">
        <v>672</v>
      </c>
      <c r="J32" s="1092"/>
      <c r="K32" s="1092"/>
      <c r="L32" s="1092"/>
      <c r="M32" s="1092"/>
    </row>
    <row r="33" spans="1:13" ht="33.75" customHeight="1">
      <c r="A33" s="270" t="s">
        <v>618</v>
      </c>
      <c r="B33" s="794" t="s">
        <v>1338</v>
      </c>
      <c r="C33" s="231" t="s">
        <v>619</v>
      </c>
      <c r="D33" s="271" t="s">
        <v>7</v>
      </c>
      <c r="E33" s="34">
        <f>'MEMORIA DE CAL QUEBEC'!L643</f>
        <v>90</v>
      </c>
      <c r="F33" s="346">
        <v>12.4</v>
      </c>
      <c r="G33" s="273">
        <f t="shared" si="0"/>
        <v>15.526722466134533</v>
      </c>
      <c r="H33" s="10">
        <f t="shared" si="1"/>
        <v>1397.405021952108</v>
      </c>
      <c r="I33" s="1091" t="s">
        <v>673</v>
      </c>
      <c r="J33" s="1092"/>
      <c r="K33" s="1092"/>
      <c r="L33" s="1092"/>
      <c r="M33" s="1092"/>
    </row>
    <row r="34" spans="1:13">
      <c r="A34" s="968"/>
      <c r="B34" s="968"/>
      <c r="C34" s="968"/>
      <c r="D34" s="968"/>
      <c r="E34" s="968"/>
      <c r="F34" s="968"/>
      <c r="G34" s="968"/>
      <c r="H34" s="968"/>
      <c r="I34" s="218"/>
      <c r="J34" s="218"/>
      <c r="K34" s="218"/>
      <c r="L34" s="219"/>
      <c r="M34" s="219"/>
    </row>
    <row r="35" spans="1:13">
      <c r="A35" s="4"/>
      <c r="B35" s="4" t="s">
        <v>79</v>
      </c>
      <c r="C35" s="5" t="s">
        <v>43</v>
      </c>
      <c r="D35" s="4"/>
      <c r="E35" s="6"/>
      <c r="F35" s="7"/>
      <c r="G35" s="7"/>
      <c r="H35" s="7">
        <f>SUM(H36:H38)</f>
        <v>6949.0597690207651</v>
      </c>
      <c r="I35" s="218"/>
      <c r="J35" s="218"/>
      <c r="K35" s="218"/>
      <c r="L35" s="219"/>
      <c r="M35" s="219"/>
    </row>
    <row r="36" spans="1:13" s="11" customFormat="1" ht="41.25" customHeight="1">
      <c r="A36" s="315" t="s">
        <v>1339</v>
      </c>
      <c r="B36" s="315" t="s">
        <v>1340</v>
      </c>
      <c r="C36" s="344" t="s">
        <v>915</v>
      </c>
      <c r="D36" s="13" t="s">
        <v>7</v>
      </c>
      <c r="E36" s="9">
        <f>'MEMORIA DE CAL QUEBEC'!L650</f>
        <v>84</v>
      </c>
      <c r="F36" s="10">
        <v>3.85</v>
      </c>
      <c r="G36" s="285">
        <f t="shared" si="0"/>
        <v>4.8207968947272537</v>
      </c>
      <c r="H36" s="10">
        <f>E36*G36</f>
        <v>404.94693915708933</v>
      </c>
      <c r="I36" s="1091" t="s">
        <v>679</v>
      </c>
      <c r="J36" s="1091"/>
      <c r="K36" s="1091"/>
      <c r="L36" s="1091"/>
      <c r="M36" s="218"/>
    </row>
    <row r="37" spans="1:13" s="11" customFormat="1" ht="53.25" customHeight="1">
      <c r="A37" s="315" t="s">
        <v>47</v>
      </c>
      <c r="B37" s="794" t="s">
        <v>1341</v>
      </c>
      <c r="C37" s="8" t="s">
        <v>48</v>
      </c>
      <c r="D37" s="13" t="s">
        <v>7</v>
      </c>
      <c r="E37" s="9">
        <f>'MEMORIA DE CAL QUEBEC'!L655</f>
        <v>84</v>
      </c>
      <c r="F37" s="10">
        <v>32.93</v>
      </c>
      <c r="G37" s="285">
        <f t="shared" si="0"/>
        <v>41.233465387887911</v>
      </c>
      <c r="H37" s="10">
        <f>E37*G37</f>
        <v>3463.6110925825847</v>
      </c>
      <c r="I37" s="1091" t="s">
        <v>679</v>
      </c>
      <c r="J37" s="1091"/>
      <c r="K37" s="1091"/>
      <c r="L37" s="1091"/>
      <c r="M37" s="218"/>
    </row>
    <row r="38" spans="1:13" s="11" customFormat="1" ht="36">
      <c r="A38" s="315" t="s">
        <v>49</v>
      </c>
      <c r="B38" s="794" t="s">
        <v>1342</v>
      </c>
      <c r="C38" s="8" t="s">
        <v>51</v>
      </c>
      <c r="D38" s="13" t="s">
        <v>30</v>
      </c>
      <c r="E38" s="9">
        <f>'MEMORIA DE CAL QUEBEC'!L660</f>
        <v>32</v>
      </c>
      <c r="F38" s="10">
        <v>76.88</v>
      </c>
      <c r="G38" s="285">
        <f t="shared" si="0"/>
        <v>96.265679290034086</v>
      </c>
      <c r="H38" s="10">
        <f>E38*G38</f>
        <v>3080.5017372810908</v>
      </c>
      <c r="I38" s="1091" t="s">
        <v>237</v>
      </c>
      <c r="J38" s="1091"/>
      <c r="K38" s="1091"/>
      <c r="L38" s="1091"/>
      <c r="M38" s="218"/>
    </row>
    <row r="39" spans="1:13">
      <c r="A39" s="1090"/>
      <c r="B39" s="1090"/>
      <c r="C39" s="1090"/>
      <c r="D39" s="1090"/>
      <c r="E39" s="1090"/>
      <c r="F39" s="1090"/>
      <c r="G39" s="1090"/>
      <c r="H39" s="1090"/>
      <c r="I39" s="218"/>
      <c r="J39" s="218"/>
      <c r="K39" s="218"/>
      <c r="L39" s="219"/>
      <c r="M39" s="219"/>
    </row>
    <row r="40" spans="1:13">
      <c r="A40" s="4"/>
      <c r="B40" s="4" t="s">
        <v>196</v>
      </c>
      <c r="C40" s="5" t="s">
        <v>53</v>
      </c>
      <c r="D40" s="4"/>
      <c r="E40" s="6"/>
      <c r="F40" s="7"/>
      <c r="G40" s="7"/>
      <c r="H40" s="7">
        <f>SUM(H41:H46)</f>
        <v>9883.159515140067</v>
      </c>
      <c r="I40" s="218"/>
      <c r="J40" s="218"/>
      <c r="K40" s="218"/>
      <c r="L40" s="219"/>
      <c r="M40" s="219"/>
    </row>
    <row r="41" spans="1:13" ht="40.5" customHeight="1">
      <c r="A41" s="315" t="str">
        <f>COMPOSIÇÕES!B24</f>
        <v>COMPOSIÇÃO 03</v>
      </c>
      <c r="B41" s="315" t="s">
        <v>1343</v>
      </c>
      <c r="C41" s="8" t="str">
        <f>COMPOSIÇÕES!C24</f>
        <v>FORNECIMENTO E ASSENTAMENTO DE FERROLHO / FECHO CHATO, DE SOBREPOR, EM FERRO ZINCADO, REFORCADO, 6", COM PORTA CADEADO, PARA PORTAO, PORTA E JANELA</v>
      </c>
      <c r="D41" s="13" t="s">
        <v>21</v>
      </c>
      <c r="E41" s="31">
        <f>'MEMORIA DE CAL QUEBEC'!L667</f>
        <v>10</v>
      </c>
      <c r="F41" s="844">
        <f>COMPOSIÇÕES!G30</f>
        <v>18.646000000000001</v>
      </c>
      <c r="G41" s="285">
        <f>F41+F41*$H$11</f>
        <v>23.347682830931006</v>
      </c>
      <c r="H41" s="10">
        <f t="shared" ref="H41:H46" si="2">E41*G41</f>
        <v>233.47682830931006</v>
      </c>
      <c r="I41" s="1070" t="s">
        <v>458</v>
      </c>
      <c r="J41" s="1071"/>
      <c r="K41" s="1071"/>
      <c r="L41" s="1071"/>
      <c r="M41" s="219"/>
    </row>
    <row r="42" spans="1:13" s="11" customFormat="1" ht="36">
      <c r="A42" s="315" t="s">
        <v>579</v>
      </c>
      <c r="B42" s="794" t="s">
        <v>1344</v>
      </c>
      <c r="C42" s="258" t="s">
        <v>580</v>
      </c>
      <c r="D42" s="13" t="s">
        <v>21</v>
      </c>
      <c r="E42" s="31">
        <f>'MEMORIA DE CAL QUEBEC'!L673</f>
        <v>5</v>
      </c>
      <c r="F42" s="216">
        <v>316.89999999999998</v>
      </c>
      <c r="G42" s="285">
        <f t="shared" si="0"/>
        <v>396.80793141274455</v>
      </c>
      <c r="H42" s="10">
        <f t="shared" si="2"/>
        <v>1984.0396570637226</v>
      </c>
      <c r="I42" s="1070" t="s">
        <v>458</v>
      </c>
      <c r="J42" s="1071"/>
      <c r="K42" s="1071"/>
      <c r="L42" s="1071"/>
      <c r="M42" s="218"/>
    </row>
    <row r="43" spans="1:13" s="14" customFormat="1">
      <c r="A43" s="30" t="str">
        <f>COMPOSIÇÕES!B46</f>
        <v>COMPOSIÇÃO 05</v>
      </c>
      <c r="B43" s="794" t="s">
        <v>1345</v>
      </c>
      <c r="C43" s="176" t="str">
        <f>COMPOSIÇÕES!C46</f>
        <v>REVISÃO DE ESQUADRIA DE FERRO</v>
      </c>
      <c r="D43" s="315" t="s">
        <v>7</v>
      </c>
      <c r="E43" s="2">
        <f>'MEMORIA DE CAL QUEBEC'!L679</f>
        <v>18.900000000000002</v>
      </c>
      <c r="F43" s="32">
        <f>COMPOSIÇÕES!G55</f>
        <v>137.42116300000001</v>
      </c>
      <c r="G43" s="285">
        <f t="shared" si="0"/>
        <v>172.07260152213189</v>
      </c>
      <c r="H43" s="10">
        <f t="shared" si="2"/>
        <v>3252.172168768293</v>
      </c>
      <c r="I43" s="1068" t="s">
        <v>682</v>
      </c>
      <c r="J43" s="1069"/>
      <c r="K43" s="1069"/>
      <c r="L43" s="1069"/>
      <c r="M43" s="219"/>
    </row>
    <row r="44" spans="1:13" s="14" customFormat="1">
      <c r="A44" s="204" t="str">
        <f>COMPOSIÇÕES!B59</f>
        <v>COMPOSIÇÃO 06</v>
      </c>
      <c r="B44" s="794" t="s">
        <v>1346</v>
      </c>
      <c r="C44" s="143" t="str">
        <f>COMPOSIÇÕES!C59</f>
        <v>REVISÃO DE ESQUADRIA DE MADEIRA</v>
      </c>
      <c r="D44" s="315" t="s">
        <v>7</v>
      </c>
      <c r="E44" s="34">
        <f>'MEMORIA DE CAL QUEBEC'!L684</f>
        <v>42</v>
      </c>
      <c r="F44" s="32">
        <f>COMPOSIÇÕES!G70</f>
        <v>52.650000000000006</v>
      </c>
      <c r="G44" s="285">
        <f t="shared" si="0"/>
        <v>65.925962729192193</v>
      </c>
      <c r="H44" s="10">
        <f t="shared" si="2"/>
        <v>2768.890434626072</v>
      </c>
      <c r="I44" s="1068" t="s">
        <v>683</v>
      </c>
      <c r="J44" s="1069"/>
      <c r="K44" s="1069"/>
      <c r="L44" s="1069"/>
      <c r="M44" s="219"/>
    </row>
    <row r="45" spans="1:13" s="14" customFormat="1" ht="36.75">
      <c r="A45" s="216" t="s">
        <v>433</v>
      </c>
      <c r="B45" s="794" t="s">
        <v>1347</v>
      </c>
      <c r="C45" s="195" t="s">
        <v>434</v>
      </c>
      <c r="D45" s="315" t="s">
        <v>21</v>
      </c>
      <c r="E45" s="34">
        <f>'MEMORIA DE CAL QUEBEC'!L689</f>
        <v>10</v>
      </c>
      <c r="F45" s="32">
        <v>126.2</v>
      </c>
      <c r="G45" s="285">
        <f t="shared" si="0"/>
        <v>158.02196574404661</v>
      </c>
      <c r="H45" s="10">
        <f t="shared" si="2"/>
        <v>1580.2196574404661</v>
      </c>
      <c r="I45" s="1070" t="s">
        <v>458</v>
      </c>
      <c r="J45" s="1070"/>
      <c r="K45" s="1070"/>
      <c r="L45" s="1070"/>
      <c r="M45" s="219"/>
    </row>
    <row r="46" spans="1:13" s="14" customFormat="1" ht="24.75">
      <c r="A46" s="216" t="s">
        <v>685</v>
      </c>
      <c r="B46" s="794" t="s">
        <v>1348</v>
      </c>
      <c r="C46" s="344" t="s">
        <v>686</v>
      </c>
      <c r="D46" s="358" t="s">
        <v>77</v>
      </c>
      <c r="E46" s="34">
        <f>'MEMORIA DE CAL QUEBEC'!L694</f>
        <v>10</v>
      </c>
      <c r="F46" s="32">
        <v>5.14</v>
      </c>
      <c r="G46" s="349">
        <f t="shared" si="0"/>
        <v>6.4360768932202816</v>
      </c>
      <c r="H46" s="10">
        <f t="shared" si="2"/>
        <v>64.360768932202816</v>
      </c>
      <c r="I46" s="347"/>
      <c r="J46" s="347"/>
      <c r="K46" s="347"/>
      <c r="L46" s="347"/>
      <c r="M46" s="219"/>
    </row>
    <row r="47" spans="1:13">
      <c r="A47" s="948"/>
      <c r="B47" s="949"/>
      <c r="C47" s="949"/>
      <c r="D47" s="949"/>
      <c r="E47" s="949"/>
      <c r="F47" s="949"/>
      <c r="G47" s="949"/>
      <c r="H47" s="950"/>
      <c r="I47" s="218"/>
      <c r="J47" s="218"/>
      <c r="K47" s="218"/>
      <c r="L47" s="219"/>
      <c r="M47" s="219"/>
    </row>
    <row r="48" spans="1:13">
      <c r="A48" s="4"/>
      <c r="B48" s="4" t="s">
        <v>637</v>
      </c>
      <c r="C48" s="5" t="s">
        <v>57</v>
      </c>
      <c r="D48" s="4"/>
      <c r="E48" s="6"/>
      <c r="F48" s="7"/>
      <c r="G48" s="7"/>
      <c r="H48" s="7">
        <f>SUM(H49:H51)</f>
        <v>34272.372033309381</v>
      </c>
      <c r="I48" s="218"/>
      <c r="J48" s="218"/>
      <c r="K48" s="218"/>
      <c r="L48" s="219"/>
      <c r="M48" s="219"/>
    </row>
    <row r="49" spans="1:13" ht="24">
      <c r="A49" s="315" t="s">
        <v>481</v>
      </c>
      <c r="B49" s="315" t="s">
        <v>1349</v>
      </c>
      <c r="C49" s="36" t="s">
        <v>483</v>
      </c>
      <c r="D49" s="13" t="s">
        <v>482</v>
      </c>
      <c r="E49" s="9">
        <v>25</v>
      </c>
      <c r="F49" s="10">
        <v>68.97</v>
      </c>
      <c r="G49" s="285">
        <f t="shared" si="0"/>
        <v>86.361132942685373</v>
      </c>
      <c r="H49" s="10">
        <f>E49*G49</f>
        <v>2159.0283235671345</v>
      </c>
      <c r="I49" s="1070" t="s">
        <v>607</v>
      </c>
      <c r="J49" s="1071"/>
      <c r="K49" s="1071"/>
      <c r="L49" s="1071"/>
      <c r="M49" s="1071"/>
    </row>
    <row r="50" spans="1:13">
      <c r="A50" s="315" t="s">
        <v>520</v>
      </c>
      <c r="B50" s="794" t="s">
        <v>1350</v>
      </c>
      <c r="C50" s="195" t="s">
        <v>521</v>
      </c>
      <c r="D50" s="13" t="s">
        <v>7</v>
      </c>
      <c r="E50" s="9">
        <f>'MEMORIA DE CAL QUEBEC'!L706</f>
        <v>119.69</v>
      </c>
      <c r="F50" s="10">
        <v>35.130000000000003</v>
      </c>
      <c r="G50" s="285">
        <f t="shared" si="0"/>
        <v>43.988206470589205</v>
      </c>
      <c r="H50" s="10">
        <f>E50*G50</f>
        <v>5264.948432464822</v>
      </c>
      <c r="I50" s="1070" t="s">
        <v>687</v>
      </c>
      <c r="J50" s="1071"/>
      <c r="K50" s="1071"/>
      <c r="L50" s="1071"/>
      <c r="M50" s="1071"/>
    </row>
    <row r="51" spans="1:13" s="11" customFormat="1" ht="24">
      <c r="A51" s="315" t="s">
        <v>58</v>
      </c>
      <c r="B51" s="794" t="s">
        <v>1351</v>
      </c>
      <c r="C51" s="8" t="s">
        <v>60</v>
      </c>
      <c r="D51" s="13" t="s">
        <v>7</v>
      </c>
      <c r="E51" s="9">
        <f>'MEMORIA DE CAL QUEBEC'!L714</f>
        <v>1265</v>
      </c>
      <c r="F51" s="10">
        <v>16.95</v>
      </c>
      <c r="G51" s="285">
        <f t="shared" si="0"/>
        <v>21.224027887175829</v>
      </c>
      <c r="H51" s="10">
        <f>E51*G51</f>
        <v>26848.395277277425</v>
      </c>
      <c r="I51" s="1070" t="s">
        <v>594</v>
      </c>
      <c r="J51" s="1071"/>
      <c r="K51" s="1071"/>
      <c r="L51" s="1071"/>
      <c r="M51" s="1071"/>
    </row>
    <row r="52" spans="1:13">
      <c r="A52" s="948"/>
      <c r="B52" s="949"/>
      <c r="C52" s="949"/>
      <c r="D52" s="949"/>
      <c r="E52" s="949"/>
      <c r="F52" s="949"/>
      <c r="G52" s="949"/>
      <c r="H52" s="950"/>
      <c r="I52" s="218"/>
      <c r="J52" s="218"/>
      <c r="K52" s="218"/>
      <c r="L52" s="219"/>
      <c r="M52" s="219"/>
    </row>
    <row r="53" spans="1:13" ht="23.25" customHeight="1">
      <c r="A53" s="4"/>
      <c r="B53" s="4" t="s">
        <v>755</v>
      </c>
      <c r="C53" s="5" t="s">
        <v>63</v>
      </c>
      <c r="D53" s="4"/>
      <c r="E53" s="6"/>
      <c r="F53" s="7"/>
      <c r="G53" s="7"/>
      <c r="H53" s="7">
        <f>SUM(H54:H59)</f>
        <v>3336.4254480872887</v>
      </c>
      <c r="I53" s="218"/>
      <c r="J53" s="218"/>
      <c r="K53" s="218"/>
      <c r="L53" s="219"/>
      <c r="M53" s="219"/>
    </row>
    <row r="54" spans="1:13" ht="24">
      <c r="A54" s="315" t="s">
        <v>468</v>
      </c>
      <c r="B54" s="15" t="s">
        <v>1352</v>
      </c>
      <c r="C54" s="8" t="s">
        <v>470</v>
      </c>
      <c r="D54" s="16" t="s">
        <v>21</v>
      </c>
      <c r="E54" s="17">
        <v>10</v>
      </c>
      <c r="F54" s="10">
        <v>12.25</v>
      </c>
      <c r="G54" s="285">
        <f t="shared" si="0"/>
        <v>15.338899210495807</v>
      </c>
      <c r="H54" s="10">
        <f t="shared" ref="H54:H59" si="3">E54*G54</f>
        <v>153.38899210495808</v>
      </c>
      <c r="I54" s="1070" t="s">
        <v>237</v>
      </c>
      <c r="J54" s="1071"/>
      <c r="K54" s="1071"/>
      <c r="L54" s="1071"/>
      <c r="M54" s="219"/>
    </row>
    <row r="55" spans="1:13" ht="24.75">
      <c r="A55" s="315" t="s">
        <v>583</v>
      </c>
      <c r="B55" s="15" t="s">
        <v>1353</v>
      </c>
      <c r="C55" s="195" t="s">
        <v>586</v>
      </c>
      <c r="D55" s="16" t="s">
        <v>21</v>
      </c>
      <c r="E55" s="17">
        <v>10</v>
      </c>
      <c r="F55" s="10">
        <v>8.57</v>
      </c>
      <c r="G55" s="285">
        <f t="shared" si="0"/>
        <v>10.730968672159108</v>
      </c>
      <c r="H55" s="10">
        <f t="shared" si="3"/>
        <v>107.30968672159108</v>
      </c>
      <c r="I55" s="1070" t="s">
        <v>237</v>
      </c>
      <c r="J55" s="1071"/>
      <c r="K55" s="1071"/>
      <c r="L55" s="1071"/>
      <c r="M55" s="219"/>
    </row>
    <row r="56" spans="1:13" s="11" customFormat="1">
      <c r="A56" s="38" t="str">
        <f>COMPOSIÇÕES!B32</f>
        <v>COMPOSIÇÃO 04</v>
      </c>
      <c r="B56" s="15" t="s">
        <v>1354</v>
      </c>
      <c r="C56" s="39" t="str">
        <f>COMPOSIÇÕES!C32</f>
        <v>REVISÃO DE PONTO DE ESGOTO</v>
      </c>
      <c r="D56" s="16" t="s">
        <v>21</v>
      </c>
      <c r="E56" s="17">
        <v>10</v>
      </c>
      <c r="F56" s="10">
        <f>COMPOSIÇÕES!G41</f>
        <v>35.792659999999998</v>
      </c>
      <c r="G56" s="285">
        <f t="shared" si="0"/>
        <v>44.81795952779958</v>
      </c>
      <c r="H56" s="10">
        <f t="shared" si="3"/>
        <v>448.17959527799582</v>
      </c>
      <c r="I56" s="1070" t="s">
        <v>237</v>
      </c>
      <c r="J56" s="1071"/>
      <c r="K56" s="1071"/>
      <c r="L56" s="1071"/>
      <c r="M56" s="218"/>
    </row>
    <row r="57" spans="1:13" s="11" customFormat="1">
      <c r="A57" s="38" t="s">
        <v>652</v>
      </c>
      <c r="B57" s="15" t="s">
        <v>1355</v>
      </c>
      <c r="C57" s="344" t="s">
        <v>653</v>
      </c>
      <c r="D57" s="16" t="s">
        <v>21</v>
      </c>
      <c r="E57" s="17">
        <v>5</v>
      </c>
      <c r="F57" s="10">
        <v>72.180000000000007</v>
      </c>
      <c r="G57" s="349">
        <f>F57+F57*$H$11</f>
        <v>90.380550613354075</v>
      </c>
      <c r="H57" s="10">
        <f t="shared" si="3"/>
        <v>451.9027530667704</v>
      </c>
      <c r="I57" s="1097" t="s">
        <v>237</v>
      </c>
      <c r="J57" s="1070"/>
      <c r="K57" s="1070"/>
      <c r="L57" s="1070"/>
      <c r="M57" s="218"/>
    </row>
    <row r="58" spans="1:13" s="11" customFormat="1" ht="24.75">
      <c r="A58" s="216" t="s">
        <v>541</v>
      </c>
      <c r="B58" s="15" t="s">
        <v>1356</v>
      </c>
      <c r="C58" s="195" t="s">
        <v>542</v>
      </c>
      <c r="D58" s="16" t="s">
        <v>21</v>
      </c>
      <c r="E58" s="284">
        <v>4</v>
      </c>
      <c r="F58" s="257">
        <v>215.56</v>
      </c>
      <c r="G58" s="285">
        <f t="shared" si="0"/>
        <v>269.91453990322253</v>
      </c>
      <c r="H58" s="10">
        <f t="shared" si="3"/>
        <v>1079.6581596128901</v>
      </c>
      <c r="I58" s="1070" t="s">
        <v>605</v>
      </c>
      <c r="J58" s="1071"/>
      <c r="K58" s="1071"/>
      <c r="L58" s="1071"/>
      <c r="M58" s="218"/>
    </row>
    <row r="59" spans="1:13" s="11" customFormat="1" ht="24.75">
      <c r="A59" s="315" t="s">
        <v>430</v>
      </c>
      <c r="B59" s="15" t="s">
        <v>1357</v>
      </c>
      <c r="C59" s="344" t="s">
        <v>431</v>
      </c>
      <c r="D59" s="16" t="s">
        <v>21</v>
      </c>
      <c r="E59" s="17">
        <v>14</v>
      </c>
      <c r="F59" s="10">
        <v>62.52</v>
      </c>
      <c r="G59" s="285">
        <f t="shared" si="0"/>
        <v>78.284732950220246</v>
      </c>
      <c r="H59" s="10">
        <f t="shared" si="3"/>
        <v>1095.9862613030834</v>
      </c>
      <c r="I59" s="1070" t="s">
        <v>606</v>
      </c>
      <c r="J59" s="1071"/>
      <c r="K59" s="1071"/>
      <c r="L59" s="1071"/>
      <c r="M59" s="218"/>
    </row>
    <row r="60" spans="1:13" s="11" customFormat="1">
      <c r="A60" s="948"/>
      <c r="B60" s="949"/>
      <c r="C60" s="949"/>
      <c r="D60" s="949"/>
      <c r="E60" s="949"/>
      <c r="F60" s="949"/>
      <c r="G60" s="949"/>
      <c r="H60" s="950"/>
      <c r="I60" s="218"/>
      <c r="J60" s="218"/>
      <c r="K60" s="218"/>
      <c r="L60" s="218"/>
      <c r="M60" s="218"/>
    </row>
    <row r="61" spans="1:13" s="11" customFormat="1" ht="35.25" customHeight="1">
      <c r="A61" s="4"/>
      <c r="B61" s="4" t="s">
        <v>757</v>
      </c>
      <c r="C61" s="5" t="s">
        <v>66</v>
      </c>
      <c r="D61" s="4"/>
      <c r="E61" s="6"/>
      <c r="F61" s="7"/>
      <c r="G61" s="194"/>
      <c r="H61" s="7">
        <f>SUM(H62:H67)</f>
        <v>4473.4193160611994</v>
      </c>
      <c r="I61" s="218"/>
      <c r="J61" s="218"/>
      <c r="K61" s="218"/>
      <c r="L61" s="218"/>
      <c r="M61" s="218"/>
    </row>
    <row r="62" spans="1:13" ht="24.75">
      <c r="A62" s="216" t="s">
        <v>427</v>
      </c>
      <c r="B62" s="15" t="s">
        <v>1358</v>
      </c>
      <c r="C62" s="195" t="s">
        <v>428</v>
      </c>
      <c r="D62" s="16" t="s">
        <v>21</v>
      </c>
      <c r="E62" s="17">
        <v>10</v>
      </c>
      <c r="F62" s="10">
        <v>21.14</v>
      </c>
      <c r="G62" s="285">
        <f t="shared" si="0"/>
        <v>26.470557494684194</v>
      </c>
      <c r="H62" s="10">
        <f t="shared" ref="H62:H67" si="4">E62*G62</f>
        <v>264.70557494684192</v>
      </c>
      <c r="I62" s="1072" t="s">
        <v>458</v>
      </c>
      <c r="J62" s="1072"/>
      <c r="K62" s="1072"/>
      <c r="L62" s="1072"/>
      <c r="M62" s="219"/>
    </row>
    <row r="63" spans="1:13" ht="24">
      <c r="A63" s="315" t="s">
        <v>70</v>
      </c>
      <c r="B63" s="15" t="s">
        <v>1359</v>
      </c>
      <c r="C63" s="8" t="s">
        <v>71</v>
      </c>
      <c r="D63" s="16" t="s">
        <v>21</v>
      </c>
      <c r="E63" s="17">
        <v>10</v>
      </c>
      <c r="F63" s="10">
        <v>18.54</v>
      </c>
      <c r="G63" s="285">
        <f t="shared" si="0"/>
        <v>23.214954396946307</v>
      </c>
      <c r="H63" s="10">
        <f t="shared" si="4"/>
        <v>232.14954396946308</v>
      </c>
      <c r="I63" s="1072" t="s">
        <v>604</v>
      </c>
      <c r="J63" s="1072"/>
      <c r="K63" s="1072"/>
      <c r="L63" s="1072"/>
      <c r="M63" s="219"/>
    </row>
    <row r="64" spans="1:13">
      <c r="A64" s="358" t="str">
        <f>COMPOSIÇÕES!B179</f>
        <v>COMPOSIÇÃO 17</v>
      </c>
      <c r="B64" s="15" t="s">
        <v>1360</v>
      </c>
      <c r="C64" s="8" t="str">
        <f>COMPOSIÇÕES!C179</f>
        <v>CAIXA DE MEDIÇÃO DIRETA POLICARBONATO - FORNECIMENTO E INSTALAÇÃO</v>
      </c>
      <c r="D64" s="16" t="s">
        <v>21</v>
      </c>
      <c r="E64" s="17">
        <v>1</v>
      </c>
      <c r="F64" s="10">
        <f>COMPOSIÇÕES!G186</f>
        <v>121.676224</v>
      </c>
      <c r="G64" s="349">
        <f>F64+F64*$H$11</f>
        <v>152.35749683671111</v>
      </c>
      <c r="H64" s="10">
        <f t="shared" si="4"/>
        <v>152.35749683671111</v>
      </c>
      <c r="I64" s="353"/>
      <c r="J64" s="353"/>
      <c r="K64" s="353"/>
      <c r="L64" s="353"/>
      <c r="M64" s="219"/>
    </row>
    <row r="65" spans="1:13" ht="24.75">
      <c r="A65" s="315" t="s">
        <v>423</v>
      </c>
      <c r="B65" s="15" t="s">
        <v>1361</v>
      </c>
      <c r="C65" s="195" t="s">
        <v>424</v>
      </c>
      <c r="D65" s="13" t="s">
        <v>21</v>
      </c>
      <c r="E65" s="18">
        <f>'MEMORIA DE CAL QUEBEC'!F771</f>
        <v>33</v>
      </c>
      <c r="F65" s="10">
        <v>33.799999999999997</v>
      </c>
      <c r="G65" s="285">
        <f t="shared" si="0"/>
        <v>42.322840270592508</v>
      </c>
      <c r="H65" s="10">
        <f t="shared" si="4"/>
        <v>1396.6537289295527</v>
      </c>
      <c r="I65" s="1072" t="s">
        <v>603</v>
      </c>
      <c r="J65" s="1072"/>
      <c r="K65" s="1072"/>
      <c r="L65" s="1072"/>
      <c r="M65" s="219"/>
    </row>
    <row r="66" spans="1:13" ht="24.75">
      <c r="A66" s="315" t="s">
        <v>425</v>
      </c>
      <c r="B66" s="15" t="s">
        <v>1362</v>
      </c>
      <c r="C66" s="195" t="s">
        <v>426</v>
      </c>
      <c r="D66" s="13" t="s">
        <v>21</v>
      </c>
      <c r="E66" s="18">
        <v>10</v>
      </c>
      <c r="F66" s="10">
        <v>31.33</v>
      </c>
      <c r="G66" s="285">
        <f t="shared" si="0"/>
        <v>39.230017327741521</v>
      </c>
      <c r="H66" s="10">
        <f t="shared" si="4"/>
        <v>392.30017327741518</v>
      </c>
      <c r="I66" s="1072" t="s">
        <v>458</v>
      </c>
      <c r="J66" s="1072"/>
      <c r="K66" s="1072"/>
      <c r="L66" s="1072"/>
      <c r="M66" s="219"/>
    </row>
    <row r="67" spans="1:13" ht="24">
      <c r="A67" s="216" t="s">
        <v>67</v>
      </c>
      <c r="B67" s="15" t="s">
        <v>1363</v>
      </c>
      <c r="C67" s="258" t="s">
        <v>69</v>
      </c>
      <c r="D67" s="16" t="s">
        <v>21</v>
      </c>
      <c r="E67" s="17">
        <v>10</v>
      </c>
      <c r="F67" s="10">
        <v>162.54</v>
      </c>
      <c r="G67" s="285">
        <f t="shared" si="0"/>
        <v>203.5252798101215</v>
      </c>
      <c r="H67" s="10">
        <f t="shared" si="4"/>
        <v>2035.2527981012149</v>
      </c>
      <c r="I67" s="1097" t="s">
        <v>458</v>
      </c>
      <c r="J67" s="1071"/>
      <c r="K67" s="1071"/>
      <c r="L67" s="1071"/>
      <c r="M67" s="219"/>
    </row>
    <row r="68" spans="1:13" ht="12.75" customHeight="1">
      <c r="A68" s="951"/>
      <c r="B68" s="952"/>
      <c r="C68" s="952"/>
      <c r="D68" s="952"/>
      <c r="E68" s="952"/>
      <c r="F68" s="952"/>
      <c r="G68" s="952"/>
      <c r="H68" s="953"/>
      <c r="I68" s="276"/>
      <c r="J68" s="276"/>
      <c r="K68" s="276"/>
      <c r="L68" s="276"/>
      <c r="M68" s="219"/>
    </row>
    <row r="69" spans="1:13" ht="23.25" customHeight="1">
      <c r="A69" s="4"/>
      <c r="B69" s="4" t="s">
        <v>1364</v>
      </c>
      <c r="C69" s="5" t="s">
        <v>516</v>
      </c>
      <c r="D69" s="4"/>
      <c r="E69" s="6"/>
      <c r="F69" s="7"/>
      <c r="G69" s="7"/>
      <c r="H69" s="7">
        <f>SUM(H70:H70)</f>
        <v>1399.9093320272909</v>
      </c>
      <c r="I69" s="276"/>
      <c r="J69" s="276"/>
      <c r="K69" s="276"/>
      <c r="L69" s="276"/>
      <c r="M69" s="219"/>
    </row>
    <row r="70" spans="1:13" ht="36">
      <c r="A70" s="315" t="s">
        <v>517</v>
      </c>
      <c r="B70" s="315" t="s">
        <v>1365</v>
      </c>
      <c r="C70" s="258" t="s">
        <v>518</v>
      </c>
      <c r="D70" s="19" t="s">
        <v>7</v>
      </c>
      <c r="E70" s="18">
        <f>'MEMORIA DE CAL QUEBEC'!L785</f>
        <v>25</v>
      </c>
      <c r="F70" s="10">
        <v>44.72</v>
      </c>
      <c r="G70" s="285">
        <f>F70+F70*$H$11</f>
        <v>55.996373281091635</v>
      </c>
      <c r="H70" s="10">
        <f>E70*G70</f>
        <v>1399.9093320272909</v>
      </c>
      <c r="I70" s="1072" t="s">
        <v>695</v>
      </c>
      <c r="J70" s="1072"/>
      <c r="K70" s="1072"/>
      <c r="L70" s="1072"/>
      <c r="M70" s="219"/>
    </row>
    <row r="71" spans="1:13" ht="17.25" customHeight="1">
      <c r="A71" s="951"/>
      <c r="B71" s="952"/>
      <c r="C71" s="952"/>
      <c r="D71" s="952"/>
      <c r="E71" s="952"/>
      <c r="F71" s="952"/>
      <c r="G71" s="952"/>
      <c r="H71" s="953"/>
      <c r="I71" s="353"/>
      <c r="J71" s="353"/>
      <c r="K71" s="353"/>
      <c r="L71" s="353"/>
      <c r="M71" s="219"/>
    </row>
    <row r="72" spans="1:13" ht="17.25" customHeight="1">
      <c r="A72" s="4"/>
      <c r="B72" s="4" t="s">
        <v>1366</v>
      </c>
      <c r="C72" s="5" t="s">
        <v>73</v>
      </c>
      <c r="D72" s="4"/>
      <c r="E72" s="6"/>
      <c r="F72" s="7"/>
      <c r="G72" s="7"/>
      <c r="H72" s="7">
        <f>SUM(H73:H73)</f>
        <v>673.65941022422419</v>
      </c>
      <c r="I72" s="353"/>
      <c r="J72" s="353"/>
      <c r="K72" s="353"/>
      <c r="L72" s="353"/>
      <c r="M72" s="219"/>
    </row>
    <row r="73" spans="1:13">
      <c r="A73" s="358" t="str">
        <f>COMPOSIÇÕES!B144</f>
        <v>COMPOSIÇÃO 13</v>
      </c>
      <c r="B73" s="358" t="s">
        <v>1367</v>
      </c>
      <c r="C73" s="258" t="str">
        <f>COMPOSIÇÕES!C144</f>
        <v>LIMPEZA GERAL</v>
      </c>
      <c r="D73" s="19" t="s">
        <v>7</v>
      </c>
      <c r="E73" s="309">
        <f>'MEMORIA DE CAL QUEBEC'!L791</f>
        <v>200</v>
      </c>
      <c r="F73" s="32">
        <f>COMPOSIÇÕES!G151</f>
        <v>2.6900000000000004</v>
      </c>
      <c r="G73" s="786">
        <f>F73+F73*$H$11</f>
        <v>3.3682970511211208</v>
      </c>
      <c r="H73" s="10">
        <f>E73*G73</f>
        <v>673.65941022422419</v>
      </c>
      <c r="I73" s="1135" t="s">
        <v>689</v>
      </c>
      <c r="J73" s="1069"/>
      <c r="K73" s="1069"/>
      <c r="L73" s="1069"/>
      <c r="M73" s="219"/>
    </row>
    <row r="74" spans="1:13">
      <c r="A74" s="782"/>
      <c r="B74" s="783"/>
      <c r="C74" s="801"/>
      <c r="D74" s="802"/>
      <c r="E74" s="803"/>
      <c r="F74" s="804"/>
      <c r="G74" s="805"/>
      <c r="H74" s="806"/>
      <c r="I74" s="784"/>
      <c r="J74" s="785"/>
      <c r="K74" s="785"/>
      <c r="L74" s="785"/>
      <c r="M74" s="219"/>
    </row>
    <row r="75" spans="1:13">
      <c r="A75" s="1132" t="s">
        <v>1297</v>
      </c>
      <c r="B75" s="1132"/>
      <c r="C75" s="1132"/>
      <c r="D75" s="1132"/>
      <c r="E75" s="1132"/>
      <c r="F75" s="1132"/>
      <c r="G75" s="1132"/>
      <c r="H75" s="807">
        <f>SUM(H72,H69,H61,H53,H48,H40,H35,H26,H23,H16)</f>
        <v>124939.85457143157</v>
      </c>
      <c r="I75" s="218"/>
      <c r="J75" s="218"/>
      <c r="K75" s="219"/>
      <c r="L75" s="219"/>
      <c r="M75" s="219"/>
    </row>
    <row r="76" spans="1:13">
      <c r="A76" s="1136" t="s">
        <v>1295</v>
      </c>
      <c r="B76" s="1137"/>
      <c r="C76" s="1137"/>
      <c r="D76" s="1137"/>
      <c r="E76" s="1137"/>
      <c r="F76" s="1137"/>
      <c r="G76" s="1137"/>
      <c r="H76" s="1138"/>
      <c r="I76" s="218"/>
      <c r="J76" s="218"/>
      <c r="K76" s="219"/>
      <c r="L76" s="219"/>
      <c r="M76" s="219"/>
    </row>
    <row r="77" spans="1:13">
      <c r="A77" s="1073" t="s">
        <v>80</v>
      </c>
      <c r="B77" s="1082"/>
      <c r="C77" s="1073" t="s">
        <v>1296</v>
      </c>
      <c r="D77" s="1074"/>
      <c r="E77" s="1074"/>
      <c r="F77" s="1074"/>
      <c r="G77" s="1074"/>
      <c r="H77" s="1075"/>
      <c r="I77" s="12"/>
      <c r="J77" s="12"/>
    </row>
    <row r="78" spans="1:13">
      <c r="A78" s="1083"/>
      <c r="B78" s="1084"/>
      <c r="C78" s="1079"/>
      <c r="D78" s="1080"/>
      <c r="E78" s="1080"/>
      <c r="F78" s="1080"/>
      <c r="G78" s="1080"/>
      <c r="H78" s="1081"/>
    </row>
    <row r="79" spans="1:13">
      <c r="A79" s="1073" t="s">
        <v>1591</v>
      </c>
      <c r="B79" s="1075"/>
      <c r="C79" s="1073" t="s">
        <v>651</v>
      </c>
      <c r="D79" s="1074"/>
      <c r="E79" s="1074"/>
      <c r="F79" s="1074"/>
      <c r="G79" s="1074"/>
      <c r="H79" s="1075"/>
    </row>
    <row r="80" spans="1:13">
      <c r="A80" s="1079"/>
      <c r="B80" s="1081"/>
      <c r="C80" s="1079"/>
      <c r="D80" s="1080"/>
      <c r="E80" s="1080"/>
      <c r="F80" s="1080"/>
      <c r="G80" s="1080"/>
      <c r="H80" s="1081"/>
    </row>
    <row r="81" spans="1:9">
      <c r="A81" s="1085" t="s">
        <v>220</v>
      </c>
      <c r="B81" s="1086"/>
      <c r="C81" s="789" t="s">
        <v>221</v>
      </c>
      <c r="D81" s="791"/>
      <c r="E81" s="791"/>
      <c r="F81" s="791"/>
      <c r="G81" s="791"/>
      <c r="H81" s="792"/>
    </row>
    <row r="82" spans="1:9" ht="38.25" customHeight="1">
      <c r="A82" s="964" t="s">
        <v>1479</v>
      </c>
      <c r="B82" s="964"/>
      <c r="C82" s="964"/>
      <c r="D82" s="964"/>
      <c r="E82" s="964"/>
      <c r="F82" s="964"/>
      <c r="G82" s="965" t="s">
        <v>2</v>
      </c>
      <c r="H82" s="966">
        <v>0.25219999999999998</v>
      </c>
    </row>
    <row r="83" spans="1:9">
      <c r="A83" s="964" t="s">
        <v>1048</v>
      </c>
      <c r="B83" s="964"/>
      <c r="C83" s="964"/>
      <c r="D83" s="964"/>
      <c r="E83" s="964"/>
      <c r="F83" s="964"/>
      <c r="G83" s="965"/>
      <c r="H83" s="966"/>
    </row>
    <row r="85" spans="1:9">
      <c r="A85" s="968" t="s">
        <v>18</v>
      </c>
      <c r="B85" s="968" t="s">
        <v>19</v>
      </c>
      <c r="C85" s="968" t="s">
        <v>20</v>
      </c>
      <c r="D85" s="972"/>
      <c r="E85" s="972"/>
      <c r="F85" s="972"/>
      <c r="G85" s="972"/>
      <c r="H85" s="972"/>
    </row>
    <row r="86" spans="1:9">
      <c r="A86" s="969"/>
      <c r="B86" s="968"/>
      <c r="C86" s="968"/>
      <c r="D86" s="794" t="s">
        <v>21</v>
      </c>
      <c r="E86" s="2" t="s">
        <v>22</v>
      </c>
      <c r="F86" s="3" t="s">
        <v>23</v>
      </c>
      <c r="G86" s="3" t="s">
        <v>24</v>
      </c>
      <c r="H86" s="3" t="s">
        <v>25</v>
      </c>
      <c r="I86" s="620" t="e">
        <f>H87-#REF!</f>
        <v>#REF!</v>
      </c>
    </row>
    <row r="87" spans="1:9">
      <c r="A87" s="788"/>
      <c r="B87" s="787" t="s">
        <v>11</v>
      </c>
      <c r="C87" s="821" t="s">
        <v>1368</v>
      </c>
      <c r="D87" s="794"/>
      <c r="E87" s="2"/>
      <c r="F87" s="3"/>
      <c r="G87" s="3"/>
      <c r="H87" s="3">
        <f>SUM(H88,H98,H103,H111,H118,H122,H126,H131,H137,H142,H144,H150,H153,H155,H163,H172,H175,H179,H192)</f>
        <v>827150.56699850503</v>
      </c>
    </row>
    <row r="88" spans="1:9">
      <c r="A88" s="4"/>
      <c r="B88" s="4" t="s">
        <v>12</v>
      </c>
      <c r="C88" s="5" t="s">
        <v>5</v>
      </c>
      <c r="D88" s="4"/>
      <c r="E88" s="6"/>
      <c r="F88" s="7"/>
      <c r="G88" s="7"/>
      <c r="H88" s="7">
        <f>SUM(H89:H96)</f>
        <v>61686.762799429307</v>
      </c>
    </row>
    <row r="89" spans="1:9">
      <c r="A89" s="396" t="str">
        <f>COMPOSIÇÕES!B614</f>
        <v>COMPOSIÇÃO 28</v>
      </c>
      <c r="B89" s="794" t="s">
        <v>1369</v>
      </c>
      <c r="C89" s="808" t="str">
        <f>COMPOSIÇÕES!C614</f>
        <v>PLACA DE OBRA EM CHAPA DE AÇO GALVANIZADO, INSTALADO.</v>
      </c>
      <c r="D89" s="395" t="s">
        <v>7</v>
      </c>
      <c r="E89" s="813">
        <v>10</v>
      </c>
      <c r="F89" s="816">
        <f>COMPOSIÇÕES!G620</f>
        <v>226.732</v>
      </c>
      <c r="G89" s="814">
        <f>F89+F89*$H$11</f>
        <v>283.90361598319475</v>
      </c>
      <c r="H89" s="815">
        <f>G89*E89</f>
        <v>2839.0361598319478</v>
      </c>
    </row>
    <row r="90" spans="1:9">
      <c r="A90" s="398" t="s">
        <v>1298</v>
      </c>
      <c r="B90" s="794" t="s">
        <v>1370</v>
      </c>
      <c r="C90" s="809" t="s">
        <v>749</v>
      </c>
      <c r="D90" s="396" t="s">
        <v>7</v>
      </c>
      <c r="E90" s="813">
        <v>48.4</v>
      </c>
      <c r="F90" s="816">
        <v>96.47</v>
      </c>
      <c r="G90" s="814">
        <f t="shared" ref="G90:G96" si="5">F90+F90*$H$11</f>
        <v>120.79539647645147</v>
      </c>
      <c r="H90" s="815">
        <f t="shared" ref="H90:H96" si="6">G90*E90</f>
        <v>5846.4971894602513</v>
      </c>
    </row>
    <row r="91" spans="1:9">
      <c r="A91" s="398" t="s">
        <v>1299</v>
      </c>
      <c r="B91" s="794" t="s">
        <v>1371</v>
      </c>
      <c r="C91" s="810" t="s">
        <v>750</v>
      </c>
      <c r="D91" s="395" t="s">
        <v>21</v>
      </c>
      <c r="E91" s="813">
        <v>1</v>
      </c>
      <c r="F91" s="816">
        <v>1328.2</v>
      </c>
      <c r="G91" s="814">
        <f t="shared" si="5"/>
        <v>1663.1123209290231</v>
      </c>
      <c r="H91" s="815">
        <f t="shared" si="6"/>
        <v>1663.1123209290231</v>
      </c>
    </row>
    <row r="92" spans="1:9" ht="24">
      <c r="A92" s="399" t="s">
        <v>1300</v>
      </c>
      <c r="B92" s="794" t="s">
        <v>1372</v>
      </c>
      <c r="C92" s="811" t="s">
        <v>752</v>
      </c>
      <c r="D92" s="395" t="s">
        <v>7</v>
      </c>
      <c r="E92" s="813">
        <v>2.52</v>
      </c>
      <c r="F92" s="817">
        <v>842.94</v>
      </c>
      <c r="G92" s="814">
        <f t="shared" si="5"/>
        <v>1055.4915673873745</v>
      </c>
      <c r="H92" s="815">
        <f t="shared" si="6"/>
        <v>2659.8387498161837</v>
      </c>
    </row>
    <row r="93" spans="1:9" ht="24">
      <c r="A93" s="396" t="s">
        <v>1301</v>
      </c>
      <c r="B93" s="794" t="s">
        <v>1373</v>
      </c>
      <c r="C93" s="812" t="s">
        <v>753</v>
      </c>
      <c r="D93" s="395" t="s">
        <v>7</v>
      </c>
      <c r="E93" s="813">
        <v>20</v>
      </c>
      <c r="F93" s="817">
        <v>935.66</v>
      </c>
      <c r="G93" s="814">
        <f t="shared" si="5"/>
        <v>1171.5913824728577</v>
      </c>
      <c r="H93" s="815">
        <f t="shared" si="6"/>
        <v>23431.827649457155</v>
      </c>
    </row>
    <row r="94" spans="1:9" ht="24">
      <c r="A94" s="396" t="s">
        <v>1302</v>
      </c>
      <c r="B94" s="794" t="s">
        <v>1374</v>
      </c>
      <c r="C94" s="812" t="s">
        <v>754</v>
      </c>
      <c r="D94" s="396" t="s">
        <v>7</v>
      </c>
      <c r="E94" s="813">
        <v>20</v>
      </c>
      <c r="F94" s="817">
        <v>725.71</v>
      </c>
      <c r="G94" s="814">
        <f t="shared" si="5"/>
        <v>908.70143233052352</v>
      </c>
      <c r="H94" s="815">
        <f t="shared" si="6"/>
        <v>18174.02864661047</v>
      </c>
    </row>
    <row r="95" spans="1:9" ht="24">
      <c r="A95" s="400" t="s">
        <v>1303</v>
      </c>
      <c r="B95" s="794" t="s">
        <v>1375</v>
      </c>
      <c r="C95" s="811" t="s">
        <v>756</v>
      </c>
      <c r="D95" s="395" t="s">
        <v>77</v>
      </c>
      <c r="E95" s="813">
        <v>116</v>
      </c>
      <c r="F95" s="818">
        <v>46.37</v>
      </c>
      <c r="G95" s="814">
        <f t="shared" si="5"/>
        <v>58.062429093117601</v>
      </c>
      <c r="H95" s="815">
        <f t="shared" si="6"/>
        <v>6735.2417748016414</v>
      </c>
    </row>
    <row r="96" spans="1:9" ht="26.25" customHeight="1">
      <c r="A96" s="398" t="s">
        <v>1304</v>
      </c>
      <c r="B96" s="794" t="s">
        <v>1376</v>
      </c>
      <c r="C96" s="812" t="s">
        <v>724</v>
      </c>
      <c r="D96" s="396" t="s">
        <v>7</v>
      </c>
      <c r="E96" s="813">
        <v>792</v>
      </c>
      <c r="F96" s="816">
        <v>0.34</v>
      </c>
      <c r="G96" s="814">
        <f t="shared" si="5"/>
        <v>0.42573271278110814</v>
      </c>
      <c r="H96" s="815">
        <f t="shared" si="6"/>
        <v>337.18030852263763</v>
      </c>
    </row>
    <row r="97" spans="1:8">
      <c r="A97" s="951"/>
      <c r="B97" s="952"/>
      <c r="C97" s="952"/>
      <c r="D97" s="952"/>
      <c r="E97" s="952"/>
      <c r="F97" s="952"/>
      <c r="G97" s="952"/>
      <c r="H97" s="953"/>
    </row>
    <row r="98" spans="1:8">
      <c r="A98" s="4"/>
      <c r="B98" s="4" t="s">
        <v>435</v>
      </c>
      <c r="C98" s="5" t="s">
        <v>758</v>
      </c>
      <c r="D98" s="4"/>
      <c r="E98" s="6"/>
      <c r="F98" s="7"/>
      <c r="G98" s="7"/>
      <c r="H98" s="7">
        <f>SUM(H99:H101)</f>
        <v>6566.1915787795124</v>
      </c>
    </row>
    <row r="99" spans="1:8">
      <c r="A99" s="403" t="str">
        <f>COMPOSIÇÕES!B738</f>
        <v>COMPOSIÇÃO 40</v>
      </c>
      <c r="B99" s="794" t="s">
        <v>1377</v>
      </c>
      <c r="C99" s="812" t="s">
        <v>1615</v>
      </c>
      <c r="D99" s="398" t="s">
        <v>15</v>
      </c>
      <c r="E99" s="697">
        <v>58.08</v>
      </c>
      <c r="F99" s="819">
        <f>COMPOSIÇÕES!G743</f>
        <v>69.28</v>
      </c>
      <c r="G99" s="814">
        <f t="shared" ref="G99:G101" si="7">F99+F99*$H$11</f>
        <v>86.749301004338747</v>
      </c>
      <c r="H99" s="401">
        <f>G99*E99</f>
        <v>5038.3994023319947</v>
      </c>
    </row>
    <row r="100" spans="1:8" ht="24">
      <c r="A100" s="403" t="s">
        <v>1306</v>
      </c>
      <c r="B100" s="794" t="s">
        <v>1378</v>
      </c>
      <c r="C100" s="812" t="s">
        <v>720</v>
      </c>
      <c r="D100" s="398" t="s">
        <v>7</v>
      </c>
      <c r="E100" s="697">
        <v>41.98</v>
      </c>
      <c r="F100" s="819">
        <v>2.12</v>
      </c>
      <c r="G100" s="814">
        <f t="shared" si="7"/>
        <v>2.6545686796939685</v>
      </c>
      <c r="H100" s="401">
        <f t="shared" ref="H100:H101" si="8">G100*E100</f>
        <v>111.43879317355278</v>
      </c>
    </row>
    <row r="101" spans="1:8">
      <c r="A101" s="398" t="s">
        <v>1307</v>
      </c>
      <c r="B101" s="794" t="s">
        <v>1379</v>
      </c>
      <c r="C101" s="809" t="s">
        <v>709</v>
      </c>
      <c r="D101" s="404" t="s">
        <v>15</v>
      </c>
      <c r="E101" s="698">
        <f>'MEMORIA DE CAL QUADRA'!L243</f>
        <v>35.369999999999997</v>
      </c>
      <c r="F101" s="819">
        <v>31.98</v>
      </c>
      <c r="G101" s="814">
        <f t="shared" si="7"/>
        <v>40.043918102175994</v>
      </c>
      <c r="H101" s="401">
        <f t="shared" si="8"/>
        <v>1416.3533832739647</v>
      </c>
    </row>
    <row r="102" spans="1:8">
      <c r="A102" s="1090"/>
      <c r="B102" s="1090"/>
      <c r="C102" s="1090"/>
      <c r="D102" s="1090"/>
      <c r="E102" s="1090"/>
      <c r="F102" s="1090"/>
      <c r="G102" s="1090"/>
      <c r="H102" s="1090"/>
    </row>
    <row r="103" spans="1:8">
      <c r="A103" s="4"/>
      <c r="B103" s="4" t="s">
        <v>436</v>
      </c>
      <c r="C103" s="5" t="s">
        <v>760</v>
      </c>
      <c r="D103" s="4"/>
      <c r="E103" s="6"/>
      <c r="F103" s="7"/>
      <c r="G103" s="7"/>
      <c r="H103" s="7">
        <f>SUM(H105:H110)</f>
        <v>45100.485522810413</v>
      </c>
    </row>
    <row r="104" spans="1:8">
      <c r="A104" s="4"/>
      <c r="B104" s="4" t="s">
        <v>1380</v>
      </c>
      <c r="C104" s="5" t="s">
        <v>761</v>
      </c>
      <c r="D104" s="4"/>
      <c r="E104" s="6"/>
      <c r="F104" s="7"/>
      <c r="G104" s="7"/>
      <c r="H104" s="7"/>
    </row>
    <row r="105" spans="1:8" ht="24">
      <c r="A105" s="405" t="s">
        <v>1308</v>
      </c>
      <c r="B105" s="794" t="s">
        <v>1381</v>
      </c>
      <c r="C105" s="812" t="s">
        <v>762</v>
      </c>
      <c r="D105" s="398" t="s">
        <v>7</v>
      </c>
      <c r="E105" s="697">
        <v>25.92</v>
      </c>
      <c r="F105" s="819">
        <v>25.98</v>
      </c>
      <c r="G105" s="820">
        <f t="shared" ref="G105:G116" si="9">F105+F105*$H$11</f>
        <v>32.53098787662703</v>
      </c>
      <c r="H105" s="401">
        <f t="shared" ref="H105:H110" si="10">G105*E105</f>
        <v>843.20320576217273</v>
      </c>
    </row>
    <row r="106" spans="1:8" ht="24">
      <c r="A106" s="397" t="s">
        <v>1309</v>
      </c>
      <c r="B106" s="794" t="s">
        <v>1382</v>
      </c>
      <c r="C106" s="812" t="s">
        <v>763</v>
      </c>
      <c r="D106" s="397" t="s">
        <v>7</v>
      </c>
      <c r="E106" s="697">
        <v>84.96</v>
      </c>
      <c r="F106" s="819">
        <v>122.58</v>
      </c>
      <c r="G106" s="820">
        <f t="shared" si="9"/>
        <v>153.4891645079654</v>
      </c>
      <c r="H106" s="401">
        <f t="shared" si="10"/>
        <v>13040.439416596739</v>
      </c>
    </row>
    <row r="107" spans="1:8" ht="33" customHeight="1">
      <c r="A107" s="397" t="s">
        <v>1310</v>
      </c>
      <c r="B107" s="794" t="s">
        <v>1383</v>
      </c>
      <c r="C107" s="812" t="s">
        <v>764</v>
      </c>
      <c r="D107" s="397" t="s">
        <v>317</v>
      </c>
      <c r="E107" s="697">
        <v>231.27</v>
      </c>
      <c r="F107" s="819">
        <v>18.82</v>
      </c>
      <c r="G107" s="820">
        <f t="shared" si="9"/>
        <v>23.565557807471926</v>
      </c>
      <c r="H107" s="401">
        <f t="shared" si="10"/>
        <v>5450.0065541340327</v>
      </c>
    </row>
    <row r="108" spans="1:8" ht="32.25" customHeight="1">
      <c r="A108" s="397" t="s">
        <v>1311</v>
      </c>
      <c r="B108" s="794" t="s">
        <v>1384</v>
      </c>
      <c r="C108" s="812" t="s">
        <v>765</v>
      </c>
      <c r="D108" s="397" t="s">
        <v>317</v>
      </c>
      <c r="E108" s="697">
        <v>475.45</v>
      </c>
      <c r="F108" s="819">
        <v>17.05</v>
      </c>
      <c r="G108" s="820">
        <f t="shared" si="9"/>
        <v>21.34924339093498</v>
      </c>
      <c r="H108" s="401">
        <f t="shared" si="10"/>
        <v>10150.497770220036</v>
      </c>
    </row>
    <row r="109" spans="1:8" ht="27.75" customHeight="1">
      <c r="A109" s="397" t="s">
        <v>1312</v>
      </c>
      <c r="B109" s="794" t="s">
        <v>1385</v>
      </c>
      <c r="C109" s="812" t="s">
        <v>766</v>
      </c>
      <c r="D109" s="397" t="s">
        <v>317</v>
      </c>
      <c r="E109" s="697">
        <v>190.91</v>
      </c>
      <c r="F109" s="819">
        <v>19.899999999999999</v>
      </c>
      <c r="G109" s="820">
        <f t="shared" si="9"/>
        <v>24.917885248070739</v>
      </c>
      <c r="H109" s="401">
        <f t="shared" si="10"/>
        <v>4757.0734727091849</v>
      </c>
    </row>
    <row r="110" spans="1:8" ht="24">
      <c r="A110" s="397" t="s">
        <v>1313</v>
      </c>
      <c r="B110" s="794" t="s">
        <v>1386</v>
      </c>
      <c r="C110" s="812" t="s">
        <v>767</v>
      </c>
      <c r="D110" s="397" t="s">
        <v>15</v>
      </c>
      <c r="E110" s="697">
        <v>19.149999999999999</v>
      </c>
      <c r="F110" s="819">
        <v>452.87</v>
      </c>
      <c r="G110" s="820">
        <f t="shared" si="9"/>
        <v>567.06345187406009</v>
      </c>
      <c r="H110" s="401">
        <f t="shared" si="10"/>
        <v>10859.26510338825</v>
      </c>
    </row>
    <row r="111" spans="1:8">
      <c r="A111" s="4"/>
      <c r="B111" s="4" t="s">
        <v>437</v>
      </c>
      <c r="C111" s="5" t="s">
        <v>768</v>
      </c>
      <c r="D111" s="4"/>
      <c r="E111" s="6"/>
      <c r="F111" s="7"/>
      <c r="G111" s="7"/>
      <c r="H111" s="7">
        <f>SUM(H112:H116)</f>
        <v>17912.743458364312</v>
      </c>
    </row>
    <row r="112" spans="1:8" ht="24">
      <c r="A112" s="397" t="s">
        <v>1314</v>
      </c>
      <c r="B112" s="794" t="s">
        <v>1387</v>
      </c>
      <c r="C112" s="812" t="s">
        <v>769</v>
      </c>
      <c r="D112" s="398" t="s">
        <v>7</v>
      </c>
      <c r="E112" s="813">
        <v>16.059999999999999</v>
      </c>
      <c r="F112" s="816">
        <v>24.96</v>
      </c>
      <c r="G112" s="820">
        <f t="shared" si="9"/>
        <v>31.253789738283704</v>
      </c>
      <c r="H112" s="817">
        <f t="shared" ref="H112:H116" si="11">G112*E112</f>
        <v>501.93586319683624</v>
      </c>
    </row>
    <row r="113" spans="1:8" ht="24">
      <c r="A113" s="397" t="s">
        <v>1315</v>
      </c>
      <c r="B113" s="794" t="s">
        <v>1388</v>
      </c>
      <c r="C113" s="812" t="s">
        <v>770</v>
      </c>
      <c r="D113" s="398" t="s">
        <v>7</v>
      </c>
      <c r="E113" s="813">
        <v>94.2</v>
      </c>
      <c r="F113" s="816">
        <v>60.37</v>
      </c>
      <c r="G113" s="820">
        <f t="shared" si="9"/>
        <v>75.592599619398527</v>
      </c>
      <c r="H113" s="817">
        <f t="shared" si="11"/>
        <v>7120.822884147341</v>
      </c>
    </row>
    <row r="114" spans="1:8" ht="36">
      <c r="A114" s="397" t="s">
        <v>1310</v>
      </c>
      <c r="B114" s="794" t="s">
        <v>1389</v>
      </c>
      <c r="C114" s="812" t="s">
        <v>764</v>
      </c>
      <c r="D114" s="397" t="s">
        <v>317</v>
      </c>
      <c r="E114" s="813">
        <v>177.09</v>
      </c>
      <c r="F114" s="816">
        <v>18.82</v>
      </c>
      <c r="G114" s="820">
        <f t="shared" si="9"/>
        <v>23.565557807471926</v>
      </c>
      <c r="H114" s="817">
        <f t="shared" si="11"/>
        <v>4173.2246321252032</v>
      </c>
    </row>
    <row r="115" spans="1:8" ht="36">
      <c r="A115" s="397" t="s">
        <v>1312</v>
      </c>
      <c r="B115" s="794" t="s">
        <v>1390</v>
      </c>
      <c r="C115" s="812" t="s">
        <v>766</v>
      </c>
      <c r="D115" s="397" t="s">
        <v>317</v>
      </c>
      <c r="E115" s="813">
        <v>76.27</v>
      </c>
      <c r="F115" s="816">
        <v>19.899999999999999</v>
      </c>
      <c r="G115" s="820">
        <f t="shared" si="9"/>
        <v>24.917885248070739</v>
      </c>
      <c r="H115" s="817">
        <f t="shared" si="11"/>
        <v>1900.4871078703552</v>
      </c>
    </row>
    <row r="116" spans="1:8" ht="36">
      <c r="A116" s="397" t="s">
        <v>1316</v>
      </c>
      <c r="B116" s="794" t="s">
        <v>1391</v>
      </c>
      <c r="C116" s="812" t="s">
        <v>771</v>
      </c>
      <c r="D116" s="397" t="s">
        <v>15</v>
      </c>
      <c r="E116" s="813">
        <v>7.54</v>
      </c>
      <c r="F116" s="816">
        <v>446.58</v>
      </c>
      <c r="G116" s="820">
        <f t="shared" si="9"/>
        <v>559.18739668760963</v>
      </c>
      <c r="H116" s="817">
        <f t="shared" si="11"/>
        <v>4216.2729710245767</v>
      </c>
    </row>
    <row r="117" spans="1:8">
      <c r="A117" s="968"/>
      <c r="B117" s="968"/>
      <c r="C117" s="968"/>
      <c r="D117" s="968"/>
      <c r="E117" s="968"/>
      <c r="F117" s="968"/>
      <c r="G117" s="968"/>
      <c r="H117" s="968"/>
    </row>
    <row r="118" spans="1:8">
      <c r="A118" s="4"/>
      <c r="B118" s="4" t="s">
        <v>438</v>
      </c>
      <c r="C118" s="5" t="s">
        <v>1317</v>
      </c>
      <c r="D118" s="4"/>
      <c r="E118" s="6"/>
      <c r="F118" s="7"/>
      <c r="G118" s="7"/>
      <c r="H118" s="7">
        <f>SUM(H120:H121)</f>
        <v>4514.9930871365841</v>
      </c>
    </row>
    <row r="119" spans="1:8">
      <c r="A119" s="4"/>
      <c r="B119" s="4" t="s">
        <v>1392</v>
      </c>
      <c r="C119" s="5" t="s">
        <v>1318</v>
      </c>
      <c r="D119" s="4"/>
      <c r="E119" s="6"/>
      <c r="F119" s="7"/>
      <c r="G119" s="7"/>
      <c r="H119" s="7"/>
    </row>
    <row r="120" spans="1:8" ht="36">
      <c r="A120" s="397" t="s">
        <v>1319</v>
      </c>
      <c r="B120" s="794" t="s">
        <v>1393</v>
      </c>
      <c r="C120" s="812" t="s">
        <v>774</v>
      </c>
      <c r="D120" s="397" t="s">
        <v>7</v>
      </c>
      <c r="E120" s="697">
        <v>30.6</v>
      </c>
      <c r="F120" s="819">
        <v>42.19</v>
      </c>
      <c r="G120" s="820">
        <f t="shared" ref="G120:G124" si="12">F120+F120*$H$11</f>
        <v>52.828421035985151</v>
      </c>
      <c r="H120" s="401">
        <f>G120*E120</f>
        <v>1616.5496837011458</v>
      </c>
    </row>
    <row r="121" spans="1:8" ht="36">
      <c r="A121" s="397" t="s">
        <v>1320</v>
      </c>
      <c r="B121" s="794" t="s">
        <v>1394</v>
      </c>
      <c r="C121" s="812" t="s">
        <v>775</v>
      </c>
      <c r="D121" s="397" t="s">
        <v>15</v>
      </c>
      <c r="E121" s="697">
        <v>5.4</v>
      </c>
      <c r="F121" s="819">
        <v>428.66</v>
      </c>
      <c r="G121" s="820">
        <f t="shared" si="12"/>
        <v>536.74877841397006</v>
      </c>
      <c r="H121" s="401">
        <f>G121*E121</f>
        <v>2898.4434034354385</v>
      </c>
    </row>
    <row r="122" spans="1:8">
      <c r="A122" s="4"/>
      <c r="B122" s="4" t="s">
        <v>588</v>
      </c>
      <c r="C122" s="5" t="s">
        <v>1321</v>
      </c>
      <c r="D122" s="4"/>
      <c r="E122" s="6"/>
      <c r="F122" s="7"/>
      <c r="G122" s="7"/>
      <c r="H122" s="7">
        <f>SUM(H123:H124)</f>
        <v>422132.97202581225</v>
      </c>
    </row>
    <row r="123" spans="1:8">
      <c r="A123" s="398" t="s">
        <v>1322</v>
      </c>
      <c r="B123" s="794" t="s">
        <v>1395</v>
      </c>
      <c r="C123" s="812" t="s">
        <v>1131</v>
      </c>
      <c r="D123" s="13" t="s">
        <v>1324</v>
      </c>
      <c r="E123" s="697">
        <v>3200.77</v>
      </c>
      <c r="F123" s="819">
        <v>75.61</v>
      </c>
      <c r="G123" s="820">
        <f t="shared" si="12"/>
        <v>94.675442392292894</v>
      </c>
      <c r="H123" s="314">
        <f>G123*E123</f>
        <v>303034.31574597931</v>
      </c>
    </row>
    <row r="124" spans="1:8">
      <c r="A124" s="398" t="s">
        <v>1323</v>
      </c>
      <c r="B124" s="794" t="s">
        <v>1396</v>
      </c>
      <c r="C124" s="812" t="s">
        <v>1132</v>
      </c>
      <c r="D124" s="13" t="s">
        <v>7</v>
      </c>
      <c r="E124" s="697">
        <f>'MEMORIA DE CAL QUADRA'!L714</f>
        <v>622.48</v>
      </c>
      <c r="F124" s="819">
        <v>152.80000000000001</v>
      </c>
      <c r="G124" s="820">
        <f t="shared" si="12"/>
        <v>191.32928974398038</v>
      </c>
      <c r="H124" s="314">
        <f>G124*E124</f>
        <v>119098.65627983291</v>
      </c>
    </row>
    <row r="125" spans="1:8">
      <c r="A125" s="1090"/>
      <c r="B125" s="1090"/>
      <c r="C125" s="1090"/>
      <c r="D125" s="1090"/>
      <c r="E125" s="1090"/>
      <c r="F125" s="1090"/>
      <c r="G125" s="1090"/>
      <c r="H125" s="1090"/>
    </row>
    <row r="126" spans="1:8">
      <c r="A126" s="4"/>
      <c r="B126" s="4" t="s">
        <v>696</v>
      </c>
      <c r="C126" s="5" t="s">
        <v>624</v>
      </c>
      <c r="D126" s="4"/>
      <c r="E126" s="6"/>
      <c r="F126" s="7"/>
      <c r="G126" s="7"/>
      <c r="H126" s="7">
        <f>SUM(H128:H129)</f>
        <v>39499.234855543065</v>
      </c>
    </row>
    <row r="127" spans="1:8">
      <c r="A127" s="4"/>
      <c r="B127" s="4" t="s">
        <v>1397</v>
      </c>
      <c r="C127" s="5" t="s">
        <v>742</v>
      </c>
      <c r="D127" s="4"/>
      <c r="E127" s="6"/>
      <c r="F127" s="7"/>
      <c r="G127" s="7"/>
      <c r="H127" s="7"/>
    </row>
    <row r="128" spans="1:8" ht="42.75" customHeight="1">
      <c r="A128" s="794" t="str">
        <f>COMPOSIÇÕES!B414</f>
        <v>COMPOSIÇÃO 21</v>
      </c>
      <c r="B128" s="794" t="s">
        <v>1398</v>
      </c>
      <c r="C128" s="822" t="str">
        <f>COMPOSIÇÕES!C414</f>
        <v>ARQUIBANCADA EM TIJOLO CERÂMICO 9X19X19, INCLUSO ACABAMENTO DO ASSENTO E ENCOSTOS COM ARGAMASSA DESEMPENADA , COM FUNDAÇÃO E ESTRUTURAS DE AMARRAÇÃO EM CONCRETO ARMADO</v>
      </c>
      <c r="D128" s="13" t="s">
        <v>7</v>
      </c>
      <c r="E128" s="697">
        <f>'MEMORIA DE CAL QUADRA'!L721</f>
        <v>212.4975</v>
      </c>
      <c r="F128" s="819">
        <f>COMPOSIÇÕES!G421</f>
        <v>98.66</v>
      </c>
      <c r="G128" s="820">
        <f t="shared" ref="G128:G129" si="13">F128+F128*$H$11</f>
        <v>123.53761600877684</v>
      </c>
      <c r="H128" s="314">
        <f>G128*E128</f>
        <v>26251.434557825058</v>
      </c>
    </row>
    <row r="129" spans="1:8">
      <c r="A129" s="30" t="str">
        <f>COMPOSIÇÕES!B640</f>
        <v>COMPOSIÇÃO 31</v>
      </c>
      <c r="B129" s="794" t="s">
        <v>1399</v>
      </c>
      <c r="C129" s="812" t="s">
        <v>893</v>
      </c>
      <c r="D129" s="794" t="s">
        <v>7</v>
      </c>
      <c r="E129" s="697">
        <v>250</v>
      </c>
      <c r="F129" s="819">
        <f>COMPOSIÇÕES!G646</f>
        <v>42.32</v>
      </c>
      <c r="G129" s="820">
        <f t="shared" si="13"/>
        <v>52.991201190872047</v>
      </c>
      <c r="H129" s="314">
        <f>G129*E129</f>
        <v>13247.800297718011</v>
      </c>
    </row>
    <row r="130" spans="1:8">
      <c r="A130" s="948"/>
      <c r="B130" s="949"/>
      <c r="C130" s="949"/>
      <c r="D130" s="949"/>
      <c r="E130" s="949"/>
      <c r="F130" s="949"/>
      <c r="G130" s="949"/>
      <c r="H130" s="950"/>
    </row>
    <row r="131" spans="1:8">
      <c r="A131" s="4"/>
      <c r="B131" s="4" t="s">
        <v>697</v>
      </c>
      <c r="C131" s="5" t="s">
        <v>43</v>
      </c>
      <c r="D131" s="4"/>
      <c r="E131" s="6"/>
      <c r="F131" s="7"/>
      <c r="G131" s="7"/>
      <c r="H131" s="7">
        <f>SUM(H133:H135)</f>
        <v>10024.227951919234</v>
      </c>
    </row>
    <row r="132" spans="1:8">
      <c r="A132" s="4"/>
      <c r="B132" s="4" t="s">
        <v>1400</v>
      </c>
      <c r="C132" s="5" t="s">
        <v>742</v>
      </c>
      <c r="D132" s="4"/>
      <c r="E132" s="6"/>
      <c r="F132" s="7"/>
      <c r="G132" s="7"/>
      <c r="H132" s="7"/>
    </row>
    <row r="133" spans="1:8" ht="36">
      <c r="A133" s="397" t="s">
        <v>1339</v>
      </c>
      <c r="B133" s="794" t="s">
        <v>1401</v>
      </c>
      <c r="C133" s="667" t="s">
        <v>915</v>
      </c>
      <c r="D133" s="13" t="s">
        <v>7</v>
      </c>
      <c r="E133" s="697">
        <v>85</v>
      </c>
      <c r="F133" s="819">
        <v>3.85</v>
      </c>
      <c r="G133" s="820">
        <f t="shared" ref="G133:G135" si="14">F133+F133*$H$11</f>
        <v>4.8207968947272537</v>
      </c>
      <c r="H133" s="314">
        <f>G133*E133</f>
        <v>409.76773605181654</v>
      </c>
    </row>
    <row r="134" spans="1:8" ht="48">
      <c r="A134" s="397" t="s">
        <v>47</v>
      </c>
      <c r="B134" s="794" t="s">
        <v>1402</v>
      </c>
      <c r="C134" s="823" t="s">
        <v>48</v>
      </c>
      <c r="D134" s="13" t="s">
        <v>7</v>
      </c>
      <c r="E134" s="697">
        <v>85</v>
      </c>
      <c r="F134" s="819">
        <v>32.93</v>
      </c>
      <c r="G134" s="820">
        <f t="shared" si="14"/>
        <v>41.233465387887911</v>
      </c>
      <c r="H134" s="314">
        <f t="shared" ref="H134:H135" si="15">G134*E134</f>
        <v>3504.8445579704726</v>
      </c>
    </row>
    <row r="135" spans="1:8" ht="31.5" customHeight="1">
      <c r="A135" s="397" t="str">
        <f>COMPOSIÇÕES!B648</f>
        <v>COMPOSIÇÃO 32</v>
      </c>
      <c r="B135" s="794" t="s">
        <v>1403</v>
      </c>
      <c r="C135" s="823" t="s">
        <v>1552</v>
      </c>
      <c r="D135" s="13" t="s">
        <v>7</v>
      </c>
      <c r="E135" s="697">
        <v>85</v>
      </c>
      <c r="F135" s="819">
        <f>COMPOSIÇÕES!G659</f>
        <v>57.403300000000002</v>
      </c>
      <c r="G135" s="820">
        <f t="shared" si="14"/>
        <v>71.877831269375832</v>
      </c>
      <c r="H135" s="314">
        <f t="shared" si="15"/>
        <v>6109.6156578969458</v>
      </c>
    </row>
    <row r="136" spans="1:8">
      <c r="A136" s="948"/>
      <c r="B136" s="949"/>
      <c r="C136" s="949"/>
      <c r="D136" s="949"/>
      <c r="E136" s="949"/>
      <c r="F136" s="949"/>
      <c r="G136" s="949"/>
      <c r="H136" s="950"/>
    </row>
    <row r="137" spans="1:8">
      <c r="A137" s="4"/>
      <c r="B137" s="4" t="s">
        <v>1404</v>
      </c>
      <c r="C137" s="5" t="s">
        <v>895</v>
      </c>
      <c r="D137" s="4"/>
      <c r="E137" s="6"/>
      <c r="F137" s="7"/>
      <c r="G137" s="7"/>
      <c r="H137" s="7">
        <f>SUM(H138:H140)</f>
        <v>126798.84619108129</v>
      </c>
    </row>
    <row r="138" spans="1:8" ht="24">
      <c r="A138" s="398" t="str">
        <f>COMPOSIÇÕES!B590</f>
        <v xml:space="preserve">COMPOSIÇÃO 26 </v>
      </c>
      <c r="B138" s="15" t="s">
        <v>1405</v>
      </c>
      <c r="C138" s="811" t="s">
        <v>777</v>
      </c>
      <c r="D138" s="16" t="s">
        <v>7</v>
      </c>
      <c r="E138" s="697">
        <v>1031.6400000000001</v>
      </c>
      <c r="F138" s="697">
        <f>COMPOSIÇÕES!G597</f>
        <v>89.478000000000009</v>
      </c>
      <c r="G138" s="820">
        <f t="shared" ref="G138:G140" si="16">F138+F138*$H$11</f>
        <v>112.04032845361175</v>
      </c>
      <c r="H138" s="401">
        <f>G138*E138</f>
        <v>115585.28444588404</v>
      </c>
    </row>
    <row r="139" spans="1:8" ht="36">
      <c r="A139" s="398" t="s">
        <v>1408</v>
      </c>
      <c r="B139" s="15" t="s">
        <v>1406</v>
      </c>
      <c r="C139" s="812" t="s">
        <v>778</v>
      </c>
      <c r="D139" s="16" t="s">
        <v>7</v>
      </c>
      <c r="E139" s="697">
        <f>'MEMORIA DE CAL QUADRA'!L758</f>
        <v>51.88</v>
      </c>
      <c r="F139" s="697">
        <v>56.45</v>
      </c>
      <c r="G139" s="820">
        <f t="shared" si="16"/>
        <v>70.684151872039862</v>
      </c>
      <c r="H139" s="401">
        <f t="shared" ref="H139:H140" si="17">G139*E139</f>
        <v>3667.0937991214282</v>
      </c>
    </row>
    <row r="140" spans="1:8" ht="24">
      <c r="A140" s="398" t="s">
        <v>1409</v>
      </c>
      <c r="B140" s="15" t="s">
        <v>1407</v>
      </c>
      <c r="C140" s="812" t="s">
        <v>779</v>
      </c>
      <c r="D140" s="16" t="s">
        <v>7</v>
      </c>
      <c r="E140" s="697">
        <v>64.319999999999993</v>
      </c>
      <c r="F140" s="697">
        <v>93.7</v>
      </c>
      <c r="G140" s="820">
        <f t="shared" si="16"/>
        <v>117.32692702232303</v>
      </c>
      <c r="H140" s="401">
        <f t="shared" si="17"/>
        <v>7546.4679460758171</v>
      </c>
    </row>
    <row r="141" spans="1:8">
      <c r="A141" s="948"/>
      <c r="B141" s="949"/>
      <c r="C141" s="949"/>
      <c r="D141" s="949"/>
      <c r="E141" s="949"/>
      <c r="F141" s="949"/>
      <c r="G141" s="949"/>
      <c r="H141" s="950"/>
    </row>
    <row r="142" spans="1:8">
      <c r="A142" s="4"/>
      <c r="B142" s="4" t="s">
        <v>1410</v>
      </c>
      <c r="C142" s="5" t="s">
        <v>516</v>
      </c>
      <c r="D142" s="4"/>
      <c r="E142" s="6"/>
      <c r="F142" s="7"/>
      <c r="G142" s="194"/>
      <c r="H142" s="7">
        <f>SUM(H143)</f>
        <v>7968.4181489193697</v>
      </c>
    </row>
    <row r="143" spans="1:8" ht="24">
      <c r="A143" s="398" t="s">
        <v>1411</v>
      </c>
      <c r="B143" s="216" t="s">
        <v>1412</v>
      </c>
      <c r="C143" s="811" t="s">
        <v>780</v>
      </c>
      <c r="D143" s="16" t="s">
        <v>7</v>
      </c>
      <c r="E143" s="697">
        <v>179.16</v>
      </c>
      <c r="F143" s="697">
        <v>35.520000000000003</v>
      </c>
      <c r="G143" s="820">
        <f t="shared" ref="G143:G148" si="18">F143+F143*$H$11</f>
        <v>44.476546935249885</v>
      </c>
      <c r="H143" s="401">
        <f>G143*E143</f>
        <v>7968.4181489193697</v>
      </c>
    </row>
    <row r="144" spans="1:8">
      <c r="A144" s="4"/>
      <c r="B144" s="4" t="s">
        <v>1415</v>
      </c>
      <c r="C144" s="5" t="s">
        <v>781</v>
      </c>
      <c r="D144" s="4"/>
      <c r="E144" s="6"/>
      <c r="F144" s="7"/>
      <c r="G144" s="194"/>
      <c r="H144" s="7">
        <f>SUM(H145:H148)</f>
        <v>42357.720301319663</v>
      </c>
    </row>
    <row r="145" spans="1:8">
      <c r="A145" s="398" t="str">
        <f>COMPOSIÇÕES!B663</f>
        <v>COMPOSIÇÃO 33</v>
      </c>
      <c r="B145" s="15" t="s">
        <v>1419</v>
      </c>
      <c r="C145" s="824" t="s">
        <v>782</v>
      </c>
      <c r="D145" s="16" t="s">
        <v>7</v>
      </c>
      <c r="E145" s="697">
        <v>61.2</v>
      </c>
      <c r="F145" s="819">
        <f>COMPOSIÇÕES!G669</f>
        <v>82.43</v>
      </c>
      <c r="G145" s="820">
        <f t="shared" si="18"/>
        <v>103.2151397486669</v>
      </c>
      <c r="H145" s="314">
        <f>G145*E145</f>
        <v>6316.7665526184146</v>
      </c>
    </row>
    <row r="146" spans="1:8" ht="24">
      <c r="A146" s="398" t="str">
        <f>COMPOSIÇÕES!B671</f>
        <v>COMPOSIÇÃO 34</v>
      </c>
      <c r="B146" s="15" t="s">
        <v>1420</v>
      </c>
      <c r="C146" s="812" t="str">
        <f>UPPER("Pintura de proteção sobre superfícies metálicas com aplicação de 02 demão de tinta epoxi fundo óxido de ferro - R1")</f>
        <v>PINTURA DE PROTEÇÃO SOBRE SUPERFÍCIES METÁLICAS COM APLICAÇÃO DE 02 DEMÃO DE TINTA EPOXI FUNDO ÓXIDO DE FERRO - R1</v>
      </c>
      <c r="D146" s="16" t="s">
        <v>7</v>
      </c>
      <c r="E146" s="697">
        <v>298.67</v>
      </c>
      <c r="F146" s="819">
        <f>COMPOSIÇÕES!G677</f>
        <v>22.43</v>
      </c>
      <c r="G146" s="820">
        <f t="shared" si="18"/>
        <v>28.085837493177223</v>
      </c>
      <c r="H146" s="314">
        <f t="shared" ref="H146:H148" si="19">G146*E146</f>
        <v>8388.3970840872425</v>
      </c>
    </row>
    <row r="147" spans="1:8" ht="36">
      <c r="A147" s="398" t="s">
        <v>1413</v>
      </c>
      <c r="B147" s="15" t="s">
        <v>1421</v>
      </c>
      <c r="C147" s="159" t="s">
        <v>783</v>
      </c>
      <c r="D147" s="16" t="s">
        <v>7</v>
      </c>
      <c r="E147" s="697">
        <v>298.67</v>
      </c>
      <c r="F147" s="819">
        <v>19.11</v>
      </c>
      <c r="G147" s="820">
        <f t="shared" si="18"/>
        <v>23.928682768373459</v>
      </c>
      <c r="H147" s="314">
        <f t="shared" si="19"/>
        <v>7146.7796824301013</v>
      </c>
    </row>
    <row r="148" spans="1:8" ht="36">
      <c r="A148" s="398" t="s">
        <v>1414</v>
      </c>
      <c r="B148" s="15" t="s">
        <v>1422</v>
      </c>
      <c r="C148" s="159" t="s">
        <v>784</v>
      </c>
      <c r="D148" s="13" t="s">
        <v>7</v>
      </c>
      <c r="E148" s="697">
        <v>874.34</v>
      </c>
      <c r="F148" s="819">
        <v>18.73</v>
      </c>
      <c r="G148" s="820">
        <f t="shared" si="18"/>
        <v>23.45286385408869</v>
      </c>
      <c r="H148" s="314">
        <f t="shared" si="19"/>
        <v>20505.776982183907</v>
      </c>
    </row>
    <row r="149" spans="1:8">
      <c r="A149" s="4"/>
      <c r="B149" s="4" t="s">
        <v>1416</v>
      </c>
      <c r="C149" s="5" t="s">
        <v>785</v>
      </c>
      <c r="D149" s="4"/>
      <c r="E149" s="6"/>
      <c r="F149" s="7"/>
      <c r="G149" s="194"/>
      <c r="H149" s="7"/>
    </row>
    <row r="150" spans="1:8">
      <c r="A150" s="4"/>
      <c r="B150" s="4" t="s">
        <v>1425</v>
      </c>
      <c r="C150" s="5" t="s">
        <v>786</v>
      </c>
      <c r="D150" s="4"/>
      <c r="E150" s="6"/>
      <c r="F150" s="7"/>
      <c r="G150" s="194"/>
      <c r="H150" s="7">
        <f>SUM(H151:H152)</f>
        <v>2030.5697382606227</v>
      </c>
    </row>
    <row r="151" spans="1:8" ht="24">
      <c r="A151" s="397" t="s">
        <v>1423</v>
      </c>
      <c r="B151" s="15" t="s">
        <v>1486</v>
      </c>
      <c r="C151" s="812" t="s">
        <v>787</v>
      </c>
      <c r="D151" s="396" t="s">
        <v>77</v>
      </c>
      <c r="E151" s="697">
        <v>22</v>
      </c>
      <c r="F151" s="819">
        <v>60.97</v>
      </c>
      <c r="G151" s="820">
        <f t="shared" ref="G151:G177" si="20">F151+F151*$H$11</f>
        <v>76.343892641953417</v>
      </c>
      <c r="H151" s="314">
        <f>G151*E151</f>
        <v>1679.5656381229751</v>
      </c>
    </row>
    <row r="152" spans="1:8" ht="36">
      <c r="A152" s="397" t="s">
        <v>1424</v>
      </c>
      <c r="B152" s="15" t="s">
        <v>1482</v>
      </c>
      <c r="C152" s="812" t="s">
        <v>788</v>
      </c>
      <c r="D152" s="396" t="s">
        <v>21</v>
      </c>
      <c r="E152" s="697">
        <v>12</v>
      </c>
      <c r="F152" s="819">
        <v>23.36</v>
      </c>
      <c r="G152" s="820">
        <f t="shared" si="20"/>
        <v>29.25034167813731</v>
      </c>
      <c r="H152" s="314">
        <f>G152*E152</f>
        <v>351.0041001376477</v>
      </c>
    </row>
    <row r="153" spans="1:8">
      <c r="A153" s="4"/>
      <c r="B153" s="4" t="s">
        <v>1417</v>
      </c>
      <c r="C153" s="5" t="s">
        <v>789</v>
      </c>
      <c r="D153" s="4"/>
      <c r="E153" s="6"/>
      <c r="F153" s="7"/>
      <c r="G153" s="194"/>
      <c r="H153" s="7">
        <f>SUM(H154)</f>
        <v>402.43261184160559</v>
      </c>
    </row>
    <row r="154" spans="1:8">
      <c r="A154" s="794" t="str">
        <f>COMPOSIÇÕES!B679</f>
        <v>COMPOSIÇÃO 35</v>
      </c>
      <c r="B154" s="15" t="s">
        <v>1434</v>
      </c>
      <c r="C154" s="812" t="s">
        <v>790</v>
      </c>
      <c r="D154" s="396" t="s">
        <v>751</v>
      </c>
      <c r="E154" s="697">
        <v>4</v>
      </c>
      <c r="F154" s="697">
        <f>COMPOSIÇÕES!G685</f>
        <v>80.347999999999999</v>
      </c>
      <c r="G154" s="820">
        <f t="shared" si="20"/>
        <v>100.6081529604014</v>
      </c>
      <c r="H154" s="401">
        <f>G154*E154</f>
        <v>402.43261184160559</v>
      </c>
    </row>
    <row r="155" spans="1:8">
      <c r="A155" s="4"/>
      <c r="B155" s="4" t="s">
        <v>1418</v>
      </c>
      <c r="C155" s="5" t="s">
        <v>1426</v>
      </c>
      <c r="D155" s="4"/>
      <c r="E155" s="6"/>
      <c r="F155" s="7"/>
      <c r="G155" s="194"/>
      <c r="H155" s="7">
        <f>SUM(H156:H162)</f>
        <v>1816.7767871422514</v>
      </c>
    </row>
    <row r="156" spans="1:8" ht="36">
      <c r="A156" s="402" t="s">
        <v>1427</v>
      </c>
      <c r="B156" s="15" t="s">
        <v>1443</v>
      </c>
      <c r="C156" s="812" t="s">
        <v>792</v>
      </c>
      <c r="D156" s="16" t="s">
        <v>21</v>
      </c>
      <c r="E156" s="697">
        <v>1</v>
      </c>
      <c r="F156" s="819">
        <v>467.74</v>
      </c>
      <c r="G156" s="820">
        <f t="shared" si="20"/>
        <v>585.68299728304567</v>
      </c>
      <c r="H156" s="314">
        <f t="shared" ref="H156:H162" si="21">G156*E156</f>
        <v>585.68299728304567</v>
      </c>
    </row>
    <row r="157" spans="1:8">
      <c r="A157" s="402" t="s">
        <v>1428</v>
      </c>
      <c r="B157" s="15" t="s">
        <v>1444</v>
      </c>
      <c r="C157" s="825" t="s">
        <v>917</v>
      </c>
      <c r="D157" s="16" t="s">
        <v>21</v>
      </c>
      <c r="E157" s="697">
        <v>1</v>
      </c>
      <c r="F157" s="819">
        <v>91.19</v>
      </c>
      <c r="G157" s="820">
        <f t="shared" si="20"/>
        <v>114.18401787796839</v>
      </c>
      <c r="H157" s="314">
        <f t="shared" si="21"/>
        <v>114.18401787796839</v>
      </c>
    </row>
    <row r="158" spans="1:8" ht="24">
      <c r="A158" s="402" t="s">
        <v>1429</v>
      </c>
      <c r="B158" s="15" t="s">
        <v>1445</v>
      </c>
      <c r="C158" s="812" t="s">
        <v>793</v>
      </c>
      <c r="D158" s="16" t="s">
        <v>21</v>
      </c>
      <c r="E158" s="697">
        <v>1</v>
      </c>
      <c r="F158" s="819">
        <v>61.63</v>
      </c>
      <c r="G158" s="820">
        <f t="shared" si="20"/>
        <v>77.170314966763812</v>
      </c>
      <c r="H158" s="314">
        <f t="shared" si="21"/>
        <v>77.170314966763812</v>
      </c>
    </row>
    <row r="159" spans="1:8" ht="24">
      <c r="A159" s="402" t="s">
        <v>1430</v>
      </c>
      <c r="B159" s="15" t="s">
        <v>1446</v>
      </c>
      <c r="C159" s="812" t="s">
        <v>794</v>
      </c>
      <c r="D159" s="16" t="s">
        <v>21</v>
      </c>
      <c r="E159" s="697">
        <v>5</v>
      </c>
      <c r="F159" s="819">
        <v>64.59</v>
      </c>
      <c r="G159" s="820">
        <f t="shared" si="20"/>
        <v>80.876693878034629</v>
      </c>
      <c r="H159" s="314">
        <f t="shared" si="21"/>
        <v>404.38346939017316</v>
      </c>
    </row>
    <row r="160" spans="1:8" ht="24">
      <c r="A160" s="402" t="s">
        <v>1431</v>
      </c>
      <c r="B160" s="15" t="s">
        <v>1447</v>
      </c>
      <c r="C160" s="812" t="s">
        <v>795</v>
      </c>
      <c r="D160" s="16" t="s">
        <v>21</v>
      </c>
      <c r="E160" s="697">
        <v>2</v>
      </c>
      <c r="F160" s="819">
        <v>64.59</v>
      </c>
      <c r="G160" s="820">
        <f t="shared" si="20"/>
        <v>80.876693878034629</v>
      </c>
      <c r="H160" s="314">
        <f t="shared" si="21"/>
        <v>161.75338775606926</v>
      </c>
    </row>
    <row r="161" spans="1:8">
      <c r="A161" s="398" t="s">
        <v>1432</v>
      </c>
      <c r="B161" s="15" t="s">
        <v>1448</v>
      </c>
      <c r="C161" s="767" t="s">
        <v>918</v>
      </c>
      <c r="D161" s="16" t="s">
        <v>21</v>
      </c>
      <c r="E161" s="697">
        <v>1</v>
      </c>
      <c r="F161" s="819">
        <v>140.03</v>
      </c>
      <c r="G161" s="820">
        <f t="shared" si="20"/>
        <v>175.33926991393696</v>
      </c>
      <c r="H161" s="314">
        <f t="shared" si="21"/>
        <v>175.33926991393696</v>
      </c>
    </row>
    <row r="162" spans="1:8">
      <c r="A162" s="402" t="s">
        <v>1433</v>
      </c>
      <c r="B162" s="15" t="s">
        <v>1449</v>
      </c>
      <c r="C162" s="767" t="s">
        <v>919</v>
      </c>
      <c r="D162" s="16" t="s">
        <v>21</v>
      </c>
      <c r="E162" s="697">
        <v>2</v>
      </c>
      <c r="F162" s="819">
        <v>119.1</v>
      </c>
      <c r="G162" s="820">
        <f t="shared" si="20"/>
        <v>149.13166497714698</v>
      </c>
      <c r="H162" s="314">
        <f t="shared" si="21"/>
        <v>298.26332995429397</v>
      </c>
    </row>
    <row r="163" spans="1:8">
      <c r="A163" s="4"/>
      <c r="B163" s="4" t="s">
        <v>1450</v>
      </c>
      <c r="C163" s="5" t="s">
        <v>913</v>
      </c>
      <c r="D163" s="4"/>
      <c r="E163" s="6"/>
      <c r="F163" s="7"/>
      <c r="G163" s="194"/>
      <c r="H163" s="7">
        <f>SUM(H164:H171)</f>
        <v>3406.0620470548802</v>
      </c>
    </row>
    <row r="164" spans="1:8" ht="24">
      <c r="A164" s="406" t="s">
        <v>1435</v>
      </c>
      <c r="B164" s="15" t="s">
        <v>1453</v>
      </c>
      <c r="C164" s="812" t="s">
        <v>798</v>
      </c>
      <c r="D164" s="16" t="s">
        <v>77</v>
      </c>
      <c r="E164" s="697">
        <v>70</v>
      </c>
      <c r="F164" s="819">
        <v>22.01</v>
      </c>
      <c r="G164" s="820">
        <f t="shared" si="20"/>
        <v>27.559932377388797</v>
      </c>
      <c r="H164" s="314">
        <f t="shared" ref="H164:H171" si="22">G164*E164</f>
        <v>1929.1952664172159</v>
      </c>
    </row>
    <row r="165" spans="1:8" ht="36">
      <c r="A165" s="406" t="s">
        <v>1436</v>
      </c>
      <c r="B165" s="15" t="s">
        <v>1454</v>
      </c>
      <c r="C165" s="812" t="s">
        <v>799</v>
      </c>
      <c r="D165" s="16" t="s">
        <v>77</v>
      </c>
      <c r="E165" s="697">
        <v>10</v>
      </c>
      <c r="F165" s="819">
        <v>39.29</v>
      </c>
      <c r="G165" s="820">
        <f t="shared" si="20"/>
        <v>49.197171426969817</v>
      </c>
      <c r="H165" s="314">
        <f t="shared" si="22"/>
        <v>491.97171426969817</v>
      </c>
    </row>
    <row r="166" spans="1:8" ht="24">
      <c r="A166" s="398" t="s">
        <v>1437</v>
      </c>
      <c r="B166" s="15" t="s">
        <v>1483</v>
      </c>
      <c r="C166" s="812" t="s">
        <v>800</v>
      </c>
      <c r="D166" s="16" t="s">
        <v>21</v>
      </c>
      <c r="E166" s="697">
        <v>5</v>
      </c>
      <c r="F166" s="819">
        <v>16.760000000000002</v>
      </c>
      <c r="G166" s="820">
        <f t="shared" si="20"/>
        <v>20.98611843003345</v>
      </c>
      <c r="H166" s="314">
        <f t="shared" si="22"/>
        <v>104.93059215016726</v>
      </c>
    </row>
    <row r="167" spans="1:8" ht="24">
      <c r="A167" s="398" t="s">
        <v>1438</v>
      </c>
      <c r="B167" s="15" t="s">
        <v>1484</v>
      </c>
      <c r="C167" s="812" t="s">
        <v>801</v>
      </c>
      <c r="D167" s="16" t="s">
        <v>21</v>
      </c>
      <c r="E167" s="697">
        <v>4</v>
      </c>
      <c r="F167" s="819">
        <v>18.84</v>
      </c>
      <c r="G167" s="820">
        <f t="shared" si="20"/>
        <v>23.590600908223756</v>
      </c>
      <c r="H167" s="314">
        <f t="shared" si="22"/>
        <v>94.362403632895024</v>
      </c>
    </row>
    <row r="168" spans="1:8" ht="24">
      <c r="A168" s="398" t="s">
        <v>1439</v>
      </c>
      <c r="B168" s="15" t="s">
        <v>1485</v>
      </c>
      <c r="C168" s="812" t="s">
        <v>802</v>
      </c>
      <c r="D168" s="16" t="s">
        <v>21</v>
      </c>
      <c r="E168" s="697">
        <v>1</v>
      </c>
      <c r="F168" s="819">
        <v>32.4</v>
      </c>
      <c r="G168" s="820">
        <f t="shared" si="20"/>
        <v>40.569823217964419</v>
      </c>
      <c r="H168" s="314">
        <f t="shared" si="22"/>
        <v>40.569823217964419</v>
      </c>
    </row>
    <row r="169" spans="1:8">
      <c r="A169" s="398" t="s">
        <v>1440</v>
      </c>
      <c r="B169" s="15" t="s">
        <v>1487</v>
      </c>
      <c r="C169" s="767" t="s">
        <v>920</v>
      </c>
      <c r="D169" s="16" t="s">
        <v>21</v>
      </c>
      <c r="E169" s="697">
        <v>44</v>
      </c>
      <c r="F169" s="819">
        <v>6.67</v>
      </c>
      <c r="G169" s="820">
        <f t="shared" si="20"/>
        <v>8.3518741007352677</v>
      </c>
      <c r="H169" s="314">
        <f t="shared" si="22"/>
        <v>367.48246043235179</v>
      </c>
    </row>
    <row r="170" spans="1:8" ht="36">
      <c r="A170" s="398" t="s">
        <v>1441</v>
      </c>
      <c r="B170" s="15" t="s">
        <v>1488</v>
      </c>
      <c r="C170" s="159" t="s">
        <v>803</v>
      </c>
      <c r="D170" s="16" t="s">
        <v>21</v>
      </c>
      <c r="E170" s="697">
        <v>12</v>
      </c>
      <c r="F170" s="819">
        <v>19.27</v>
      </c>
      <c r="G170" s="820">
        <f t="shared" si="20"/>
        <v>24.129027574388097</v>
      </c>
      <c r="H170" s="314">
        <f t="shared" si="22"/>
        <v>289.54833089265719</v>
      </c>
    </row>
    <row r="171" spans="1:8" ht="36">
      <c r="A171" s="398" t="s">
        <v>1442</v>
      </c>
      <c r="B171" s="15" t="s">
        <v>1489</v>
      </c>
      <c r="C171" s="812" t="s">
        <v>804</v>
      </c>
      <c r="D171" s="16" t="s">
        <v>21</v>
      </c>
      <c r="E171" s="697">
        <v>2</v>
      </c>
      <c r="F171" s="819">
        <v>35.14</v>
      </c>
      <c r="G171" s="820">
        <f t="shared" si="20"/>
        <v>44.000728020965113</v>
      </c>
      <c r="H171" s="314">
        <f t="shared" si="22"/>
        <v>88.001456041930226</v>
      </c>
    </row>
    <row r="172" spans="1:8">
      <c r="A172" s="4"/>
      <c r="B172" s="4" t="s">
        <v>1455</v>
      </c>
      <c r="C172" s="5" t="s">
        <v>805</v>
      </c>
      <c r="D172" s="4"/>
      <c r="E172" s="6"/>
      <c r="F172" s="7"/>
      <c r="G172" s="194"/>
      <c r="H172" s="7">
        <f>SUM(H173:H174)</f>
        <v>2395.9986644313249</v>
      </c>
    </row>
    <row r="173" spans="1:8" ht="24">
      <c r="A173" s="406" t="s">
        <v>1451</v>
      </c>
      <c r="B173" s="15" t="s">
        <v>1457</v>
      </c>
      <c r="C173" s="812" t="s">
        <v>806</v>
      </c>
      <c r="D173" s="16" t="s">
        <v>77</v>
      </c>
      <c r="E173" s="697">
        <v>3</v>
      </c>
      <c r="F173" s="697">
        <v>4.0999999999999996</v>
      </c>
      <c r="G173" s="820">
        <f t="shared" si="20"/>
        <v>5.1338356541251269</v>
      </c>
      <c r="H173" s="401">
        <f t="shared" ref="H173:H174" si="23">G173*E173</f>
        <v>15.401506962375381</v>
      </c>
    </row>
    <row r="174" spans="1:8" ht="24">
      <c r="A174" s="406" t="s">
        <v>1452</v>
      </c>
      <c r="B174" s="15" t="s">
        <v>1458</v>
      </c>
      <c r="C174" s="812" t="s">
        <v>807</v>
      </c>
      <c r="D174" s="16" t="s">
        <v>77</v>
      </c>
      <c r="E174" s="697">
        <v>280</v>
      </c>
      <c r="F174" s="697">
        <v>6.79</v>
      </c>
      <c r="G174" s="820">
        <f t="shared" si="20"/>
        <v>8.5021327052462468</v>
      </c>
      <c r="H174" s="401">
        <f t="shared" si="23"/>
        <v>2380.5971574689493</v>
      </c>
    </row>
    <row r="175" spans="1:8">
      <c r="A175" s="4"/>
      <c r="B175" s="4" t="s">
        <v>1460</v>
      </c>
      <c r="C175" s="5" t="s">
        <v>808</v>
      </c>
      <c r="D175" s="4"/>
      <c r="E175" s="6"/>
      <c r="F175" s="7"/>
      <c r="G175" s="194"/>
      <c r="H175" s="7">
        <f>SUM(H176:H177)</f>
        <v>14355.556816374456</v>
      </c>
    </row>
    <row r="176" spans="1:8" ht="24">
      <c r="A176" s="406" t="s">
        <v>1456</v>
      </c>
      <c r="B176" s="15" t="s">
        <v>1463</v>
      </c>
      <c r="C176" s="812" t="s">
        <v>809</v>
      </c>
      <c r="D176" s="16" t="s">
        <v>21</v>
      </c>
      <c r="E176" s="697">
        <v>1</v>
      </c>
      <c r="F176" s="697">
        <v>31.68</v>
      </c>
      <c r="G176" s="820">
        <f t="shared" si="20"/>
        <v>39.668271590898541</v>
      </c>
      <c r="H176" s="401">
        <f t="shared" ref="H176:H177" si="24">G176*E176</f>
        <v>39.668271590898541</v>
      </c>
    </row>
    <row r="177" spans="1:8">
      <c r="A177" s="398" t="str">
        <f>COMPOSIÇÕES!B687</f>
        <v>COMPOSIÇÃO 36</v>
      </c>
      <c r="B177" s="15" t="s">
        <v>1464</v>
      </c>
      <c r="C177" s="812" t="s">
        <v>810</v>
      </c>
      <c r="D177" s="16" t="s">
        <v>21</v>
      </c>
      <c r="E177" s="697">
        <v>20</v>
      </c>
      <c r="F177" s="697">
        <f>COMPOSIÇÕES!G693</f>
        <v>571.65</v>
      </c>
      <c r="G177" s="820">
        <f t="shared" si="20"/>
        <v>715.79442723917782</v>
      </c>
      <c r="H177" s="401">
        <f t="shared" si="24"/>
        <v>14315.888544783556</v>
      </c>
    </row>
    <row r="178" spans="1:8">
      <c r="A178" s="951"/>
      <c r="B178" s="952"/>
      <c r="C178" s="952"/>
      <c r="D178" s="952"/>
      <c r="E178" s="952"/>
      <c r="F178" s="952"/>
      <c r="G178" s="952"/>
      <c r="H178" s="953"/>
    </row>
    <row r="179" spans="1:8">
      <c r="A179" s="4"/>
      <c r="B179" s="4" t="s">
        <v>1461</v>
      </c>
      <c r="C179" s="5" t="s">
        <v>1459</v>
      </c>
      <c r="D179" s="4"/>
      <c r="E179" s="6"/>
      <c r="F179" s="7"/>
      <c r="G179" s="7"/>
      <c r="H179" s="7">
        <f>SUM(H180:H190)</f>
        <v>17079.707751507376</v>
      </c>
    </row>
    <row r="180" spans="1:8" ht="24">
      <c r="A180" s="397" t="s">
        <v>1465</v>
      </c>
      <c r="B180" s="794" t="s">
        <v>1473</v>
      </c>
      <c r="C180" s="812" t="s">
        <v>811</v>
      </c>
      <c r="D180" s="19" t="s">
        <v>21</v>
      </c>
      <c r="E180" s="697">
        <v>5</v>
      </c>
      <c r="F180" s="819">
        <v>70.569999999999993</v>
      </c>
      <c r="G180" s="820">
        <f t="shared" ref="G180:G190" si="25">F180+F180*$H$11</f>
        <v>88.364581002831756</v>
      </c>
      <c r="H180" s="314">
        <f t="shared" ref="H180:H190" si="26">G180*E180</f>
        <v>441.82290501415878</v>
      </c>
    </row>
    <row r="181" spans="1:8" ht="30.75" customHeight="1">
      <c r="A181" s="398" t="str">
        <f>COMPOSIÇÕES!B696</f>
        <v>COMPOSIÇÃO 37</v>
      </c>
      <c r="B181" s="794" t="s">
        <v>1490</v>
      </c>
      <c r="C181" s="824" t="s">
        <v>812</v>
      </c>
      <c r="D181" s="19" t="s">
        <v>21</v>
      </c>
      <c r="E181" s="697">
        <v>1</v>
      </c>
      <c r="F181" s="819">
        <f>COMPOSIÇÕES!G702</f>
        <v>1023.84</v>
      </c>
      <c r="G181" s="820">
        <f t="shared" si="25"/>
        <v>1282.0064136876758</v>
      </c>
      <c r="H181" s="314">
        <f t="shared" si="26"/>
        <v>1282.0064136876758</v>
      </c>
    </row>
    <row r="182" spans="1:8" ht="24">
      <c r="A182" s="397" t="s">
        <v>1466</v>
      </c>
      <c r="B182" s="794" t="s">
        <v>1491</v>
      </c>
      <c r="C182" s="812" t="s">
        <v>813</v>
      </c>
      <c r="D182" s="19" t="s">
        <v>77</v>
      </c>
      <c r="E182" s="697">
        <v>17.5</v>
      </c>
      <c r="F182" s="819">
        <v>61.59</v>
      </c>
      <c r="G182" s="820">
        <f t="shared" si="25"/>
        <v>77.120228765260151</v>
      </c>
      <c r="H182" s="314">
        <f t="shared" si="26"/>
        <v>1349.6040033920526</v>
      </c>
    </row>
    <row r="183" spans="1:8" ht="24">
      <c r="A183" s="397" t="s">
        <v>1467</v>
      </c>
      <c r="B183" s="794" t="s">
        <v>1492</v>
      </c>
      <c r="C183" s="812" t="s">
        <v>814</v>
      </c>
      <c r="D183" s="19" t="s">
        <v>77</v>
      </c>
      <c r="E183" s="697">
        <v>110</v>
      </c>
      <c r="F183" s="819">
        <v>80.41</v>
      </c>
      <c r="G183" s="820">
        <f t="shared" si="25"/>
        <v>100.68578657273207</v>
      </c>
      <c r="H183" s="314">
        <f t="shared" si="26"/>
        <v>11075.436523000528</v>
      </c>
    </row>
    <row r="184" spans="1:8" ht="24">
      <c r="A184" s="398" t="s">
        <v>1468</v>
      </c>
      <c r="B184" s="794" t="s">
        <v>1493</v>
      </c>
      <c r="C184" s="812" t="s">
        <v>815</v>
      </c>
      <c r="D184" s="19" t="s">
        <v>77</v>
      </c>
      <c r="E184" s="697">
        <v>19</v>
      </c>
      <c r="F184" s="819">
        <v>16.3</v>
      </c>
      <c r="G184" s="820">
        <f t="shared" si="25"/>
        <v>20.41012711274136</v>
      </c>
      <c r="H184" s="314">
        <f t="shared" si="26"/>
        <v>387.79241514208587</v>
      </c>
    </row>
    <row r="185" spans="1:8" ht="24">
      <c r="A185" s="407" t="s">
        <v>1305</v>
      </c>
      <c r="B185" s="794" t="s">
        <v>1494</v>
      </c>
      <c r="C185" s="812" t="s">
        <v>759</v>
      </c>
      <c r="D185" s="19" t="s">
        <v>15</v>
      </c>
      <c r="E185" s="697">
        <v>16.5</v>
      </c>
      <c r="F185" s="819">
        <v>68.510000000000005</v>
      </c>
      <c r="G185" s="820">
        <f t="shared" si="25"/>
        <v>85.785141625393294</v>
      </c>
      <c r="H185" s="314">
        <f t="shared" si="26"/>
        <v>1415.4548368189894</v>
      </c>
    </row>
    <row r="186" spans="1:8">
      <c r="A186" s="398" t="s">
        <v>1307</v>
      </c>
      <c r="B186" s="794" t="s">
        <v>1495</v>
      </c>
      <c r="C186" s="812" t="s">
        <v>709</v>
      </c>
      <c r="D186" s="19" t="s">
        <v>15</v>
      </c>
      <c r="E186" s="697">
        <v>16.5</v>
      </c>
      <c r="F186" s="819">
        <v>31.98</v>
      </c>
      <c r="G186" s="820">
        <f t="shared" si="25"/>
        <v>40.043918102175994</v>
      </c>
      <c r="H186" s="314">
        <f t="shared" si="26"/>
        <v>660.72464868590384</v>
      </c>
    </row>
    <row r="187" spans="1:8" ht="24">
      <c r="A187" s="397" t="s">
        <v>1469</v>
      </c>
      <c r="B187" s="794" t="s">
        <v>1496</v>
      </c>
      <c r="C187" s="812" t="s">
        <v>816</v>
      </c>
      <c r="D187" s="19" t="s">
        <v>21</v>
      </c>
      <c r="E187" s="697">
        <v>5</v>
      </c>
      <c r="F187" s="819">
        <v>31.18</v>
      </c>
      <c r="G187" s="820">
        <f t="shared" si="25"/>
        <v>39.042194072102795</v>
      </c>
      <c r="H187" s="314">
        <f t="shared" si="26"/>
        <v>195.21097036051398</v>
      </c>
    </row>
    <row r="188" spans="1:8">
      <c r="A188" s="408" t="str">
        <f>COMPOSIÇÕES!B704</f>
        <v>COMPOSIÇÃO 38</v>
      </c>
      <c r="B188" s="794" t="s">
        <v>1497</v>
      </c>
      <c r="C188" s="824" t="s">
        <v>1511</v>
      </c>
      <c r="D188" s="19" t="s">
        <v>21</v>
      </c>
      <c r="E188" s="697">
        <v>5</v>
      </c>
      <c r="F188" s="819">
        <f>COMPOSIÇÕES!G709</f>
        <v>9.58</v>
      </c>
      <c r="G188" s="820">
        <f t="shared" si="25"/>
        <v>11.995645260126517</v>
      </c>
      <c r="H188" s="314">
        <f t="shared" si="26"/>
        <v>59.978226300632585</v>
      </c>
    </row>
    <row r="189" spans="1:8" ht="24">
      <c r="A189" s="397" t="s">
        <v>1471</v>
      </c>
      <c r="B189" s="794" t="s">
        <v>1498</v>
      </c>
      <c r="C189" s="812" t="s">
        <v>817</v>
      </c>
      <c r="D189" s="19" t="s">
        <v>21</v>
      </c>
      <c r="E189" s="697">
        <v>5</v>
      </c>
      <c r="F189" s="819">
        <v>21.16</v>
      </c>
      <c r="G189" s="820">
        <f t="shared" si="25"/>
        <v>26.495600595436024</v>
      </c>
      <c r="H189" s="314">
        <f t="shared" si="26"/>
        <v>132.47800297718013</v>
      </c>
    </row>
    <row r="190" spans="1:8">
      <c r="A190" s="408" t="s">
        <v>1470</v>
      </c>
      <c r="B190" s="794" t="s">
        <v>1499</v>
      </c>
      <c r="C190" s="826" t="s">
        <v>818</v>
      </c>
      <c r="D190" s="19" t="s">
        <v>21</v>
      </c>
      <c r="E190" s="697">
        <v>5</v>
      </c>
      <c r="F190" s="819">
        <v>12.65</v>
      </c>
      <c r="G190" s="820">
        <f t="shared" si="25"/>
        <v>15.839761225532406</v>
      </c>
      <c r="H190" s="314">
        <f t="shared" si="26"/>
        <v>79.198806127662039</v>
      </c>
    </row>
    <row r="191" spans="1:8">
      <c r="A191" s="951"/>
      <c r="B191" s="952"/>
      <c r="C191" s="952"/>
      <c r="D191" s="952"/>
      <c r="E191" s="952"/>
      <c r="F191" s="952"/>
      <c r="G191" s="952"/>
      <c r="H191" s="953"/>
    </row>
    <row r="192" spans="1:8">
      <c r="A192" s="4"/>
      <c r="B192" s="4" t="s">
        <v>1462</v>
      </c>
      <c r="C192" s="5" t="s">
        <v>73</v>
      </c>
      <c r="D192" s="4"/>
      <c r="E192" s="6"/>
      <c r="F192" s="7"/>
      <c r="G192" s="7"/>
      <c r="H192" s="7">
        <f>SUM(H193:H193)</f>
        <v>1100.8666607775999</v>
      </c>
    </row>
    <row r="193" spans="1:8">
      <c r="A193" s="409" t="s">
        <v>1472</v>
      </c>
      <c r="B193" s="794" t="s">
        <v>1500</v>
      </c>
      <c r="C193" s="811" t="s">
        <v>819</v>
      </c>
      <c r="D193" s="395" t="s">
        <v>7</v>
      </c>
      <c r="E193" s="697">
        <v>523.32000000000005</v>
      </c>
      <c r="F193" s="697">
        <v>1.68</v>
      </c>
      <c r="G193" s="820">
        <f t="shared" ref="G193" si="27">F193+F193*$H$11</f>
        <v>2.1036204631537108</v>
      </c>
      <c r="H193" s="410">
        <f>G193*E193</f>
        <v>1100.8666607775999</v>
      </c>
    </row>
    <row r="194" spans="1:8">
      <c r="A194" s="782"/>
      <c r="B194" s="783"/>
      <c r="C194" s="801"/>
      <c r="D194" s="802"/>
      <c r="E194" s="803"/>
      <c r="F194" s="804"/>
      <c r="G194" s="805"/>
      <c r="H194" s="806"/>
    </row>
    <row r="195" spans="1:8">
      <c r="A195" s="1132" t="s">
        <v>1474</v>
      </c>
      <c r="B195" s="1132"/>
      <c r="C195" s="1132"/>
      <c r="D195" s="1132"/>
      <c r="E195" s="1132"/>
      <c r="F195" s="1132"/>
      <c r="G195" s="1132"/>
      <c r="H195" s="827">
        <f>SUM(H88,H98,H103,H111,H118,H122,H126,H131,H137,H142,H144,H150,H153,H155,H163,H172,H175,H179,H192)</f>
        <v>827150.56699850503</v>
      </c>
    </row>
    <row r="196" spans="1:8">
      <c r="C196" s="828" t="s">
        <v>1475</v>
      </c>
      <c r="D196" s="829">
        <f>H75</f>
        <v>124939.85457143157</v>
      </c>
    </row>
    <row r="197" spans="1:8" ht="25.5">
      <c r="C197" s="831" t="s">
        <v>1477</v>
      </c>
      <c r="D197" s="829">
        <f>H195</f>
        <v>827150.56699850503</v>
      </c>
    </row>
    <row r="198" spans="1:8" ht="25.5">
      <c r="C198" s="831" t="s">
        <v>1476</v>
      </c>
      <c r="D198" s="830">
        <f>SUM(D196:D197)</f>
        <v>952090.42156993656</v>
      </c>
    </row>
  </sheetData>
  <mergeCells count="85">
    <mergeCell ref="A76:H76"/>
    <mergeCell ref="A75:G75"/>
    <mergeCell ref="I67:L67"/>
    <mergeCell ref="I51:M51"/>
    <mergeCell ref="I54:L54"/>
    <mergeCell ref="I56:L56"/>
    <mergeCell ref="I58:L58"/>
    <mergeCell ref="I59:L59"/>
    <mergeCell ref="I55:L55"/>
    <mergeCell ref="I62:L62"/>
    <mergeCell ref="I63:L63"/>
    <mergeCell ref="I65:L65"/>
    <mergeCell ref="I66:L66"/>
    <mergeCell ref="I70:L70"/>
    <mergeCell ref="A71:H71"/>
    <mergeCell ref="I50:M50"/>
    <mergeCell ref="I36:L36"/>
    <mergeCell ref="I37:L37"/>
    <mergeCell ref="I38:L38"/>
    <mergeCell ref="A39:H39"/>
    <mergeCell ref="I41:L41"/>
    <mergeCell ref="I42:L42"/>
    <mergeCell ref="I43:L43"/>
    <mergeCell ref="I44:L44"/>
    <mergeCell ref="I45:L45"/>
    <mergeCell ref="I49:M49"/>
    <mergeCell ref="I28:M28"/>
    <mergeCell ref="I30:M30"/>
    <mergeCell ref="I31:M31"/>
    <mergeCell ref="I32:M32"/>
    <mergeCell ref="I33:M33"/>
    <mergeCell ref="A13:A14"/>
    <mergeCell ref="B13:B14"/>
    <mergeCell ref="C13:C14"/>
    <mergeCell ref="D13:H13"/>
    <mergeCell ref="A1:B5"/>
    <mergeCell ref="C1:H5"/>
    <mergeCell ref="A6:B7"/>
    <mergeCell ref="C6:H7"/>
    <mergeCell ref="A8:B9"/>
    <mergeCell ref="C8:H9"/>
    <mergeCell ref="A10:B10"/>
    <mergeCell ref="A11:F11"/>
    <mergeCell ref="G11:G12"/>
    <mergeCell ref="H11:H12"/>
    <mergeCell ref="A12:F12"/>
    <mergeCell ref="I17:M17"/>
    <mergeCell ref="I18:M18"/>
    <mergeCell ref="I73:L73"/>
    <mergeCell ref="I57:L57"/>
    <mergeCell ref="A68:H68"/>
    <mergeCell ref="A60:H60"/>
    <mergeCell ref="A52:H52"/>
    <mergeCell ref="A47:H47"/>
    <mergeCell ref="A22:H22"/>
    <mergeCell ref="I29:M29"/>
    <mergeCell ref="I24:L24"/>
    <mergeCell ref="A34:H34"/>
    <mergeCell ref="I19:M19"/>
    <mergeCell ref="I20:M20"/>
    <mergeCell ref="A25:H25"/>
    <mergeCell ref="I27:M27"/>
    <mergeCell ref="A77:B78"/>
    <mergeCell ref="C77:H78"/>
    <mergeCell ref="A79:B80"/>
    <mergeCell ref="C79:H80"/>
    <mergeCell ref="A81:B81"/>
    <mergeCell ref="A82:F82"/>
    <mergeCell ref="G82:G83"/>
    <mergeCell ref="H82:H83"/>
    <mergeCell ref="A83:F83"/>
    <mergeCell ref="A85:A86"/>
    <mergeCell ref="B85:B86"/>
    <mergeCell ref="C85:C86"/>
    <mergeCell ref="D85:H85"/>
    <mergeCell ref="A97:H97"/>
    <mergeCell ref="A102:H102"/>
    <mergeCell ref="A117:H117"/>
    <mergeCell ref="A125:H125"/>
    <mergeCell ref="A130:H130"/>
    <mergeCell ref="A136:H136"/>
    <mergeCell ref="A141:H141"/>
    <mergeCell ref="A178:H178"/>
    <mergeCell ref="A191:H191"/>
    <mergeCell ref="A195:G195"/>
  </mergeCells>
  <hyperlinks>
    <hyperlink ref="C91" r:id="rId1" display="https://sites.seinfra.ce.gov.br/siproce/desonerada/html/C2850.html?a=1620068782190"/>
  </hyperlinks>
  <printOptions horizontalCentered="1"/>
  <pageMargins left="0.51181102362204722" right="0.51181102362204722" top="0.78740157480314965" bottom="0.78740157480314965" header="0.31496062992125984" footer="0.31496062992125984"/>
  <pageSetup paperSize="9" scale="49" orientation="portrait" r:id="rId2"/>
  <headerFooter>
    <oddFooter>Página &amp;P de &amp;N</oddFooter>
  </headerFooter>
  <rowBreaks count="2" manualBreakCount="2">
    <brk id="39" max="7" man="1"/>
    <brk id="75" max="7" man="1"/>
  </row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22</vt:i4>
      </vt:variant>
      <vt:variant>
        <vt:lpstr>Intervalos nomeados</vt:lpstr>
      </vt:variant>
      <vt:variant>
        <vt:i4>38</vt:i4>
      </vt:variant>
    </vt:vector>
  </HeadingPairs>
  <TitlesOfParts>
    <vt:vector size="60" baseType="lpstr">
      <vt:lpstr>ESC. MUN. ANDRE VIDAL</vt:lpstr>
      <vt:lpstr>MEMORIA ANDRE VIDAL</vt:lpstr>
      <vt:lpstr>CRECHE VOVO PESSOINHA</vt:lpstr>
      <vt:lpstr>MEMORIA VOVO PESSOINHHA </vt:lpstr>
      <vt:lpstr>ESC. LAFAYETE NUNES MACHADO</vt:lpstr>
      <vt:lpstr>MEMORIA LAFAYETE</vt:lpstr>
      <vt:lpstr>ESCOLA PASCOAL</vt:lpstr>
      <vt:lpstr>MEMORIA PASCOAL CARRAZONI</vt:lpstr>
      <vt:lpstr>ESCOLA MUNICIPAL DE QUEBEC E Q</vt:lpstr>
      <vt:lpstr>MEMORIA DE CAL QUADRA</vt:lpstr>
      <vt:lpstr>MEMORIA DE CAL QUEBEC</vt:lpstr>
      <vt:lpstr>ESC. MOCINHA BARBALHO</vt:lpstr>
      <vt:lpstr>MEMORIA MOCINHA</vt:lpstr>
      <vt:lpstr>ESC. NIVALDO XAVIER </vt:lpstr>
      <vt:lpstr>MEMORIA NIVALDO</vt:lpstr>
      <vt:lpstr>ESC. JULIO MARIA</vt:lpstr>
      <vt:lpstr>MEMORIA JULIO MARIA</vt:lpstr>
      <vt:lpstr>COMPOSIÇÕES</vt:lpstr>
      <vt:lpstr>RESUMO</vt:lpstr>
      <vt:lpstr>CRONOGRAMA</vt:lpstr>
      <vt:lpstr>ENCARGOS SOCIAIS</vt:lpstr>
      <vt:lpstr>BDI</vt:lpstr>
      <vt:lpstr>BDI!Area_de_impressao</vt:lpstr>
      <vt:lpstr>COMPOSIÇÕES!Area_de_impressao</vt:lpstr>
      <vt:lpstr>'CRECHE VOVO PESSOINHA'!Area_de_impressao</vt:lpstr>
      <vt:lpstr>CRONOGRAMA!Area_de_impressao</vt:lpstr>
      <vt:lpstr>'ENCARGOS SOCIAIS'!Area_de_impressao</vt:lpstr>
      <vt:lpstr>'ESC. JULIO MARIA'!Area_de_impressao</vt:lpstr>
      <vt:lpstr>'ESC. LAFAYETE NUNES MACHADO'!Area_de_impressao</vt:lpstr>
      <vt:lpstr>'ESC. MOCINHA BARBALHO'!Area_de_impressao</vt:lpstr>
      <vt:lpstr>'ESC. MUN. ANDRE VIDAL'!Area_de_impressao</vt:lpstr>
      <vt:lpstr>'ESC. NIVALDO XAVIER '!Area_de_impressao</vt:lpstr>
      <vt:lpstr>'ESCOLA MUNICIPAL DE QUEBEC E Q'!Area_de_impressao</vt:lpstr>
      <vt:lpstr>'ESCOLA PASCOAL'!Area_de_impressao</vt:lpstr>
      <vt:lpstr>'MEMORIA ANDRE VIDAL'!Area_de_impressao</vt:lpstr>
      <vt:lpstr>'MEMORIA DE CAL QUADRA'!Area_de_impressao</vt:lpstr>
      <vt:lpstr>'MEMORIA DE CAL QUEBEC'!Area_de_impressao</vt:lpstr>
      <vt:lpstr>'MEMORIA JULIO MARIA'!Area_de_impressao</vt:lpstr>
      <vt:lpstr>'MEMORIA LAFAYETE'!Area_de_impressao</vt:lpstr>
      <vt:lpstr>'MEMORIA MOCINHA'!Area_de_impressao</vt:lpstr>
      <vt:lpstr>'MEMORIA NIVALDO'!Area_de_impressao</vt:lpstr>
      <vt:lpstr>'MEMORIA PASCOAL CARRAZONI'!Area_de_impressao</vt:lpstr>
      <vt:lpstr>'MEMORIA VOVO PESSOINHHA '!Area_de_impressao</vt:lpstr>
      <vt:lpstr>COMPOSIÇÕES!Titulos_de_impressao</vt:lpstr>
      <vt:lpstr>'CRECHE VOVO PESSOINHA'!Titulos_de_impressao</vt:lpstr>
      <vt:lpstr>'ESC. JULIO MARIA'!Titulos_de_impressao</vt:lpstr>
      <vt:lpstr>'ESC. LAFAYETE NUNES MACHADO'!Titulos_de_impressao</vt:lpstr>
      <vt:lpstr>'ESC. MOCINHA BARBALHO'!Titulos_de_impressao</vt:lpstr>
      <vt:lpstr>'ESC. MUN. ANDRE VIDAL'!Titulos_de_impressao</vt:lpstr>
      <vt:lpstr>'ESC. NIVALDO XAVIER '!Titulos_de_impressao</vt:lpstr>
      <vt:lpstr>'ESCOLA PASCOAL'!Titulos_de_impressao</vt:lpstr>
      <vt:lpstr>'MEMORIA ANDRE VIDAL'!Titulos_de_impressao</vt:lpstr>
      <vt:lpstr>'MEMORIA DE CAL QUADRA'!Titulos_de_impressao</vt:lpstr>
      <vt:lpstr>'MEMORIA DE CAL QUEBEC'!Titulos_de_impressao</vt:lpstr>
      <vt:lpstr>'MEMORIA JULIO MARIA'!Titulos_de_impressao</vt:lpstr>
      <vt:lpstr>'MEMORIA LAFAYETE'!Titulos_de_impressao</vt:lpstr>
      <vt:lpstr>'MEMORIA MOCINHA'!Titulos_de_impressao</vt:lpstr>
      <vt:lpstr>'MEMORIA NIVALDO'!Titulos_de_impressao</vt:lpstr>
      <vt:lpstr>'MEMORIA PASCOAL CARRAZONI'!Titulos_de_impressao</vt:lpstr>
      <vt:lpstr>'MEMORIA VOVO PESSOINHHA '!Titulos_de_impressao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POSITIVO</dc:creator>
  <cp:lastModifiedBy>POSITIVO</cp:lastModifiedBy>
  <cp:lastPrinted>2021-08-27T12:05:32Z</cp:lastPrinted>
  <dcterms:created xsi:type="dcterms:W3CDTF">2021-03-25T10:44:23Z</dcterms:created>
  <dcterms:modified xsi:type="dcterms:W3CDTF">2021-08-27T12:07:34Z</dcterms:modified>
</cp:coreProperties>
</file>